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3040" windowHeight="9120" tabRatio="773"/>
  </bookViews>
  <sheets>
    <sheet name="Intro" sheetId="29" r:id="rId1"/>
    <sheet name="Resht - Prices (Imports)" sheetId="25" r:id="rId2"/>
    <sheet name="Resht - Prices (Exports)" sheetId="26" r:id="rId3"/>
    <sheet name="Resht- Prices (Bazaar-Local)" sheetId="27" r:id="rId4"/>
    <sheet name="Imports - Data (Raw &amp; Adjusted)" sheetId="1" r:id="rId5"/>
    <sheet name="Exports - Data (Raw &amp; Adjusted)" sheetId="20" r:id="rId6"/>
    <sheet name="Bazaar(Local)- Prices (Raw&amp;Adj)" sheetId="22" r:id="rId7"/>
    <sheet name="Color Legend" sheetId="30" r:id="rId8"/>
    <sheet name="Silk - Im, Ex &amp; Bazaar" sheetId="21" r:id="rId9"/>
    <sheet name="Total - Imports &amp; Exports" sheetId="23" r:id="rId10"/>
    <sheet name="Ports of Resht" sheetId="19" r:id="rId11"/>
  </sheets>
  <calcPr calcId="152511"/>
</workbook>
</file>

<file path=xl/calcChain.xml><?xml version="1.0" encoding="utf-8"?>
<calcChain xmlns="http://schemas.openxmlformats.org/spreadsheetml/2006/main">
  <c r="C76" i="22" l="1"/>
  <c r="E5" i="22" l="1"/>
  <c r="J20" i="22" l="1"/>
  <c r="J17" i="22"/>
  <c r="J16" i="22"/>
  <c r="J5" i="22"/>
  <c r="J23" i="22"/>
  <c r="J22" i="22"/>
  <c r="J21" i="22"/>
  <c r="J14" i="22"/>
  <c r="J13" i="22"/>
  <c r="J11" i="22"/>
  <c r="J10" i="22"/>
  <c r="J9" i="22"/>
  <c r="J8" i="22"/>
  <c r="J6" i="22"/>
  <c r="J27" i="22"/>
  <c r="J26" i="22"/>
  <c r="J19" i="22"/>
  <c r="J18" i="22"/>
  <c r="J12" i="22"/>
  <c r="AF5" i="1" l="1"/>
  <c r="N21" i="1"/>
  <c r="O8" i="1"/>
  <c r="N8" i="1"/>
  <c r="R21" i="1" l="1"/>
  <c r="R17" i="1"/>
  <c r="R15" i="1"/>
  <c r="V21" i="1" l="1"/>
  <c r="W21" i="1"/>
  <c r="H13" i="22" l="1"/>
  <c r="D4" i="21" l="1"/>
  <c r="D5" i="21"/>
  <c r="D6" i="21"/>
  <c r="D7" i="21"/>
  <c r="D8" i="21"/>
  <c r="D9" i="21"/>
  <c r="D10" i="21"/>
  <c r="D11" i="21"/>
  <c r="D12" i="21"/>
  <c r="D3" i="21"/>
  <c r="R35" i="20" l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19" i="1"/>
  <c r="AH17" i="1"/>
  <c r="AH11" i="1"/>
  <c r="AH10" i="1"/>
  <c r="AH8" i="1"/>
  <c r="AH6" i="1"/>
  <c r="AH4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3" i="1"/>
  <c r="AD11" i="1"/>
  <c r="AD10" i="1"/>
  <c r="AD9" i="1"/>
  <c r="AD8" i="1"/>
  <c r="AD7" i="1"/>
  <c r="AD6" i="1"/>
  <c r="AD5" i="1"/>
  <c r="AD4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3" i="1"/>
  <c r="AA12" i="1"/>
  <c r="AA11" i="1"/>
  <c r="AA10" i="1"/>
  <c r="AA9" i="1"/>
  <c r="AA8" i="1"/>
  <c r="AA7" i="1"/>
  <c r="AA6" i="1"/>
  <c r="AA5" i="1"/>
  <c r="AA4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0" i="1"/>
  <c r="T18" i="1"/>
  <c r="T16" i="1"/>
  <c r="T14" i="1"/>
  <c r="T13" i="1"/>
  <c r="T12" i="1"/>
  <c r="T11" i="1"/>
  <c r="T10" i="1"/>
  <c r="T9" i="1"/>
  <c r="T8" i="1"/>
  <c r="T7" i="1"/>
  <c r="T6" i="1"/>
  <c r="T5" i="1"/>
  <c r="T4" i="1"/>
  <c r="P34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4" i="1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AM35" i="20"/>
  <c r="AM34" i="20"/>
  <c r="AM33" i="20"/>
  <c r="AM32" i="20"/>
  <c r="AM31" i="20"/>
  <c r="AM30" i="20"/>
  <c r="AM29" i="20"/>
  <c r="AM28" i="20"/>
  <c r="AM26" i="20"/>
  <c r="AM25" i="20"/>
  <c r="AM24" i="20"/>
  <c r="AM23" i="20"/>
  <c r="AM22" i="20"/>
  <c r="AM20" i="20"/>
  <c r="AM17" i="20"/>
  <c r="AM15" i="20"/>
  <c r="AM14" i="20"/>
  <c r="AM13" i="20"/>
  <c r="AM12" i="20"/>
  <c r="AM11" i="20"/>
  <c r="AM10" i="20"/>
  <c r="AM8" i="20"/>
  <c r="AM7" i="20"/>
  <c r="AM5" i="20"/>
  <c r="AM4" i="20"/>
  <c r="AI35" i="20"/>
  <c r="AI34" i="20"/>
  <c r="AI33" i="20"/>
  <c r="AI32" i="20"/>
  <c r="AI31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7" i="20"/>
  <c r="AI16" i="20"/>
  <c r="AI15" i="20"/>
  <c r="AI14" i="20"/>
  <c r="AI13" i="20"/>
  <c r="AI12" i="20"/>
  <c r="AI11" i="20"/>
  <c r="AI10" i="20"/>
  <c r="AI9" i="20"/>
  <c r="AI8" i="20"/>
  <c r="AI7" i="20"/>
  <c r="AI5" i="20"/>
  <c r="AI4" i="20"/>
  <c r="AF35" i="20"/>
  <c r="AF34" i="20"/>
  <c r="AF33" i="20"/>
  <c r="AF32" i="20"/>
  <c r="AF31" i="20"/>
  <c r="AF30" i="20"/>
  <c r="AF29" i="20"/>
  <c r="AF28" i="20"/>
  <c r="AF27" i="20"/>
  <c r="AF26" i="20"/>
  <c r="AF25" i="20"/>
  <c r="AF24" i="20"/>
  <c r="AF23" i="20"/>
  <c r="AF22" i="20"/>
  <c r="AF21" i="20"/>
  <c r="AF20" i="20"/>
  <c r="AF19" i="20"/>
  <c r="AF17" i="20"/>
  <c r="AF16" i="20"/>
  <c r="AF15" i="20"/>
  <c r="AF14" i="20"/>
  <c r="AF13" i="20"/>
  <c r="AF12" i="20"/>
  <c r="AF11" i="20"/>
  <c r="AF10" i="20"/>
  <c r="AF9" i="20"/>
  <c r="AF8" i="20"/>
  <c r="AF7" i="20"/>
  <c r="AF5" i="20"/>
  <c r="AF4" i="20"/>
  <c r="AC35" i="20"/>
  <c r="AC34" i="20"/>
  <c r="AC33" i="20"/>
  <c r="AC32" i="20"/>
  <c r="AC31" i="20"/>
  <c r="AC30" i="20"/>
  <c r="AC29" i="20"/>
  <c r="AC28" i="20"/>
  <c r="AC27" i="20"/>
  <c r="AC26" i="20"/>
  <c r="AC25" i="20"/>
  <c r="AC24" i="20"/>
  <c r="AC23" i="20"/>
  <c r="AC22" i="20"/>
  <c r="AC21" i="20"/>
  <c r="AC20" i="20"/>
  <c r="AC19" i="20"/>
  <c r="AC18" i="20"/>
  <c r="AC17" i="20"/>
  <c r="AC16" i="20"/>
  <c r="AC15" i="20"/>
  <c r="AC14" i="20"/>
  <c r="AC13" i="20"/>
  <c r="AC12" i="20"/>
  <c r="AC11" i="20"/>
  <c r="AC10" i="20"/>
  <c r="AC9" i="20"/>
  <c r="AC8" i="20"/>
  <c r="AC7" i="20"/>
  <c r="AC6" i="20"/>
  <c r="AC5" i="20"/>
  <c r="AC4" i="20"/>
  <c r="Y35" i="20"/>
  <c r="Y34" i="20"/>
  <c r="Y33" i="20"/>
  <c r="Y32" i="20"/>
  <c r="Y31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9" i="20"/>
  <c r="Y8" i="20"/>
  <c r="Y7" i="20"/>
  <c r="Y5" i="20"/>
  <c r="Y4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U4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N35" i="20"/>
  <c r="N34" i="20"/>
  <c r="N33" i="20"/>
  <c r="N32" i="20"/>
  <c r="N31" i="20"/>
  <c r="N30" i="20"/>
  <c r="N29" i="20"/>
  <c r="N28" i="20"/>
  <c r="N27" i="20"/>
  <c r="N25" i="20"/>
  <c r="N24" i="20"/>
  <c r="N23" i="20"/>
  <c r="N22" i="20"/>
  <c r="N21" i="20"/>
  <c r="N20" i="20"/>
  <c r="N19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4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4" i="20"/>
  <c r="AF20" i="1"/>
  <c r="AH20" i="1" s="1"/>
  <c r="AF18" i="1"/>
  <c r="AH18" i="1" s="1"/>
  <c r="AF16" i="1"/>
  <c r="AH16" i="1" s="1"/>
  <c r="AF15" i="1"/>
  <c r="AH15" i="1" s="1"/>
  <c r="AF14" i="1"/>
  <c r="AH14" i="1" s="1"/>
  <c r="AF13" i="1"/>
  <c r="AH13" i="1" s="1"/>
  <c r="AF12" i="1"/>
  <c r="AH12" i="1" s="1"/>
  <c r="AF7" i="1"/>
  <c r="AH7" i="1" s="1"/>
  <c r="AF9" i="1"/>
  <c r="AH9" i="1" s="1"/>
  <c r="AK34" i="20"/>
  <c r="AK33" i="20"/>
  <c r="AK32" i="20"/>
  <c r="AK27" i="20"/>
  <c r="AM27" i="20" s="1"/>
  <c r="AK26" i="20"/>
  <c r="AK25" i="20"/>
  <c r="AK24" i="20"/>
  <c r="AK21" i="20"/>
  <c r="AM21" i="20" s="1"/>
  <c r="AK20" i="20"/>
  <c r="AK19" i="20"/>
  <c r="AM19" i="20" s="1"/>
  <c r="AK18" i="20"/>
  <c r="AM18" i="20" s="1"/>
  <c r="AK16" i="20"/>
  <c r="AM16" i="20" s="1"/>
  <c r="AK10" i="20"/>
  <c r="AK12" i="20"/>
  <c r="AK9" i="20"/>
  <c r="AM9" i="20" s="1"/>
  <c r="AK6" i="20"/>
  <c r="AM6" i="20" s="1"/>
  <c r="AK4" i="20"/>
  <c r="W4" i="1" l="1"/>
  <c r="X4" i="1" s="1"/>
  <c r="V18" i="1"/>
  <c r="W18" i="1"/>
  <c r="X18" i="1" s="1"/>
  <c r="W10" i="20" l="1"/>
  <c r="Y10" i="20" s="1"/>
  <c r="W6" i="20"/>
  <c r="Y6" i="20" s="1"/>
  <c r="S35" i="1"/>
  <c r="S17" i="1"/>
  <c r="T17" i="1" s="1"/>
  <c r="S21" i="1"/>
  <c r="T21" i="1" s="1"/>
  <c r="S15" i="1"/>
  <c r="T15" i="1" s="1"/>
  <c r="S19" i="1"/>
  <c r="T19" i="1" s="1"/>
  <c r="E19" i="22"/>
  <c r="E11" i="22"/>
  <c r="E10" i="22"/>
  <c r="E17" i="22"/>
  <c r="E6" i="22"/>
  <c r="F7" i="22"/>
  <c r="F11" i="22"/>
  <c r="F10" i="22"/>
  <c r="F27" i="22"/>
  <c r="F26" i="22"/>
  <c r="F25" i="22"/>
  <c r="F2" i="22"/>
  <c r="F3" i="22"/>
  <c r="F4" i="22"/>
  <c r="H5" i="22"/>
  <c r="G5" i="22"/>
  <c r="F5" i="22"/>
  <c r="F23" i="22"/>
  <c r="F22" i="22"/>
  <c r="F21" i="22"/>
  <c r="F19" i="22"/>
  <c r="F18" i="22"/>
  <c r="F17" i="22"/>
  <c r="F16" i="22"/>
  <c r="F14" i="22"/>
  <c r="F13" i="22"/>
  <c r="F12" i="22"/>
  <c r="F9" i="22"/>
  <c r="F8" i="22"/>
  <c r="F6" i="22"/>
  <c r="G18" i="22"/>
  <c r="G16" i="22"/>
  <c r="H6" i="22"/>
  <c r="G6" i="22"/>
  <c r="AB12" i="1"/>
  <c r="AD12" i="1" s="1"/>
  <c r="AB15" i="1"/>
  <c r="AD15" i="1" s="1"/>
  <c r="AB14" i="1"/>
  <c r="AD14" i="1" s="1"/>
  <c r="AG18" i="20"/>
  <c r="AI18" i="20" s="1"/>
  <c r="AG6" i="20"/>
  <c r="AI6" i="20" s="1"/>
  <c r="AD18" i="20"/>
  <c r="AF18" i="20" s="1"/>
  <c r="AD6" i="20"/>
  <c r="AF6" i="20" s="1"/>
  <c r="Y15" i="1"/>
  <c r="AA15" i="1" s="1"/>
  <c r="Y14" i="1"/>
  <c r="AA14" i="1" s="1"/>
  <c r="H31" i="22"/>
  <c r="G17" i="22"/>
  <c r="H17" i="22"/>
  <c r="H16" i="22"/>
  <c r="H23" i="22"/>
  <c r="G23" i="22"/>
  <c r="G22" i="22"/>
  <c r="H22" i="22"/>
  <c r="G21" i="22"/>
  <c r="H21" i="22"/>
  <c r="G14" i="22"/>
  <c r="H14" i="22"/>
  <c r="G13" i="22"/>
  <c r="G9" i="22"/>
  <c r="H9" i="22"/>
  <c r="G8" i="22"/>
  <c r="H8" i="22"/>
  <c r="G19" i="22"/>
  <c r="H19" i="22"/>
  <c r="G12" i="22"/>
  <c r="H12" i="22"/>
  <c r="C12" i="23" l="1"/>
  <c r="T36" i="20"/>
  <c r="G36" i="20" l="1"/>
  <c r="D36" i="20"/>
  <c r="I18" i="20"/>
  <c r="J18" i="20"/>
  <c r="K18" i="20" s="1"/>
  <c r="J36" i="20"/>
  <c r="C10" i="23"/>
  <c r="C11" i="23"/>
  <c r="C9" i="23"/>
  <c r="B88" i="22"/>
  <c r="B94" i="22"/>
  <c r="B91" i="22"/>
  <c r="B92" i="22"/>
  <c r="B90" i="22"/>
  <c r="B77" i="22"/>
  <c r="B78" i="22"/>
  <c r="B79" i="22"/>
  <c r="B80" i="22"/>
  <c r="B81" i="22"/>
  <c r="B82" i="22"/>
  <c r="B83" i="22"/>
  <c r="B76" i="22"/>
  <c r="E61" i="22"/>
  <c r="B73" i="22"/>
  <c r="B72" i="22"/>
  <c r="C89" i="22"/>
  <c r="B89" i="22" s="1"/>
  <c r="C8" i="23"/>
  <c r="C7" i="23"/>
  <c r="C5" i="23"/>
  <c r="C3" i="23"/>
  <c r="C2" i="23"/>
  <c r="M18" i="20"/>
  <c r="L18" i="20"/>
  <c r="M36" i="20"/>
  <c r="M5" i="20"/>
  <c r="N5" i="20" s="1"/>
  <c r="L5" i="20"/>
  <c r="M26" i="20"/>
  <c r="L26" i="20"/>
  <c r="B8" i="23"/>
  <c r="B7" i="23"/>
  <c r="B5" i="23"/>
  <c r="B3" i="23"/>
  <c r="B2" i="23"/>
  <c r="Q36" i="20"/>
  <c r="B10" i="23"/>
  <c r="B11" i="23"/>
  <c r="N26" i="20" l="1"/>
  <c r="N18" i="20"/>
  <c r="B93" i="22"/>
  <c r="B74" i="22"/>
  <c r="B75" i="22"/>
  <c r="B38" i="22"/>
  <c r="F38" i="22"/>
  <c r="B39" i="22"/>
  <c r="F39" i="22"/>
  <c r="B40" i="22"/>
  <c r="F40" i="22"/>
  <c r="B41" i="22"/>
  <c r="F41" i="22"/>
  <c r="B42" i="22"/>
  <c r="F42" i="22"/>
  <c r="B43" i="22"/>
  <c r="F43" i="22"/>
  <c r="B44" i="22"/>
  <c r="F44" i="22"/>
  <c r="B45" i="22"/>
  <c r="F45" i="22"/>
  <c r="B46" i="22"/>
  <c r="F46" i="22"/>
  <c r="B47" i="22"/>
  <c r="F47" i="22"/>
  <c r="F48" i="22"/>
  <c r="F49" i="22"/>
  <c r="B50" i="22"/>
  <c r="F50" i="22"/>
  <c r="B51" i="22"/>
  <c r="F51" i="22"/>
  <c r="B52" i="22"/>
  <c r="F52" i="22"/>
  <c r="B53" i="22"/>
  <c r="F53" i="22"/>
  <c r="B54" i="22"/>
  <c r="F54" i="22"/>
  <c r="B55" i="22"/>
  <c r="F55" i="22"/>
  <c r="B56" i="22"/>
  <c r="F56" i="22"/>
  <c r="B57" i="22"/>
  <c r="F57" i="22"/>
  <c r="AG5" i="1" l="1"/>
  <c r="AH5" i="1" s="1"/>
</calcChain>
</file>

<file path=xl/comments1.xml><?xml version="1.0" encoding="utf-8"?>
<comments xmlns="http://schemas.openxmlformats.org/spreadsheetml/2006/main">
  <authors>
    <author>Author</author>
  </authors>
  <commentList>
    <comment ref="Q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Petroleum.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nickel.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ports combined.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X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Also substituted from Silk - Imports &amp; Exports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ports combined.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Petroleum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nickel.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W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Quantities are multiples of 36 as they were quoted in terms of poods.</t>
        </r>
      </text>
    </comment>
    <comment ref="A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rice is grown in Ghilan and Mazendaran</t>
        </r>
      </text>
    </comment>
    <comment ref="AG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rice is grown in Ghilan and Mazendaran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Cotton, thread.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is quoted per 20.</t>
        </r>
      </text>
    </comment>
  </commentList>
</comments>
</file>

<file path=xl/sharedStrings.xml><?xml version="1.0" encoding="utf-8"?>
<sst xmlns="http://schemas.openxmlformats.org/spreadsheetml/2006/main" count="1517" uniqueCount="245">
  <si>
    <t>Articles</t>
  </si>
  <si>
    <t>Units</t>
  </si>
  <si>
    <t>Quantity</t>
  </si>
  <si>
    <t>Number</t>
  </si>
  <si>
    <t>Rice</t>
  </si>
  <si>
    <t>Box</t>
  </si>
  <si>
    <t>Cotton</t>
  </si>
  <si>
    <t>Total (from regions)</t>
  </si>
  <si>
    <t>Wheat</t>
  </si>
  <si>
    <t>Barley</t>
  </si>
  <si>
    <t>Sugar</t>
  </si>
  <si>
    <t>Opium</t>
  </si>
  <si>
    <t>Salt</t>
  </si>
  <si>
    <t>Ghee</t>
  </si>
  <si>
    <t>Cwt</t>
  </si>
  <si>
    <t>Value (Sterling)</t>
  </si>
  <si>
    <t>Year</t>
  </si>
  <si>
    <t>Matches</t>
  </si>
  <si>
    <t xml:space="preserve">Arms </t>
  </si>
  <si>
    <t>Beverages</t>
  </si>
  <si>
    <t>Candles</t>
  </si>
  <si>
    <t>Wheat, barley and oats</t>
  </si>
  <si>
    <t>Flour</t>
  </si>
  <si>
    <t>Sugar, loaf</t>
  </si>
  <si>
    <t>Sugar, moist</t>
  </si>
  <si>
    <t>Tea</t>
  </si>
  <si>
    <t>Clothing</t>
  </si>
  <si>
    <t>Naphtha oil</t>
  </si>
  <si>
    <t>Silkworm eggs</t>
  </si>
  <si>
    <t>Iron, steel, cast iron, old ron, tin plate  in sheets</t>
  </si>
  <si>
    <t>Copper and nickel</t>
  </si>
  <si>
    <t>Cement, lime, plaster</t>
  </si>
  <si>
    <t>Lbs</t>
  </si>
  <si>
    <t>Rope, cordage and twine</t>
  </si>
  <si>
    <t>Leather</t>
  </si>
  <si>
    <t>Earthenware, chinaware and porcelain</t>
  </si>
  <si>
    <t>Soap</t>
  </si>
  <si>
    <t>Tobacco</t>
  </si>
  <si>
    <t>Charcoal</t>
  </si>
  <si>
    <t>Almonds and pistachios</t>
  </si>
  <si>
    <t>Oranges, lemons and mandarins</t>
  </si>
  <si>
    <t>Other fresh fruit</t>
  </si>
  <si>
    <t>Dried fruit</t>
  </si>
  <si>
    <t>Gums</t>
  </si>
  <si>
    <t>Cotton, raw</t>
  </si>
  <si>
    <t>Carpets of wool</t>
  </si>
  <si>
    <t>Fish, fresh or dried</t>
  </si>
  <si>
    <t>Flax and hemp</t>
  </si>
  <si>
    <t>Articles of art and virtu</t>
  </si>
  <si>
    <t>Skins and hides</t>
  </si>
  <si>
    <t>Resins and bitumen</t>
  </si>
  <si>
    <t>Colours, dyes and varnishes (including henna)</t>
  </si>
  <si>
    <t>Rice, husked</t>
  </si>
  <si>
    <t>Resht, 1902-03</t>
  </si>
  <si>
    <t>Values for Resht include all Caspian ports, as listed below:</t>
  </si>
  <si>
    <t>Butter and other edible fats</t>
  </si>
  <si>
    <t>Wool, raw</t>
  </si>
  <si>
    <t>Cotton, tissues</t>
  </si>
  <si>
    <t>Quantity (Lbs)</t>
  </si>
  <si>
    <t>d</t>
  </si>
  <si>
    <t>s</t>
  </si>
  <si>
    <t>£</t>
  </si>
  <si>
    <t>Total</t>
  </si>
  <si>
    <t>d.</t>
  </si>
  <si>
    <t>s.</t>
  </si>
  <si>
    <t>Sterling Calculations:</t>
  </si>
  <si>
    <t>£/number</t>
  </si>
  <si>
    <t>Sheep skins</t>
  </si>
  <si>
    <t>Hides</t>
  </si>
  <si>
    <t>£/head</t>
  </si>
  <si>
    <t>Sheep</t>
  </si>
  <si>
    <t>Oxen</t>
  </si>
  <si>
    <t>£/square yard</t>
  </si>
  <si>
    <t>Embroidery</t>
  </si>
  <si>
    <t>£/100 pieces</t>
  </si>
  <si>
    <t>Box wood</t>
  </si>
  <si>
    <t>Tobacco (Tumbakee)</t>
  </si>
  <si>
    <t>Wool</t>
  </si>
  <si>
    <t>Olive oil</t>
  </si>
  <si>
    <t>£/Lbs</t>
  </si>
  <si>
    <t>Silk, cocoons</t>
  </si>
  <si>
    <t>Silk, hustles and knibs</t>
  </si>
  <si>
    <t>Silk, raw</t>
  </si>
  <si>
    <t>Unit</t>
  </si>
  <si>
    <t>Exports</t>
  </si>
  <si>
    <t>Imports</t>
  </si>
  <si>
    <t>Imports (Sterling)</t>
  </si>
  <si>
    <t>Exports (Sterling)</t>
  </si>
  <si>
    <t>1877-78</t>
  </si>
  <si>
    <t>1878-79</t>
  </si>
  <si>
    <t>(Imports include a one-off purchase by Shah from his visit to Europe; articles bought include War materials amounting to £115,380 and Jewellery, furniture and sundrce worth £96,150)</t>
  </si>
  <si>
    <t>1876-77</t>
  </si>
  <si>
    <t>1875-76</t>
  </si>
  <si>
    <t>(The decline in trade is mainly due to the break out of an epidemic putting a stop to all trade during several months of the year and the Turco-Russian War)</t>
  </si>
  <si>
    <t>Resht (Ghilan &amp; Interior of Persia via Resht), 1875-76</t>
  </si>
  <si>
    <t>Caviare</t>
  </si>
  <si>
    <t>Cattle</t>
  </si>
  <si>
    <t>Head</t>
  </si>
  <si>
    <t>Resht (from Russia; excludes interior), 1875-76</t>
  </si>
  <si>
    <t>Saffron</t>
  </si>
  <si>
    <t>1865-66</t>
  </si>
  <si>
    <t>1864-65</t>
  </si>
  <si>
    <t>1870-71</t>
  </si>
  <si>
    <t>1873-74</t>
  </si>
  <si>
    <t>1874-75</t>
  </si>
  <si>
    <t>Resht (Ghilan &amp; Interior of Persia via Resht, Enzella), 1874-75</t>
  </si>
  <si>
    <t>Resht (all ports combined), 1902-03</t>
  </si>
  <si>
    <t>Resht (Ghilan &amp; Interior of Persia via Resht, Enzella), 1873-74</t>
  </si>
  <si>
    <t>Resht (from Russia; excludes interior), 1873-74</t>
  </si>
  <si>
    <t>Resht (from Russia; excludes interior), 1874-75</t>
  </si>
  <si>
    <r>
      <t xml:space="preserve">Silk Cocoons </t>
    </r>
    <r>
      <rPr>
        <i/>
        <sz val="11"/>
        <color theme="1"/>
        <rFont val="Calibri"/>
        <family val="2"/>
        <scheme val="minor"/>
      </rPr>
      <t xml:space="preserve">from </t>
    </r>
    <r>
      <rPr>
        <sz val="11"/>
        <color theme="1"/>
        <rFont val="Calibri"/>
        <family val="2"/>
        <scheme val="minor"/>
      </rPr>
      <t>Resht</t>
    </r>
  </si>
  <si>
    <r>
      <t>Silkworms eggs'</t>
    </r>
    <r>
      <rPr>
        <i/>
        <sz val="11"/>
        <color theme="1"/>
        <rFont val="Calibri"/>
        <family val="2"/>
        <scheme val="minor"/>
      </rPr>
      <t xml:space="preserve"> from</t>
    </r>
    <r>
      <rPr>
        <sz val="11"/>
        <color theme="1"/>
        <rFont val="Calibri"/>
        <family val="2"/>
        <scheme val="minor"/>
      </rPr>
      <t xml:space="preserve"> Interior of Persia </t>
    </r>
    <r>
      <rPr>
        <i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Caucasus &amp; </t>
    </r>
    <r>
      <rPr>
        <i/>
        <sz val="11"/>
        <color theme="1"/>
        <rFont val="Calibri"/>
        <family val="2"/>
        <scheme val="minor"/>
      </rPr>
      <t>viceversa</t>
    </r>
  </si>
  <si>
    <t>Meat</t>
  </si>
  <si>
    <t>Petroleum</t>
  </si>
  <si>
    <t>Grebe skins</t>
  </si>
  <si>
    <t>men shah</t>
  </si>
  <si>
    <t>lbs</t>
  </si>
  <si>
    <t>l.</t>
  </si>
  <si>
    <t>krans</t>
  </si>
  <si>
    <t>toman</t>
  </si>
  <si>
    <t>kran</t>
  </si>
  <si>
    <t>shahis</t>
  </si>
  <si>
    <t>panabuts</t>
  </si>
  <si>
    <t>per men shah</t>
  </si>
  <si>
    <t>per head</t>
  </si>
  <si>
    <t>tomans</t>
  </si>
  <si>
    <t>per 1000 pieces</t>
  </si>
  <si>
    <t>per square yard</t>
  </si>
  <si>
    <t>Total (Sterling)</t>
  </si>
  <si>
    <t>Resht (local prices), 1874-75</t>
  </si>
  <si>
    <t>Frisons</t>
  </si>
  <si>
    <t>Rough silk</t>
  </si>
  <si>
    <t>Spun silk</t>
  </si>
  <si>
    <t>lbs.</t>
  </si>
  <si>
    <t>1872-73</t>
  </si>
  <si>
    <t>Second values added are exports from Interior of Persia via Resht</t>
  </si>
  <si>
    <t>Only to foreign ports</t>
  </si>
  <si>
    <t>1868-69</t>
  </si>
  <si>
    <t>Only from Ghilan</t>
  </si>
  <si>
    <t>Resht (Ghilan), 1865-66</t>
  </si>
  <si>
    <t>Resht (Ghilan), 1864-65</t>
  </si>
  <si>
    <t>£/Bottle</t>
  </si>
  <si>
    <t>pood</t>
  </si>
  <si>
    <t>Ice</t>
  </si>
  <si>
    <t>1894-95</t>
  </si>
  <si>
    <t>1893-94</t>
  </si>
  <si>
    <t>Into Persia from Russia via Baku &amp; viceversa</t>
  </si>
  <si>
    <t>Into Persia from Russia via Baku, 1894-95</t>
  </si>
  <si>
    <t>metric ton</t>
  </si>
  <si>
    <t>From whole of Persia to Russia via Baku, 1894-95</t>
  </si>
  <si>
    <t>Local currencies' Calculations (1874-75)</t>
  </si>
  <si>
    <t>Local currencies' Calculations (1897-98)</t>
  </si>
  <si>
    <t>Eggs</t>
  </si>
  <si>
    <t>From whole of Persia to Russia via Baku, 1895-96</t>
  </si>
  <si>
    <t>Into Persia from Russia via Baku, 1895-96</t>
  </si>
  <si>
    <t>Resht (prices of produce), 1894-95</t>
  </si>
  <si>
    <t>Resht (prices of produce), 1893-94</t>
  </si>
  <si>
    <t>Resht (prices of produce), 1892-93</t>
  </si>
  <si>
    <t>kuti</t>
  </si>
  <si>
    <t>Resht (prices of produce), 1890-91</t>
  </si>
  <si>
    <t>Into Persia from Russia via Baku, 1893-94</t>
  </si>
  <si>
    <t>From whole of Persia to Russia via Baku, 1893-94</t>
  </si>
  <si>
    <t>Into Persia from Russia via Baku, 1891-92</t>
  </si>
  <si>
    <t>Resht (from Russia via Enzelli &amp; to Interior), 1892-93</t>
  </si>
  <si>
    <t>1892-93</t>
  </si>
  <si>
    <t>To/from Russia via Enzelli</t>
  </si>
  <si>
    <t>1890-91</t>
  </si>
  <si>
    <t>From whole of Persia to Russia via Baku, 1890-91</t>
  </si>
  <si>
    <t>Animals, living (mostly horses and camels)</t>
  </si>
  <si>
    <t>Silver, in bars</t>
  </si>
  <si>
    <t>Silk, tissues</t>
  </si>
  <si>
    <t>Glass, wares</t>
  </si>
  <si>
    <t>Glass, window</t>
  </si>
  <si>
    <t>Silk, in cocoons</t>
  </si>
  <si>
    <t>Silk, husks and refuse</t>
  </si>
  <si>
    <t>Skins, leather</t>
  </si>
  <si>
    <t>cwt</t>
  </si>
  <si>
    <t>Units for conversion</t>
  </si>
  <si>
    <t>Price (Sterling)</t>
  </si>
  <si>
    <t/>
  </si>
  <si>
    <t>Prices and Wages in London &amp; Southern England, 1259-1914</t>
  </si>
  <si>
    <t>A1) Original Prices</t>
  </si>
  <si>
    <t>Source</t>
  </si>
  <si>
    <t>Currency/units</t>
  </si>
  <si>
    <t>£/Number</t>
  </si>
  <si>
    <t>Comment</t>
  </si>
  <si>
    <t>Place of Origin</t>
  </si>
  <si>
    <t>Good</t>
  </si>
  <si>
    <t>1902-03</t>
  </si>
  <si>
    <t>1895-96</t>
  </si>
  <si>
    <t>1891-92</t>
  </si>
  <si>
    <t>£/Box</t>
  </si>
  <si>
    <t>£/Square yard</t>
  </si>
  <si>
    <t>Skins, sheep</t>
  </si>
  <si>
    <t>Skins, grebe</t>
  </si>
  <si>
    <t>man shah</t>
  </si>
  <si>
    <t>1896-97</t>
  </si>
  <si>
    <t>1897-98</t>
  </si>
  <si>
    <t>1898-99</t>
  </si>
  <si>
    <t>1899-00</t>
  </si>
  <si>
    <t>1900-01</t>
  </si>
  <si>
    <t>1901-02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</si>
  <si>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</si>
  <si>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</si>
  <si>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</si>
  <si>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</si>
  <si>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</si>
  <si>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</si>
  <si>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</si>
  <si>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</si>
  <si>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rearranges the adjusted data on bazaar (local) prices in single series for each commodity.</t>
  </si>
  <si>
    <t>Imports - Data (Raw &amp; Adjusted)</t>
  </si>
  <si>
    <t>Exports - Data (Raw &amp; Adjusted)</t>
  </si>
  <si>
    <t>- contains the raw and adjusted data on prices of imports taken directly from the sources described below.</t>
  </si>
  <si>
    <t>- contains the raw and adjusted data on prices of exports taken directly from the sources described below.</t>
  </si>
  <si>
    <t>- contains the raw and adjusted data on prices from bazaar (local) taken directly from the sources described below.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</si>
  <si>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</si>
  <si>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</si>
  <si>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</si>
  <si>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</si>
  <si>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</si>
  <si>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</si>
  <si>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>Change in unit of quantity</t>
  </si>
  <si>
    <t>Suspected data entries or invalid / unavailable conversion units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</si>
  <si>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Resht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1864-65 to 1902-03</t>
    </r>
    <r>
      <rPr>
        <sz val="10"/>
        <rFont val="Arial"/>
        <family val="2"/>
      </rPr>
      <t>.  The data were compiled by British consuls.</t>
    </r>
  </si>
  <si>
    <t xml:space="preserve">Resht - Prices (Imports) </t>
  </si>
  <si>
    <t xml:space="preserve">Resht - Prices (Exports) </t>
  </si>
  <si>
    <t>Resht - Prices (Bazaar-Local)</t>
  </si>
  <si>
    <t>Iron, steel, cast iron, old ron, tin plate, in sheets</t>
  </si>
  <si>
    <t>Silver coin (krans)</t>
  </si>
  <si>
    <t>Load</t>
  </si>
  <si>
    <t>=28890Cases+(8000*$D$41)</t>
  </si>
  <si>
    <t>Silk</t>
  </si>
  <si>
    <t>Wheat and flour</t>
  </si>
  <si>
    <t>Fruit, dried</t>
  </si>
  <si>
    <t>Value (Tomans/Man)</t>
  </si>
  <si>
    <t>Resht (prices of produce), 1897-98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</si>
  <si>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</si>
  <si>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</si>
  <si>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Imports - Prices (Raw &amp; Adjusted)</t>
  </si>
  <si>
    <t>Exports - Prices (Raw &amp; Adjusted)</t>
  </si>
  <si>
    <t>Bazaar (Local) - Prices (Raw &amp; Adjusted)</t>
  </si>
  <si>
    <t>Iron, cast iron and steel, manufactured</t>
  </si>
  <si>
    <t>Cotton, yarns</t>
  </si>
  <si>
    <t>long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</si>
</sst>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000"/>
    <numFmt numFmtId="167" formatCode="0.0000"/>
    <numFmt numFmtId="168" formatCode="_(* #,##0.0000_);_(* \(#,##0.0000\);_(* &quot;-&quot;??_);_(@_)"/>
    <numFmt numFmtId="169" formatCode="#,##0.0000"/>
  </numFmts>
  <fonts count="2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15" fillId="0" borderId="0">
      <alignment vertical="top"/>
    </xf>
    <xf numFmtId="0" fontId="24" fillId="0" borderId="0">
      <alignment vertical="top"/>
    </xf>
  </cellStyleXfs>
  <cellXfs count="96">
    <xf numFmtId="0" fontId="0" fillId="0" borderId="0" xfId="0"/>
    <xf numFmtId="3" fontId="0" fillId="0" borderId="0" xfId="0" applyNumberFormat="1"/>
    <xf numFmtId="0" fontId="1" fillId="0" borderId="0" xfId="0" applyFont="1" applyFill="1" applyAlignment="1">
      <alignment horizontal="center"/>
    </xf>
    <xf numFmtId="3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3" fillId="0" borderId="0" xfId="0" applyFont="1"/>
    <xf numFmtId="0" fontId="0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0" fontId="2" fillId="0" borderId="0" xfId="0" applyFont="1" applyFill="1"/>
    <xf numFmtId="0" fontId="9" fillId="0" borderId="0" xfId="2"/>
    <xf numFmtId="0" fontId="10" fillId="0" borderId="0" xfId="2" applyFont="1" applyBorder="1" applyAlignment="1">
      <alignment horizontal="left" vertical="top"/>
    </xf>
    <xf numFmtId="0" fontId="0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164" fontId="4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4" fillId="0" borderId="0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166" fontId="0" fillId="0" borderId="0" xfId="0" applyNumberFormat="1" applyFont="1"/>
    <xf numFmtId="165" fontId="0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Fill="1"/>
    <xf numFmtId="0" fontId="0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168" fontId="4" fillId="0" borderId="0" xfId="1" applyNumberFormat="1" applyFont="1" applyBorder="1" applyAlignment="1">
      <alignment horizontal="right" vertical="center" wrapText="1"/>
    </xf>
    <xf numFmtId="167" fontId="0" fillId="0" borderId="0" xfId="0" applyNumberFormat="1" applyFill="1"/>
    <xf numFmtId="169" fontId="0" fillId="0" borderId="0" xfId="0" applyNumberFormat="1" applyFill="1"/>
    <xf numFmtId="169" fontId="1" fillId="0" borderId="0" xfId="0" applyNumberFormat="1" applyFont="1" applyFill="1"/>
    <xf numFmtId="169" fontId="1" fillId="0" borderId="0" xfId="0" applyNumberFormat="1" applyFont="1" applyFill="1" applyAlignment="1">
      <alignment horizontal="center"/>
    </xf>
    <xf numFmtId="169" fontId="0" fillId="0" borderId="0" xfId="0" applyNumberFormat="1" applyFill="1" applyAlignment="1">
      <alignment horizontal="left"/>
    </xf>
    <xf numFmtId="0" fontId="16" fillId="0" borderId="0" xfId="3" applyFont="1" applyBorder="1" applyAlignment="1">
      <alignment horizontal="left" vertical="center"/>
    </xf>
    <xf numFmtId="0" fontId="15" fillId="0" borderId="0" xfId="3" applyAlignment="1"/>
    <xf numFmtId="0" fontId="17" fillId="0" borderId="0" xfId="3" applyFont="1" applyAlignment="1"/>
    <xf numFmtId="0" fontId="18" fillId="0" borderId="0" xfId="3" applyFont="1" applyFill="1" applyBorder="1" applyAlignment="1">
      <alignment horizontal="left" vertical="center"/>
    </xf>
    <xf numFmtId="0" fontId="19" fillId="0" borderId="0" xfId="3" applyFont="1" applyBorder="1" applyAlignment="1">
      <alignment horizontal="right"/>
    </xf>
    <xf numFmtId="0" fontId="20" fillId="4" borderId="0" xfId="3" applyFont="1" applyFill="1" applyBorder="1" applyAlignment="1">
      <alignment horizontal="left"/>
    </xf>
    <xf numFmtId="0" fontId="19" fillId="4" borderId="0" xfId="3" applyFont="1" applyFill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20" fillId="4" borderId="0" xfId="3" applyFont="1" applyFill="1" applyBorder="1" applyAlignment="1">
      <alignment horizontal="left" wrapText="1"/>
    </xf>
    <xf numFmtId="0" fontId="19" fillId="4" borderId="0" xfId="3" applyFont="1" applyFill="1" applyBorder="1" applyAlignment="1">
      <alignment horizontal="left"/>
    </xf>
    <xf numFmtId="0" fontId="19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20" fillId="0" borderId="0" xfId="3" applyFont="1" applyBorder="1" applyAlignment="1">
      <alignment horizontal="right"/>
    </xf>
    <xf numFmtId="0" fontId="21" fillId="4" borderId="0" xfId="3" applyFont="1" applyFill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20" fillId="0" borderId="0" xfId="3" applyFont="1" applyBorder="1" applyAlignment="1">
      <alignment horizontal="center"/>
    </xf>
    <xf numFmtId="0" fontId="20" fillId="0" borderId="0" xfId="3" applyFont="1" applyAlignment="1"/>
    <xf numFmtId="0" fontId="20" fillId="4" borderId="0" xfId="3" applyFont="1" applyFill="1" applyBorder="1" applyAlignment="1">
      <alignment horizontal="right"/>
    </xf>
    <xf numFmtId="0" fontId="22" fillId="0" borderId="0" xfId="3" applyFont="1" applyBorder="1" applyAlignment="1">
      <alignment horizontal="right"/>
    </xf>
    <xf numFmtId="0" fontId="23" fillId="0" borderId="0" xfId="3" applyFont="1" applyBorder="1" applyAlignment="1">
      <alignment horizontal="center"/>
    </xf>
    <xf numFmtId="0" fontId="19" fillId="4" borderId="0" xfId="3" applyFont="1" applyFill="1" applyBorder="1" applyAlignment="1" applyProtection="1">
      <alignment horizontal="right"/>
    </xf>
    <xf numFmtId="167" fontId="23" fillId="0" borderId="0" xfId="3" applyNumberFormat="1" applyFont="1" applyBorder="1" applyAlignment="1" applyProtection="1">
      <alignment horizontal="center"/>
    </xf>
    <xf numFmtId="2" fontId="23" fillId="0" borderId="0" xfId="3" applyNumberFormat="1" applyFont="1" applyBorder="1" applyAlignment="1" applyProtection="1">
      <alignment horizontal="center"/>
    </xf>
    <xf numFmtId="0" fontId="15" fillId="0" borderId="0" xfId="3" applyAlignment="1" applyProtection="1"/>
    <xf numFmtId="0" fontId="15" fillId="0" borderId="0" xfId="3" applyFill="1" applyAlignment="1"/>
    <xf numFmtId="0" fontId="22" fillId="0" borderId="0" xfId="3" applyFont="1" applyFill="1" applyBorder="1" applyAlignment="1">
      <alignment horizontal="right"/>
    </xf>
    <xf numFmtId="0" fontId="20" fillId="4" borderId="0" xfId="3" applyFont="1" applyFill="1" applyBorder="1" applyAlignment="1">
      <alignment horizontal="left" vertical="center" wrapText="1"/>
    </xf>
    <xf numFmtId="0" fontId="20" fillId="4" borderId="0" xfId="3" applyFont="1" applyFill="1" applyBorder="1" applyAlignment="1">
      <alignment horizontal="left" vertical="center"/>
    </xf>
    <xf numFmtId="0" fontId="0" fillId="2" borderId="0" xfId="0" applyFill="1"/>
    <xf numFmtId="0" fontId="24" fillId="0" borderId="0" xfId="4" applyFont="1" applyAlignment="1"/>
    <xf numFmtId="0" fontId="24" fillId="0" borderId="0" xfId="4" applyAlignment="1"/>
    <xf numFmtId="0" fontId="24" fillId="0" borderId="0" xfId="4" applyFont="1" applyBorder="1" applyAlignment="1"/>
    <xf numFmtId="0" fontId="24" fillId="0" borderId="0" xfId="4" applyBorder="1" applyAlignment="1"/>
    <xf numFmtId="0" fontId="26" fillId="0" borderId="0" xfId="4" applyFont="1" applyAlignment="1"/>
    <xf numFmtId="0" fontId="24" fillId="0" borderId="0" xfId="4" quotePrefix="1" applyFont="1" applyAlignment="1"/>
    <xf numFmtId="0" fontId="24" fillId="0" borderId="0" xfId="4" applyFont="1" applyAlignment="1">
      <alignment horizontal="left"/>
    </xf>
    <xf numFmtId="0" fontId="4" fillId="2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quotePrefix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4" fillId="3" borderId="0" xfId="1" quotePrefix="1" applyNumberFormat="1" applyFont="1" applyFill="1" applyBorder="1" applyAlignment="1">
      <alignment horizontal="right" wrapText="1"/>
    </xf>
    <xf numFmtId="167" fontId="23" fillId="0" borderId="0" xfId="3" applyNumberFormat="1" applyFont="1" applyFill="1" applyBorder="1" applyAlignment="1" applyProtection="1">
      <alignment horizontal="center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2" fillId="0" borderId="0" xfId="2" applyFont="1" applyBorder="1" applyAlignment="1">
      <alignment horizontal="center" vertical="top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84666</xdr:rowOff>
    </xdr:from>
    <xdr:to>
      <xdr:col>4</xdr:col>
      <xdr:colOff>279399</xdr:colOff>
      <xdr:row>9</xdr:row>
      <xdr:rowOff>41962</xdr:rowOff>
    </xdr:to>
    <xdr:grpSp>
      <xdr:nvGrpSpPr>
        <xdr:cNvPr id="1028" name="Group 4"/>
        <xdr:cNvGrpSpPr>
          <a:grpSpLocks noChangeAspect="1"/>
        </xdr:cNvGrpSpPr>
      </xdr:nvGrpSpPr>
      <xdr:grpSpPr bwMode="auto">
        <a:xfrm>
          <a:off x="0" y="474133"/>
          <a:ext cx="5579532" cy="1320429"/>
          <a:chOff x="0" y="0"/>
          <a:chExt cx="1131" cy="265"/>
        </a:xfrm>
      </xdr:grpSpPr>
      <xdr:sp macro="" textlink="">
        <xdr:nvSpPr>
          <xdr:cNvPr id="1027" name="AutoShape 3"/>
          <xdr:cNvSpPr>
            <a:spLocks noChangeAspect="1" noChangeArrowheads="1" noTextEdit="1"/>
          </xdr:cNvSpPr>
        </xdr:nvSpPr>
        <xdr:spPr bwMode="auto">
          <a:xfrm>
            <a:off x="0" y="0"/>
            <a:ext cx="1131" cy="2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5" name="Picture 4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68"/>
          <a:stretch/>
        </xdr:blipFill>
        <xdr:spPr bwMode="auto">
          <a:xfrm>
            <a:off x="0" y="0"/>
            <a:ext cx="1123" cy="2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24"/>
  <sheetViews>
    <sheetView tabSelected="1" workbookViewId="0">
      <selection activeCell="N33" sqref="N33"/>
    </sheetView>
  </sheetViews>
  <sheetFormatPr defaultRowHeight="13.2" x14ac:dyDescent="0.25"/>
  <cols>
    <col min="1" max="2" width="8.88671875" style="75"/>
    <col min="3" max="3" width="17.21875" style="75" customWidth="1"/>
    <col min="4" max="16384" width="8.88671875" style="75"/>
  </cols>
  <sheetData>
    <row r="1" spans="1:4" x14ac:dyDescent="0.25">
      <c r="A1" s="74" t="s">
        <v>202</v>
      </c>
    </row>
    <row r="2" spans="1:4" x14ac:dyDescent="0.25">
      <c r="A2" s="74" t="s">
        <v>203</v>
      </c>
    </row>
    <row r="4" spans="1:4" x14ac:dyDescent="0.25">
      <c r="A4" s="74" t="s">
        <v>224</v>
      </c>
    </row>
    <row r="5" spans="1:4" x14ac:dyDescent="0.25">
      <c r="A5" s="74" t="s">
        <v>204</v>
      </c>
    </row>
    <row r="6" spans="1:4" s="77" customFormat="1" x14ac:dyDescent="0.25">
      <c r="A6" s="76"/>
    </row>
    <row r="7" spans="1:4" x14ac:dyDescent="0.25">
      <c r="A7" s="74" t="s">
        <v>205</v>
      </c>
    </row>
    <row r="8" spans="1:4" x14ac:dyDescent="0.25">
      <c r="A8" s="74" t="s">
        <v>206</v>
      </c>
    </row>
    <row r="9" spans="1:4" x14ac:dyDescent="0.25">
      <c r="A9" s="74"/>
    </row>
    <row r="10" spans="1:4" x14ac:dyDescent="0.25">
      <c r="A10" s="78" t="s">
        <v>207</v>
      </c>
    </row>
    <row r="11" spans="1:4" x14ac:dyDescent="0.25">
      <c r="A11" s="88" t="s">
        <v>225</v>
      </c>
      <c r="B11" s="88"/>
      <c r="C11" s="88"/>
      <c r="D11" s="79" t="s">
        <v>208</v>
      </c>
    </row>
    <row r="12" spans="1:4" x14ac:dyDescent="0.25">
      <c r="A12" s="88" t="s">
        <v>226</v>
      </c>
      <c r="B12" s="88"/>
      <c r="C12" s="88"/>
      <c r="D12" s="79" t="s">
        <v>209</v>
      </c>
    </row>
    <row r="13" spans="1:4" x14ac:dyDescent="0.25">
      <c r="A13" s="88" t="s">
        <v>227</v>
      </c>
      <c r="B13" s="88"/>
      <c r="C13" s="88"/>
      <c r="D13" s="79" t="s">
        <v>210</v>
      </c>
    </row>
    <row r="14" spans="1:4" x14ac:dyDescent="0.25">
      <c r="A14" s="88" t="s">
        <v>211</v>
      </c>
      <c r="B14" s="88"/>
      <c r="C14" s="88"/>
      <c r="D14" s="79" t="s">
        <v>237</v>
      </c>
    </row>
    <row r="15" spans="1:4" x14ac:dyDescent="0.25">
      <c r="A15" s="88" t="s">
        <v>212</v>
      </c>
      <c r="B15" s="88"/>
      <c r="C15" s="88"/>
      <c r="D15" s="79" t="s">
        <v>238</v>
      </c>
    </row>
    <row r="16" spans="1:4" x14ac:dyDescent="0.25">
      <c r="A16" s="88" t="s">
        <v>239</v>
      </c>
      <c r="B16" s="88"/>
      <c r="C16" s="88"/>
      <c r="D16" s="79" t="s">
        <v>213</v>
      </c>
    </row>
    <row r="17" spans="1:16" x14ac:dyDescent="0.25">
      <c r="A17" s="88" t="s">
        <v>240</v>
      </c>
      <c r="B17" s="88"/>
      <c r="C17" s="88"/>
      <c r="D17" s="79" t="s">
        <v>214</v>
      </c>
    </row>
    <row r="18" spans="1:16" x14ac:dyDescent="0.25">
      <c r="A18" s="80" t="s">
        <v>241</v>
      </c>
      <c r="B18" s="80"/>
      <c r="C18" s="80"/>
      <c r="D18" s="79" t="s">
        <v>215</v>
      </c>
    </row>
    <row r="19" spans="1:16" x14ac:dyDescent="0.25">
      <c r="A19" s="80" t="s">
        <v>216</v>
      </c>
      <c r="B19" s="80"/>
      <c r="C19" s="80"/>
      <c r="D19" s="79" t="s">
        <v>217</v>
      </c>
    </row>
    <row r="21" spans="1:16" x14ac:dyDescent="0.25">
      <c r="A21" s="78" t="s">
        <v>218</v>
      </c>
    </row>
    <row r="22" spans="1:16" x14ac:dyDescent="0.25">
      <c r="A22" s="89" t="s">
        <v>219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</row>
    <row r="23" spans="1:16" x14ac:dyDescent="0.25">
      <c r="A23" s="75" t="s">
        <v>220</v>
      </c>
    </row>
    <row r="24" spans="1:16" x14ac:dyDescent="0.25">
      <c r="C24" s="74" t="s">
        <v>221</v>
      </c>
    </row>
  </sheetData>
  <mergeCells count="8">
    <mergeCell ref="A17:C17"/>
    <mergeCell ref="A22:P22"/>
    <mergeCell ref="A11:C11"/>
    <mergeCell ref="A12:C12"/>
    <mergeCell ref="A13:C13"/>
    <mergeCell ref="A14:C14"/>
    <mergeCell ref="A15:C15"/>
    <mergeCell ref="A16:C16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6"/>
  <sheetViews>
    <sheetView workbookViewId="0">
      <selection activeCell="D22" sqref="D22"/>
    </sheetView>
  </sheetViews>
  <sheetFormatPr defaultRowHeight="14.4" x14ac:dyDescent="0.3"/>
  <cols>
    <col min="2" max="2" width="15" bestFit="1" customWidth="1"/>
    <col min="3" max="3" width="14.77734375" bestFit="1" customWidth="1"/>
    <col min="4" max="4" width="23.5546875" customWidth="1"/>
  </cols>
  <sheetData>
    <row r="1" spans="1:5" x14ac:dyDescent="0.3">
      <c r="A1" t="s">
        <v>16</v>
      </c>
      <c r="B1" t="s">
        <v>86</v>
      </c>
      <c r="C1" t="s">
        <v>87</v>
      </c>
    </row>
    <row r="2" spans="1:5" x14ac:dyDescent="0.3">
      <c r="A2" t="s">
        <v>101</v>
      </c>
      <c r="B2" s="11">
        <f>97324</f>
        <v>97324</v>
      </c>
      <c r="C2" s="12">
        <f>450724</f>
        <v>450724</v>
      </c>
      <c r="D2" t="s">
        <v>136</v>
      </c>
    </row>
    <row r="3" spans="1:5" x14ac:dyDescent="0.3">
      <c r="A3" t="s">
        <v>100</v>
      </c>
      <c r="B3" s="11">
        <f>112048</f>
        <v>112048</v>
      </c>
      <c r="C3" s="12">
        <f>331986</f>
        <v>331986</v>
      </c>
      <c r="D3" t="s">
        <v>136</v>
      </c>
    </row>
    <row r="4" spans="1:5" x14ac:dyDescent="0.3">
      <c r="A4" t="s">
        <v>137</v>
      </c>
      <c r="B4" s="11">
        <v>39230</v>
      </c>
      <c r="C4" s="12">
        <v>94169</v>
      </c>
      <c r="D4" t="s">
        <v>138</v>
      </c>
    </row>
    <row r="5" spans="1:5" x14ac:dyDescent="0.3">
      <c r="A5" t="s">
        <v>102</v>
      </c>
      <c r="B5" s="11">
        <f>207998</f>
        <v>207998</v>
      </c>
      <c r="C5" s="12">
        <f>413108</f>
        <v>413108</v>
      </c>
      <c r="D5" t="s">
        <v>136</v>
      </c>
    </row>
    <row r="6" spans="1:5" x14ac:dyDescent="0.3">
      <c r="A6" t="s">
        <v>134</v>
      </c>
      <c r="B6" s="12">
        <v>170771</v>
      </c>
      <c r="C6" s="12">
        <v>281972</v>
      </c>
      <c r="D6" t="s">
        <v>136</v>
      </c>
    </row>
    <row r="7" spans="1:5" x14ac:dyDescent="0.3">
      <c r="A7" t="s">
        <v>103</v>
      </c>
      <c r="B7" s="11">
        <f>191600</f>
        <v>191600</v>
      </c>
      <c r="C7" s="12">
        <f>208280</f>
        <v>208280</v>
      </c>
      <c r="D7" t="s">
        <v>136</v>
      </c>
    </row>
    <row r="8" spans="1:5" ht="14.4" customHeight="1" x14ac:dyDescent="0.3">
      <c r="A8" t="s">
        <v>104</v>
      </c>
      <c r="B8" s="11">
        <f>235840</f>
        <v>235840</v>
      </c>
      <c r="C8" s="11">
        <f>281300+215200</f>
        <v>496500</v>
      </c>
      <c r="D8" s="94" t="s">
        <v>135</v>
      </c>
    </row>
    <row r="9" spans="1:5" x14ac:dyDescent="0.3">
      <c r="A9" t="s">
        <v>92</v>
      </c>
      <c r="B9" s="11">
        <v>136055</v>
      </c>
      <c r="C9" s="11">
        <f>326695+244637</f>
        <v>571332</v>
      </c>
      <c r="D9" s="94"/>
    </row>
    <row r="10" spans="1:5" ht="14.4" customHeight="1" x14ac:dyDescent="0.3">
      <c r="A10" t="s">
        <v>91</v>
      </c>
      <c r="B10" s="11">
        <f>100260</f>
        <v>100260</v>
      </c>
      <c r="C10" s="11">
        <f>166152+115400</f>
        <v>281552</v>
      </c>
      <c r="D10" s="94"/>
      <c r="E10" t="s">
        <v>93</v>
      </c>
    </row>
    <row r="11" spans="1:5" x14ac:dyDescent="0.3">
      <c r="A11" t="s">
        <v>88</v>
      </c>
      <c r="B11" s="11">
        <f>139220+211530</f>
        <v>350750</v>
      </c>
      <c r="C11" s="11">
        <f>192326+187673</f>
        <v>379999</v>
      </c>
      <c r="D11" s="94"/>
      <c r="E11" t="s">
        <v>90</v>
      </c>
    </row>
    <row r="12" spans="1:5" x14ac:dyDescent="0.3">
      <c r="A12" t="s">
        <v>89</v>
      </c>
      <c r="B12" s="11">
        <v>139220</v>
      </c>
      <c r="C12" s="11">
        <f>321552+189392</f>
        <v>510944</v>
      </c>
      <c r="D12" s="94"/>
    </row>
    <row r="13" spans="1:5" x14ac:dyDescent="0.3">
      <c r="A13" t="s">
        <v>166</v>
      </c>
      <c r="B13" s="11">
        <v>806327</v>
      </c>
      <c r="C13" s="11">
        <v>294053</v>
      </c>
      <c r="D13" s="7" t="s">
        <v>146</v>
      </c>
    </row>
    <row r="14" spans="1:5" x14ac:dyDescent="0.3">
      <c r="A14" t="s">
        <v>164</v>
      </c>
      <c r="B14" s="11">
        <v>364350</v>
      </c>
      <c r="C14" s="11">
        <v>418300</v>
      </c>
      <c r="D14" s="28" t="s">
        <v>165</v>
      </c>
    </row>
    <row r="15" spans="1:5" x14ac:dyDescent="0.3">
      <c r="A15" t="s">
        <v>145</v>
      </c>
      <c r="B15" s="11">
        <v>974767</v>
      </c>
      <c r="C15" s="11">
        <v>352244</v>
      </c>
      <c r="D15" t="s">
        <v>146</v>
      </c>
    </row>
    <row r="16" spans="1:5" x14ac:dyDescent="0.3">
      <c r="A16" t="s">
        <v>144</v>
      </c>
      <c r="B16" s="11">
        <v>1152479</v>
      </c>
      <c r="C16" s="11">
        <v>301762</v>
      </c>
      <c r="D16" t="s">
        <v>146</v>
      </c>
    </row>
  </sheetData>
  <mergeCells count="1">
    <mergeCell ref="D8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3"/>
  <sheetViews>
    <sheetView zoomScale="90" zoomScaleNormal="90" workbookViewId="0">
      <selection activeCell="C32" sqref="C32"/>
    </sheetView>
  </sheetViews>
  <sheetFormatPr defaultRowHeight="14.4" x14ac:dyDescent="0.3"/>
  <cols>
    <col min="1" max="1" width="38.109375" style="14" customWidth="1"/>
    <col min="2" max="2" width="12.5546875" style="14" customWidth="1"/>
    <col min="3" max="3" width="13.88671875" style="14" customWidth="1"/>
    <col min="4" max="4" width="12.5546875" style="14" customWidth="1"/>
    <col min="5" max="5" width="10.77734375" style="14" customWidth="1"/>
    <col min="6" max="16384" width="8.88671875" style="14"/>
  </cols>
  <sheetData>
    <row r="1" spans="1:3" ht="15" x14ac:dyDescent="0.3">
      <c r="A1" s="15"/>
    </row>
    <row r="2" spans="1:3" ht="15.6" x14ac:dyDescent="0.3">
      <c r="A2" s="95" t="s">
        <v>54</v>
      </c>
      <c r="B2" s="95"/>
      <c r="C2" s="95"/>
    </row>
    <row r="3" spans="1:3" ht="15" x14ac:dyDescent="0.3">
      <c r="A3" s="15"/>
    </row>
    <row r="4" spans="1:3" ht="15" x14ac:dyDescent="0.3">
      <c r="A4" s="15"/>
    </row>
    <row r="5" spans="1:3" ht="15" x14ac:dyDescent="0.3">
      <c r="A5" s="15"/>
    </row>
    <row r="6" spans="1:3" ht="15" x14ac:dyDescent="0.3">
      <c r="A6" s="15"/>
    </row>
    <row r="7" spans="1:3" ht="15" x14ac:dyDescent="0.3">
      <c r="A7" s="15"/>
    </row>
    <row r="8" spans="1:3" ht="15" x14ac:dyDescent="0.3">
      <c r="A8" s="15"/>
    </row>
    <row r="9" spans="1:3" ht="15" x14ac:dyDescent="0.3">
      <c r="A9" s="15"/>
    </row>
    <row r="10" spans="1:3" ht="15" x14ac:dyDescent="0.3">
      <c r="A10" s="15"/>
    </row>
    <row r="11" spans="1:3" ht="15" x14ac:dyDescent="0.3">
      <c r="A11" s="15"/>
    </row>
    <row r="12" spans="1:3" ht="15" x14ac:dyDescent="0.3">
      <c r="A12" s="15"/>
    </row>
    <row r="13" spans="1:3" ht="15" x14ac:dyDescent="0.3">
      <c r="A13" s="15"/>
    </row>
  </sheetData>
  <mergeCells count="1">
    <mergeCell ref="A2:C2"/>
  </mergeCells>
  <pageMargins left="1.25" right="1.25" top="1" bottom="0.79166666666666696" header="0.25" footer="0.25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O17"/>
  <sheetViews>
    <sheetView zoomScaleNormal="100" workbookViewId="0">
      <pane xSplit="2" ySplit="8" topLeftCell="C9" activePane="bottomRight" state="frozenSplit"/>
      <selection activeCell="AK6" sqref="AK6"/>
      <selection pane="topRight" activeCell="AK6" sqref="AK6"/>
      <selection pane="bottomLeft" activeCell="AK6" sqref="AK6"/>
      <selection pane="bottomRight" activeCell="AI7" sqref="AI7"/>
    </sheetView>
  </sheetViews>
  <sheetFormatPr defaultColWidth="9.6640625" defaultRowHeight="12" x14ac:dyDescent="0.2"/>
  <cols>
    <col min="1" max="1" width="6.44140625" style="47" customWidth="1"/>
    <col min="2" max="2" width="13.88671875" style="46" customWidth="1"/>
    <col min="3" max="3" width="7.44140625" style="46" customWidth="1"/>
    <col min="4" max="4" width="12.5546875" style="46" customWidth="1"/>
    <col min="5" max="5" width="12.109375" style="46" customWidth="1"/>
    <col min="6" max="6" width="13.6640625" style="46" customWidth="1"/>
    <col min="7" max="7" width="9.88671875" style="46" customWidth="1"/>
    <col min="8" max="8" width="12.109375" style="46" bestFit="1" customWidth="1"/>
    <col min="9" max="9" width="8.21875" style="46" customWidth="1"/>
    <col min="10" max="10" width="11.44140625" style="46" customWidth="1"/>
    <col min="11" max="11" width="12.88671875" style="46" customWidth="1"/>
    <col min="12" max="12" width="14" style="46" customWidth="1"/>
    <col min="13" max="15" width="9.6640625" style="46"/>
    <col min="16" max="16" width="12.109375" style="46" customWidth="1"/>
    <col min="17" max="19" width="9.6640625" style="46"/>
    <col min="20" max="20" width="16.21875" style="46" customWidth="1"/>
    <col min="21" max="21" width="12" style="46" customWidth="1"/>
    <col min="22" max="22" width="12.77734375" style="46" customWidth="1"/>
    <col min="23" max="23" width="11.109375" style="46" customWidth="1"/>
    <col min="24" max="24" width="12" style="46" customWidth="1"/>
    <col min="25" max="25" width="9.6640625" style="46"/>
    <col min="26" max="26" width="15.33203125" style="46" customWidth="1"/>
    <col min="27" max="27" width="15.21875" style="46" customWidth="1"/>
    <col min="28" max="28" width="13.77734375" style="46" customWidth="1"/>
    <col min="29" max="29" width="11.77734375" style="46" customWidth="1"/>
    <col min="30" max="31" width="9.6640625" style="46"/>
    <col min="32" max="32" width="13.109375" style="46" customWidth="1"/>
    <col min="33" max="33" width="13.88671875" style="46" customWidth="1"/>
    <col min="34" max="34" width="9.6640625" style="46"/>
    <col min="35" max="35" width="13" style="46" customWidth="1"/>
    <col min="36" max="38" width="9.6640625" style="46"/>
    <col min="39" max="39" width="11.44140625" style="46" customWidth="1"/>
    <col min="40" max="40" width="11.109375" style="46" customWidth="1"/>
    <col min="41" max="43" width="9.6640625" style="46"/>
    <col min="44" max="44" width="6.6640625" style="46" customWidth="1"/>
    <col min="45" max="45" width="9.109375" style="46" customWidth="1"/>
    <col min="46" max="46" width="13.33203125" style="46" customWidth="1"/>
    <col min="47" max="47" width="13.88671875" style="46" customWidth="1"/>
    <col min="48" max="48" width="16" style="46" customWidth="1"/>
    <col min="49" max="49" width="11.5546875" style="46" customWidth="1"/>
    <col min="50" max="50" width="10.21875" style="46" customWidth="1"/>
    <col min="51" max="51" width="15.21875" style="46" customWidth="1"/>
    <col min="52" max="52" width="11.21875" style="46" customWidth="1"/>
    <col min="53" max="53" width="18.33203125" style="46" customWidth="1"/>
    <col min="54" max="54" width="12.88671875" style="46" customWidth="1"/>
    <col min="55" max="56" width="13.21875" style="46" customWidth="1"/>
    <col min="57" max="57" width="10.88671875" style="46" customWidth="1"/>
    <col min="58" max="58" width="11.109375" style="46" customWidth="1"/>
    <col min="59" max="59" width="15.21875" style="46" customWidth="1"/>
    <col min="60" max="60" width="9.6640625" style="46"/>
    <col min="61" max="61" width="11" style="46" customWidth="1"/>
    <col min="62" max="62" width="10.77734375" style="46" customWidth="1"/>
    <col min="63" max="63" width="11.44140625" style="46" customWidth="1"/>
    <col min="64" max="64" width="10.44140625" style="46" customWidth="1"/>
    <col min="65" max="65" width="15.33203125" style="46" customWidth="1"/>
    <col min="66" max="255" width="9.6640625" style="46"/>
    <col min="256" max="256" width="6.44140625" style="46" customWidth="1"/>
    <col min="257" max="257" width="13.88671875" style="46" customWidth="1"/>
    <col min="258" max="258" width="14.33203125" style="46" customWidth="1"/>
    <col min="259" max="275" width="9.6640625" style="46"/>
    <col min="276" max="276" width="12" style="46" customWidth="1"/>
    <col min="277" max="277" width="12.77734375" style="46" customWidth="1"/>
    <col min="278" max="278" width="11.109375" style="46" customWidth="1"/>
    <col min="279" max="279" width="12" style="46" customWidth="1"/>
    <col min="280" max="280" width="9.6640625" style="46"/>
    <col min="281" max="281" width="15.33203125" style="46" customWidth="1"/>
    <col min="282" max="282" width="15.21875" style="46" customWidth="1"/>
    <col min="283" max="283" width="21.44140625" style="46" customWidth="1"/>
    <col min="284" max="299" width="9.6640625" style="46"/>
    <col min="300" max="301" width="13.44140625" style="46" customWidth="1"/>
    <col min="302" max="302" width="9.6640625" style="46"/>
    <col min="303" max="303" width="13.88671875" style="46" customWidth="1"/>
    <col min="304" max="304" width="10.6640625" style="46" customWidth="1"/>
    <col min="305" max="305" width="17.33203125" style="46" customWidth="1"/>
    <col min="306" max="307" width="12.6640625" style="46" customWidth="1"/>
    <col min="308" max="308" width="11.21875" style="46" customWidth="1"/>
    <col min="309" max="309" width="18.33203125" style="46" customWidth="1"/>
    <col min="310" max="310" width="12.88671875" style="46" customWidth="1"/>
    <col min="311" max="312" width="13.21875" style="46" customWidth="1"/>
    <col min="313" max="313" width="10.88671875" style="46" customWidth="1"/>
    <col min="314" max="314" width="11.109375" style="46" customWidth="1"/>
    <col min="315" max="315" width="15.21875" style="46" customWidth="1"/>
    <col min="316" max="316" width="9.6640625" style="46"/>
    <col min="317" max="317" width="11" style="46" customWidth="1"/>
    <col min="318" max="318" width="10.77734375" style="46" customWidth="1"/>
    <col min="319" max="319" width="11.44140625" style="46" customWidth="1"/>
    <col min="320" max="320" width="4" style="46" customWidth="1"/>
    <col min="321" max="511" width="9.6640625" style="46"/>
    <col min="512" max="512" width="6.44140625" style="46" customWidth="1"/>
    <col min="513" max="513" width="13.88671875" style="46" customWidth="1"/>
    <col min="514" max="514" width="14.33203125" style="46" customWidth="1"/>
    <col min="515" max="531" width="9.6640625" style="46"/>
    <col min="532" max="532" width="12" style="46" customWidth="1"/>
    <col min="533" max="533" width="12.77734375" style="46" customWidth="1"/>
    <col min="534" max="534" width="11.109375" style="46" customWidth="1"/>
    <col min="535" max="535" width="12" style="46" customWidth="1"/>
    <col min="536" max="536" width="9.6640625" style="46"/>
    <col min="537" max="537" width="15.33203125" style="46" customWidth="1"/>
    <col min="538" max="538" width="15.21875" style="46" customWidth="1"/>
    <col min="539" max="539" width="21.44140625" style="46" customWidth="1"/>
    <col min="540" max="555" width="9.6640625" style="46"/>
    <col min="556" max="557" width="13.44140625" style="46" customWidth="1"/>
    <col min="558" max="558" width="9.6640625" style="46"/>
    <col min="559" max="559" width="13.88671875" style="46" customWidth="1"/>
    <col min="560" max="560" width="10.6640625" style="46" customWidth="1"/>
    <col min="561" max="561" width="17.33203125" style="46" customWidth="1"/>
    <col min="562" max="563" width="12.6640625" style="46" customWidth="1"/>
    <col min="564" max="564" width="11.21875" style="46" customWidth="1"/>
    <col min="565" max="565" width="18.33203125" style="46" customWidth="1"/>
    <col min="566" max="566" width="12.88671875" style="46" customWidth="1"/>
    <col min="567" max="568" width="13.21875" style="46" customWidth="1"/>
    <col min="569" max="569" width="10.88671875" style="46" customWidth="1"/>
    <col min="570" max="570" width="11.109375" style="46" customWidth="1"/>
    <col min="571" max="571" width="15.21875" style="46" customWidth="1"/>
    <col min="572" max="572" width="9.6640625" style="46"/>
    <col min="573" max="573" width="11" style="46" customWidth="1"/>
    <col min="574" max="574" width="10.77734375" style="46" customWidth="1"/>
    <col min="575" max="575" width="11.44140625" style="46" customWidth="1"/>
    <col min="576" max="576" width="4" style="46" customWidth="1"/>
    <col min="577" max="767" width="9.6640625" style="46"/>
    <col min="768" max="768" width="6.44140625" style="46" customWidth="1"/>
    <col min="769" max="769" width="13.88671875" style="46" customWidth="1"/>
    <col min="770" max="770" width="14.33203125" style="46" customWidth="1"/>
    <col min="771" max="787" width="9.6640625" style="46"/>
    <col min="788" max="788" width="12" style="46" customWidth="1"/>
    <col min="789" max="789" width="12.77734375" style="46" customWidth="1"/>
    <col min="790" max="790" width="11.109375" style="46" customWidth="1"/>
    <col min="791" max="791" width="12" style="46" customWidth="1"/>
    <col min="792" max="792" width="9.6640625" style="46"/>
    <col min="793" max="793" width="15.33203125" style="46" customWidth="1"/>
    <col min="794" max="794" width="15.21875" style="46" customWidth="1"/>
    <col min="795" max="795" width="21.44140625" style="46" customWidth="1"/>
    <col min="796" max="811" width="9.6640625" style="46"/>
    <col min="812" max="813" width="13.44140625" style="46" customWidth="1"/>
    <col min="814" max="814" width="9.6640625" style="46"/>
    <col min="815" max="815" width="13.88671875" style="46" customWidth="1"/>
    <col min="816" max="816" width="10.6640625" style="46" customWidth="1"/>
    <col min="817" max="817" width="17.33203125" style="46" customWidth="1"/>
    <col min="818" max="819" width="12.6640625" style="46" customWidth="1"/>
    <col min="820" max="820" width="11.21875" style="46" customWidth="1"/>
    <col min="821" max="821" width="18.33203125" style="46" customWidth="1"/>
    <col min="822" max="822" width="12.88671875" style="46" customWidth="1"/>
    <col min="823" max="824" width="13.21875" style="46" customWidth="1"/>
    <col min="825" max="825" width="10.88671875" style="46" customWidth="1"/>
    <col min="826" max="826" width="11.109375" style="46" customWidth="1"/>
    <col min="827" max="827" width="15.21875" style="46" customWidth="1"/>
    <col min="828" max="828" width="9.6640625" style="46"/>
    <col min="829" max="829" width="11" style="46" customWidth="1"/>
    <col min="830" max="830" width="10.77734375" style="46" customWidth="1"/>
    <col min="831" max="831" width="11.44140625" style="46" customWidth="1"/>
    <col min="832" max="832" width="4" style="46" customWidth="1"/>
    <col min="833" max="1023" width="9.6640625" style="46"/>
    <col min="1024" max="1024" width="6.44140625" style="46" customWidth="1"/>
    <col min="1025" max="1025" width="13.88671875" style="46" customWidth="1"/>
    <col min="1026" max="1026" width="14.33203125" style="46" customWidth="1"/>
    <col min="1027" max="1043" width="9.6640625" style="46"/>
    <col min="1044" max="1044" width="12" style="46" customWidth="1"/>
    <col min="1045" max="1045" width="12.77734375" style="46" customWidth="1"/>
    <col min="1046" max="1046" width="11.109375" style="46" customWidth="1"/>
    <col min="1047" max="1047" width="12" style="46" customWidth="1"/>
    <col min="1048" max="1048" width="9.6640625" style="46"/>
    <col min="1049" max="1049" width="15.33203125" style="46" customWidth="1"/>
    <col min="1050" max="1050" width="15.21875" style="46" customWidth="1"/>
    <col min="1051" max="1051" width="21.44140625" style="46" customWidth="1"/>
    <col min="1052" max="1067" width="9.6640625" style="46"/>
    <col min="1068" max="1069" width="13.44140625" style="46" customWidth="1"/>
    <col min="1070" max="1070" width="9.6640625" style="46"/>
    <col min="1071" max="1071" width="13.88671875" style="46" customWidth="1"/>
    <col min="1072" max="1072" width="10.6640625" style="46" customWidth="1"/>
    <col min="1073" max="1073" width="17.33203125" style="46" customWidth="1"/>
    <col min="1074" max="1075" width="12.6640625" style="46" customWidth="1"/>
    <col min="1076" max="1076" width="11.21875" style="46" customWidth="1"/>
    <col min="1077" max="1077" width="18.33203125" style="46" customWidth="1"/>
    <col min="1078" max="1078" width="12.88671875" style="46" customWidth="1"/>
    <col min="1079" max="1080" width="13.21875" style="46" customWidth="1"/>
    <col min="1081" max="1081" width="10.88671875" style="46" customWidth="1"/>
    <col min="1082" max="1082" width="11.109375" style="46" customWidth="1"/>
    <col min="1083" max="1083" width="15.21875" style="46" customWidth="1"/>
    <col min="1084" max="1084" width="9.6640625" style="46"/>
    <col min="1085" max="1085" width="11" style="46" customWidth="1"/>
    <col min="1086" max="1086" width="10.77734375" style="46" customWidth="1"/>
    <col min="1087" max="1087" width="11.44140625" style="46" customWidth="1"/>
    <col min="1088" max="1088" width="4" style="46" customWidth="1"/>
    <col min="1089" max="1279" width="9.6640625" style="46"/>
    <col min="1280" max="1280" width="6.44140625" style="46" customWidth="1"/>
    <col min="1281" max="1281" width="13.88671875" style="46" customWidth="1"/>
    <col min="1282" max="1282" width="14.33203125" style="46" customWidth="1"/>
    <col min="1283" max="1299" width="9.6640625" style="46"/>
    <col min="1300" max="1300" width="12" style="46" customWidth="1"/>
    <col min="1301" max="1301" width="12.77734375" style="46" customWidth="1"/>
    <col min="1302" max="1302" width="11.109375" style="46" customWidth="1"/>
    <col min="1303" max="1303" width="12" style="46" customWidth="1"/>
    <col min="1304" max="1304" width="9.6640625" style="46"/>
    <col min="1305" max="1305" width="15.33203125" style="46" customWidth="1"/>
    <col min="1306" max="1306" width="15.21875" style="46" customWidth="1"/>
    <col min="1307" max="1307" width="21.44140625" style="46" customWidth="1"/>
    <col min="1308" max="1323" width="9.6640625" style="46"/>
    <col min="1324" max="1325" width="13.44140625" style="46" customWidth="1"/>
    <col min="1326" max="1326" width="9.6640625" style="46"/>
    <col min="1327" max="1327" width="13.88671875" style="46" customWidth="1"/>
    <col min="1328" max="1328" width="10.6640625" style="46" customWidth="1"/>
    <col min="1329" max="1329" width="17.33203125" style="46" customWidth="1"/>
    <col min="1330" max="1331" width="12.6640625" style="46" customWidth="1"/>
    <col min="1332" max="1332" width="11.21875" style="46" customWidth="1"/>
    <col min="1333" max="1333" width="18.33203125" style="46" customWidth="1"/>
    <col min="1334" max="1334" width="12.88671875" style="46" customWidth="1"/>
    <col min="1335" max="1336" width="13.21875" style="46" customWidth="1"/>
    <col min="1337" max="1337" width="10.88671875" style="46" customWidth="1"/>
    <col min="1338" max="1338" width="11.109375" style="46" customWidth="1"/>
    <col min="1339" max="1339" width="15.21875" style="46" customWidth="1"/>
    <col min="1340" max="1340" width="9.6640625" style="46"/>
    <col min="1341" max="1341" width="11" style="46" customWidth="1"/>
    <col min="1342" max="1342" width="10.77734375" style="46" customWidth="1"/>
    <col min="1343" max="1343" width="11.44140625" style="46" customWidth="1"/>
    <col min="1344" max="1344" width="4" style="46" customWidth="1"/>
    <col min="1345" max="1535" width="9.6640625" style="46"/>
    <col min="1536" max="1536" width="6.44140625" style="46" customWidth="1"/>
    <col min="1537" max="1537" width="13.88671875" style="46" customWidth="1"/>
    <col min="1538" max="1538" width="14.33203125" style="46" customWidth="1"/>
    <col min="1539" max="1555" width="9.6640625" style="46"/>
    <col min="1556" max="1556" width="12" style="46" customWidth="1"/>
    <col min="1557" max="1557" width="12.77734375" style="46" customWidth="1"/>
    <col min="1558" max="1558" width="11.109375" style="46" customWidth="1"/>
    <col min="1559" max="1559" width="12" style="46" customWidth="1"/>
    <col min="1560" max="1560" width="9.6640625" style="46"/>
    <col min="1561" max="1561" width="15.33203125" style="46" customWidth="1"/>
    <col min="1562" max="1562" width="15.21875" style="46" customWidth="1"/>
    <col min="1563" max="1563" width="21.44140625" style="46" customWidth="1"/>
    <col min="1564" max="1579" width="9.6640625" style="46"/>
    <col min="1580" max="1581" width="13.44140625" style="46" customWidth="1"/>
    <col min="1582" max="1582" width="9.6640625" style="46"/>
    <col min="1583" max="1583" width="13.88671875" style="46" customWidth="1"/>
    <col min="1584" max="1584" width="10.6640625" style="46" customWidth="1"/>
    <col min="1585" max="1585" width="17.33203125" style="46" customWidth="1"/>
    <col min="1586" max="1587" width="12.6640625" style="46" customWidth="1"/>
    <col min="1588" max="1588" width="11.21875" style="46" customWidth="1"/>
    <col min="1589" max="1589" width="18.33203125" style="46" customWidth="1"/>
    <col min="1590" max="1590" width="12.88671875" style="46" customWidth="1"/>
    <col min="1591" max="1592" width="13.21875" style="46" customWidth="1"/>
    <col min="1593" max="1593" width="10.88671875" style="46" customWidth="1"/>
    <col min="1594" max="1594" width="11.109375" style="46" customWidth="1"/>
    <col min="1595" max="1595" width="15.21875" style="46" customWidth="1"/>
    <col min="1596" max="1596" width="9.6640625" style="46"/>
    <col min="1597" max="1597" width="11" style="46" customWidth="1"/>
    <col min="1598" max="1598" width="10.77734375" style="46" customWidth="1"/>
    <col min="1599" max="1599" width="11.44140625" style="46" customWidth="1"/>
    <col min="1600" max="1600" width="4" style="46" customWidth="1"/>
    <col min="1601" max="1791" width="9.6640625" style="46"/>
    <col min="1792" max="1792" width="6.44140625" style="46" customWidth="1"/>
    <col min="1793" max="1793" width="13.88671875" style="46" customWidth="1"/>
    <col min="1794" max="1794" width="14.33203125" style="46" customWidth="1"/>
    <col min="1795" max="1811" width="9.6640625" style="46"/>
    <col min="1812" max="1812" width="12" style="46" customWidth="1"/>
    <col min="1813" max="1813" width="12.77734375" style="46" customWidth="1"/>
    <col min="1814" max="1814" width="11.109375" style="46" customWidth="1"/>
    <col min="1815" max="1815" width="12" style="46" customWidth="1"/>
    <col min="1816" max="1816" width="9.6640625" style="46"/>
    <col min="1817" max="1817" width="15.33203125" style="46" customWidth="1"/>
    <col min="1818" max="1818" width="15.21875" style="46" customWidth="1"/>
    <col min="1819" max="1819" width="21.44140625" style="46" customWidth="1"/>
    <col min="1820" max="1835" width="9.6640625" style="46"/>
    <col min="1836" max="1837" width="13.44140625" style="46" customWidth="1"/>
    <col min="1838" max="1838" width="9.6640625" style="46"/>
    <col min="1839" max="1839" width="13.88671875" style="46" customWidth="1"/>
    <col min="1840" max="1840" width="10.6640625" style="46" customWidth="1"/>
    <col min="1841" max="1841" width="17.33203125" style="46" customWidth="1"/>
    <col min="1842" max="1843" width="12.6640625" style="46" customWidth="1"/>
    <col min="1844" max="1844" width="11.21875" style="46" customWidth="1"/>
    <col min="1845" max="1845" width="18.33203125" style="46" customWidth="1"/>
    <col min="1846" max="1846" width="12.88671875" style="46" customWidth="1"/>
    <col min="1847" max="1848" width="13.21875" style="46" customWidth="1"/>
    <col min="1849" max="1849" width="10.88671875" style="46" customWidth="1"/>
    <col min="1850" max="1850" width="11.109375" style="46" customWidth="1"/>
    <col min="1851" max="1851" width="15.21875" style="46" customWidth="1"/>
    <col min="1852" max="1852" width="9.6640625" style="46"/>
    <col min="1853" max="1853" width="11" style="46" customWidth="1"/>
    <col min="1854" max="1854" width="10.77734375" style="46" customWidth="1"/>
    <col min="1855" max="1855" width="11.44140625" style="46" customWidth="1"/>
    <col min="1856" max="1856" width="4" style="46" customWidth="1"/>
    <col min="1857" max="2047" width="9.6640625" style="46"/>
    <col min="2048" max="2048" width="6.44140625" style="46" customWidth="1"/>
    <col min="2049" max="2049" width="13.88671875" style="46" customWidth="1"/>
    <col min="2050" max="2050" width="14.33203125" style="46" customWidth="1"/>
    <col min="2051" max="2067" width="9.6640625" style="46"/>
    <col min="2068" max="2068" width="12" style="46" customWidth="1"/>
    <col min="2069" max="2069" width="12.77734375" style="46" customWidth="1"/>
    <col min="2070" max="2070" width="11.109375" style="46" customWidth="1"/>
    <col min="2071" max="2071" width="12" style="46" customWidth="1"/>
    <col min="2072" max="2072" width="9.6640625" style="46"/>
    <col min="2073" max="2073" width="15.33203125" style="46" customWidth="1"/>
    <col min="2074" max="2074" width="15.21875" style="46" customWidth="1"/>
    <col min="2075" max="2075" width="21.44140625" style="46" customWidth="1"/>
    <col min="2076" max="2091" width="9.6640625" style="46"/>
    <col min="2092" max="2093" width="13.44140625" style="46" customWidth="1"/>
    <col min="2094" max="2094" width="9.6640625" style="46"/>
    <col min="2095" max="2095" width="13.88671875" style="46" customWidth="1"/>
    <col min="2096" max="2096" width="10.6640625" style="46" customWidth="1"/>
    <col min="2097" max="2097" width="17.33203125" style="46" customWidth="1"/>
    <col min="2098" max="2099" width="12.6640625" style="46" customWidth="1"/>
    <col min="2100" max="2100" width="11.21875" style="46" customWidth="1"/>
    <col min="2101" max="2101" width="18.33203125" style="46" customWidth="1"/>
    <col min="2102" max="2102" width="12.88671875" style="46" customWidth="1"/>
    <col min="2103" max="2104" width="13.21875" style="46" customWidth="1"/>
    <col min="2105" max="2105" width="10.88671875" style="46" customWidth="1"/>
    <col min="2106" max="2106" width="11.109375" style="46" customWidth="1"/>
    <col min="2107" max="2107" width="15.21875" style="46" customWidth="1"/>
    <col min="2108" max="2108" width="9.6640625" style="46"/>
    <col min="2109" max="2109" width="11" style="46" customWidth="1"/>
    <col min="2110" max="2110" width="10.77734375" style="46" customWidth="1"/>
    <col min="2111" max="2111" width="11.44140625" style="46" customWidth="1"/>
    <col min="2112" max="2112" width="4" style="46" customWidth="1"/>
    <col min="2113" max="2303" width="9.6640625" style="46"/>
    <col min="2304" max="2304" width="6.44140625" style="46" customWidth="1"/>
    <col min="2305" max="2305" width="13.88671875" style="46" customWidth="1"/>
    <col min="2306" max="2306" width="14.33203125" style="46" customWidth="1"/>
    <col min="2307" max="2323" width="9.6640625" style="46"/>
    <col min="2324" max="2324" width="12" style="46" customWidth="1"/>
    <col min="2325" max="2325" width="12.77734375" style="46" customWidth="1"/>
    <col min="2326" max="2326" width="11.109375" style="46" customWidth="1"/>
    <col min="2327" max="2327" width="12" style="46" customWidth="1"/>
    <col min="2328" max="2328" width="9.6640625" style="46"/>
    <col min="2329" max="2329" width="15.33203125" style="46" customWidth="1"/>
    <col min="2330" max="2330" width="15.21875" style="46" customWidth="1"/>
    <col min="2331" max="2331" width="21.44140625" style="46" customWidth="1"/>
    <col min="2332" max="2347" width="9.6640625" style="46"/>
    <col min="2348" max="2349" width="13.44140625" style="46" customWidth="1"/>
    <col min="2350" max="2350" width="9.6640625" style="46"/>
    <col min="2351" max="2351" width="13.88671875" style="46" customWidth="1"/>
    <col min="2352" max="2352" width="10.6640625" style="46" customWidth="1"/>
    <col min="2353" max="2353" width="17.33203125" style="46" customWidth="1"/>
    <col min="2354" max="2355" width="12.6640625" style="46" customWidth="1"/>
    <col min="2356" max="2356" width="11.21875" style="46" customWidth="1"/>
    <col min="2357" max="2357" width="18.33203125" style="46" customWidth="1"/>
    <col min="2358" max="2358" width="12.88671875" style="46" customWidth="1"/>
    <col min="2359" max="2360" width="13.21875" style="46" customWidth="1"/>
    <col min="2361" max="2361" width="10.88671875" style="46" customWidth="1"/>
    <col min="2362" max="2362" width="11.109375" style="46" customWidth="1"/>
    <col min="2363" max="2363" width="15.21875" style="46" customWidth="1"/>
    <col min="2364" max="2364" width="9.6640625" style="46"/>
    <col min="2365" max="2365" width="11" style="46" customWidth="1"/>
    <col min="2366" max="2366" width="10.77734375" style="46" customWidth="1"/>
    <col min="2367" max="2367" width="11.44140625" style="46" customWidth="1"/>
    <col min="2368" max="2368" width="4" style="46" customWidth="1"/>
    <col min="2369" max="2559" width="9.6640625" style="46"/>
    <col min="2560" max="2560" width="6.44140625" style="46" customWidth="1"/>
    <col min="2561" max="2561" width="13.88671875" style="46" customWidth="1"/>
    <col min="2562" max="2562" width="14.33203125" style="46" customWidth="1"/>
    <col min="2563" max="2579" width="9.6640625" style="46"/>
    <col min="2580" max="2580" width="12" style="46" customWidth="1"/>
    <col min="2581" max="2581" width="12.77734375" style="46" customWidth="1"/>
    <col min="2582" max="2582" width="11.109375" style="46" customWidth="1"/>
    <col min="2583" max="2583" width="12" style="46" customWidth="1"/>
    <col min="2584" max="2584" width="9.6640625" style="46"/>
    <col min="2585" max="2585" width="15.33203125" style="46" customWidth="1"/>
    <col min="2586" max="2586" width="15.21875" style="46" customWidth="1"/>
    <col min="2587" max="2587" width="21.44140625" style="46" customWidth="1"/>
    <col min="2588" max="2603" width="9.6640625" style="46"/>
    <col min="2604" max="2605" width="13.44140625" style="46" customWidth="1"/>
    <col min="2606" max="2606" width="9.6640625" style="46"/>
    <col min="2607" max="2607" width="13.88671875" style="46" customWidth="1"/>
    <col min="2608" max="2608" width="10.6640625" style="46" customWidth="1"/>
    <col min="2609" max="2609" width="17.33203125" style="46" customWidth="1"/>
    <col min="2610" max="2611" width="12.6640625" style="46" customWidth="1"/>
    <col min="2612" max="2612" width="11.21875" style="46" customWidth="1"/>
    <col min="2613" max="2613" width="18.33203125" style="46" customWidth="1"/>
    <col min="2614" max="2614" width="12.88671875" style="46" customWidth="1"/>
    <col min="2615" max="2616" width="13.21875" style="46" customWidth="1"/>
    <col min="2617" max="2617" width="10.88671875" style="46" customWidth="1"/>
    <col min="2618" max="2618" width="11.109375" style="46" customWidth="1"/>
    <col min="2619" max="2619" width="15.21875" style="46" customWidth="1"/>
    <col min="2620" max="2620" width="9.6640625" style="46"/>
    <col min="2621" max="2621" width="11" style="46" customWidth="1"/>
    <col min="2622" max="2622" width="10.77734375" style="46" customWidth="1"/>
    <col min="2623" max="2623" width="11.44140625" style="46" customWidth="1"/>
    <col min="2624" max="2624" width="4" style="46" customWidth="1"/>
    <col min="2625" max="2815" width="9.6640625" style="46"/>
    <col min="2816" max="2816" width="6.44140625" style="46" customWidth="1"/>
    <col min="2817" max="2817" width="13.88671875" style="46" customWidth="1"/>
    <col min="2818" max="2818" width="14.33203125" style="46" customWidth="1"/>
    <col min="2819" max="2835" width="9.6640625" style="46"/>
    <col min="2836" max="2836" width="12" style="46" customWidth="1"/>
    <col min="2837" max="2837" width="12.77734375" style="46" customWidth="1"/>
    <col min="2838" max="2838" width="11.109375" style="46" customWidth="1"/>
    <col min="2839" max="2839" width="12" style="46" customWidth="1"/>
    <col min="2840" max="2840" width="9.6640625" style="46"/>
    <col min="2841" max="2841" width="15.33203125" style="46" customWidth="1"/>
    <col min="2842" max="2842" width="15.21875" style="46" customWidth="1"/>
    <col min="2843" max="2843" width="21.44140625" style="46" customWidth="1"/>
    <col min="2844" max="2859" width="9.6640625" style="46"/>
    <col min="2860" max="2861" width="13.44140625" style="46" customWidth="1"/>
    <col min="2862" max="2862" width="9.6640625" style="46"/>
    <col min="2863" max="2863" width="13.88671875" style="46" customWidth="1"/>
    <col min="2864" max="2864" width="10.6640625" style="46" customWidth="1"/>
    <col min="2865" max="2865" width="17.33203125" style="46" customWidth="1"/>
    <col min="2866" max="2867" width="12.6640625" style="46" customWidth="1"/>
    <col min="2868" max="2868" width="11.21875" style="46" customWidth="1"/>
    <col min="2869" max="2869" width="18.33203125" style="46" customWidth="1"/>
    <col min="2870" max="2870" width="12.88671875" style="46" customWidth="1"/>
    <col min="2871" max="2872" width="13.21875" style="46" customWidth="1"/>
    <col min="2873" max="2873" width="10.88671875" style="46" customWidth="1"/>
    <col min="2874" max="2874" width="11.109375" style="46" customWidth="1"/>
    <col min="2875" max="2875" width="15.21875" style="46" customWidth="1"/>
    <col min="2876" max="2876" width="9.6640625" style="46"/>
    <col min="2877" max="2877" width="11" style="46" customWidth="1"/>
    <col min="2878" max="2878" width="10.77734375" style="46" customWidth="1"/>
    <col min="2879" max="2879" width="11.44140625" style="46" customWidth="1"/>
    <col min="2880" max="2880" width="4" style="46" customWidth="1"/>
    <col min="2881" max="3071" width="9.6640625" style="46"/>
    <col min="3072" max="3072" width="6.44140625" style="46" customWidth="1"/>
    <col min="3073" max="3073" width="13.88671875" style="46" customWidth="1"/>
    <col min="3074" max="3074" width="14.33203125" style="46" customWidth="1"/>
    <col min="3075" max="3091" width="9.6640625" style="46"/>
    <col min="3092" max="3092" width="12" style="46" customWidth="1"/>
    <col min="3093" max="3093" width="12.77734375" style="46" customWidth="1"/>
    <col min="3094" max="3094" width="11.109375" style="46" customWidth="1"/>
    <col min="3095" max="3095" width="12" style="46" customWidth="1"/>
    <col min="3096" max="3096" width="9.6640625" style="46"/>
    <col min="3097" max="3097" width="15.33203125" style="46" customWidth="1"/>
    <col min="3098" max="3098" width="15.21875" style="46" customWidth="1"/>
    <col min="3099" max="3099" width="21.44140625" style="46" customWidth="1"/>
    <col min="3100" max="3115" width="9.6640625" style="46"/>
    <col min="3116" max="3117" width="13.44140625" style="46" customWidth="1"/>
    <col min="3118" max="3118" width="9.6640625" style="46"/>
    <col min="3119" max="3119" width="13.88671875" style="46" customWidth="1"/>
    <col min="3120" max="3120" width="10.6640625" style="46" customWidth="1"/>
    <col min="3121" max="3121" width="17.33203125" style="46" customWidth="1"/>
    <col min="3122" max="3123" width="12.6640625" style="46" customWidth="1"/>
    <col min="3124" max="3124" width="11.21875" style="46" customWidth="1"/>
    <col min="3125" max="3125" width="18.33203125" style="46" customWidth="1"/>
    <col min="3126" max="3126" width="12.88671875" style="46" customWidth="1"/>
    <col min="3127" max="3128" width="13.21875" style="46" customWidth="1"/>
    <col min="3129" max="3129" width="10.88671875" style="46" customWidth="1"/>
    <col min="3130" max="3130" width="11.109375" style="46" customWidth="1"/>
    <col min="3131" max="3131" width="15.21875" style="46" customWidth="1"/>
    <col min="3132" max="3132" width="9.6640625" style="46"/>
    <col min="3133" max="3133" width="11" style="46" customWidth="1"/>
    <col min="3134" max="3134" width="10.77734375" style="46" customWidth="1"/>
    <col min="3135" max="3135" width="11.44140625" style="46" customWidth="1"/>
    <col min="3136" max="3136" width="4" style="46" customWidth="1"/>
    <col min="3137" max="3327" width="9.6640625" style="46"/>
    <col min="3328" max="3328" width="6.44140625" style="46" customWidth="1"/>
    <col min="3329" max="3329" width="13.88671875" style="46" customWidth="1"/>
    <col min="3330" max="3330" width="14.33203125" style="46" customWidth="1"/>
    <col min="3331" max="3347" width="9.6640625" style="46"/>
    <col min="3348" max="3348" width="12" style="46" customWidth="1"/>
    <col min="3349" max="3349" width="12.77734375" style="46" customWidth="1"/>
    <col min="3350" max="3350" width="11.109375" style="46" customWidth="1"/>
    <col min="3351" max="3351" width="12" style="46" customWidth="1"/>
    <col min="3352" max="3352" width="9.6640625" style="46"/>
    <col min="3353" max="3353" width="15.33203125" style="46" customWidth="1"/>
    <col min="3354" max="3354" width="15.21875" style="46" customWidth="1"/>
    <col min="3355" max="3355" width="21.44140625" style="46" customWidth="1"/>
    <col min="3356" max="3371" width="9.6640625" style="46"/>
    <col min="3372" max="3373" width="13.44140625" style="46" customWidth="1"/>
    <col min="3374" max="3374" width="9.6640625" style="46"/>
    <col min="3375" max="3375" width="13.88671875" style="46" customWidth="1"/>
    <col min="3376" max="3376" width="10.6640625" style="46" customWidth="1"/>
    <col min="3377" max="3377" width="17.33203125" style="46" customWidth="1"/>
    <col min="3378" max="3379" width="12.6640625" style="46" customWidth="1"/>
    <col min="3380" max="3380" width="11.21875" style="46" customWidth="1"/>
    <col min="3381" max="3381" width="18.33203125" style="46" customWidth="1"/>
    <col min="3382" max="3382" width="12.88671875" style="46" customWidth="1"/>
    <col min="3383" max="3384" width="13.21875" style="46" customWidth="1"/>
    <col min="3385" max="3385" width="10.88671875" style="46" customWidth="1"/>
    <col min="3386" max="3386" width="11.109375" style="46" customWidth="1"/>
    <col min="3387" max="3387" width="15.21875" style="46" customWidth="1"/>
    <col min="3388" max="3388" width="9.6640625" style="46"/>
    <col min="3389" max="3389" width="11" style="46" customWidth="1"/>
    <col min="3390" max="3390" width="10.77734375" style="46" customWidth="1"/>
    <col min="3391" max="3391" width="11.44140625" style="46" customWidth="1"/>
    <col min="3392" max="3392" width="4" style="46" customWidth="1"/>
    <col min="3393" max="3583" width="9.6640625" style="46"/>
    <col min="3584" max="3584" width="6.44140625" style="46" customWidth="1"/>
    <col min="3585" max="3585" width="13.88671875" style="46" customWidth="1"/>
    <col min="3586" max="3586" width="14.33203125" style="46" customWidth="1"/>
    <col min="3587" max="3603" width="9.6640625" style="46"/>
    <col min="3604" max="3604" width="12" style="46" customWidth="1"/>
    <col min="3605" max="3605" width="12.77734375" style="46" customWidth="1"/>
    <col min="3606" max="3606" width="11.109375" style="46" customWidth="1"/>
    <col min="3607" max="3607" width="12" style="46" customWidth="1"/>
    <col min="3608" max="3608" width="9.6640625" style="46"/>
    <col min="3609" max="3609" width="15.33203125" style="46" customWidth="1"/>
    <col min="3610" max="3610" width="15.21875" style="46" customWidth="1"/>
    <col min="3611" max="3611" width="21.44140625" style="46" customWidth="1"/>
    <col min="3612" max="3627" width="9.6640625" style="46"/>
    <col min="3628" max="3629" width="13.44140625" style="46" customWidth="1"/>
    <col min="3630" max="3630" width="9.6640625" style="46"/>
    <col min="3631" max="3631" width="13.88671875" style="46" customWidth="1"/>
    <col min="3632" max="3632" width="10.6640625" style="46" customWidth="1"/>
    <col min="3633" max="3633" width="17.33203125" style="46" customWidth="1"/>
    <col min="3634" max="3635" width="12.6640625" style="46" customWidth="1"/>
    <col min="3636" max="3636" width="11.21875" style="46" customWidth="1"/>
    <col min="3637" max="3637" width="18.33203125" style="46" customWidth="1"/>
    <col min="3638" max="3638" width="12.88671875" style="46" customWidth="1"/>
    <col min="3639" max="3640" width="13.21875" style="46" customWidth="1"/>
    <col min="3641" max="3641" width="10.88671875" style="46" customWidth="1"/>
    <col min="3642" max="3642" width="11.109375" style="46" customWidth="1"/>
    <col min="3643" max="3643" width="15.21875" style="46" customWidth="1"/>
    <col min="3644" max="3644" width="9.6640625" style="46"/>
    <col min="3645" max="3645" width="11" style="46" customWidth="1"/>
    <col min="3646" max="3646" width="10.77734375" style="46" customWidth="1"/>
    <col min="3647" max="3647" width="11.44140625" style="46" customWidth="1"/>
    <col min="3648" max="3648" width="4" style="46" customWidth="1"/>
    <col min="3649" max="3839" width="9.6640625" style="46"/>
    <col min="3840" max="3840" width="6.44140625" style="46" customWidth="1"/>
    <col min="3841" max="3841" width="13.88671875" style="46" customWidth="1"/>
    <col min="3842" max="3842" width="14.33203125" style="46" customWidth="1"/>
    <col min="3843" max="3859" width="9.6640625" style="46"/>
    <col min="3860" max="3860" width="12" style="46" customWidth="1"/>
    <col min="3861" max="3861" width="12.77734375" style="46" customWidth="1"/>
    <col min="3862" max="3862" width="11.109375" style="46" customWidth="1"/>
    <col min="3863" max="3863" width="12" style="46" customWidth="1"/>
    <col min="3864" max="3864" width="9.6640625" style="46"/>
    <col min="3865" max="3865" width="15.33203125" style="46" customWidth="1"/>
    <col min="3866" max="3866" width="15.21875" style="46" customWidth="1"/>
    <col min="3867" max="3867" width="21.44140625" style="46" customWidth="1"/>
    <col min="3868" max="3883" width="9.6640625" style="46"/>
    <col min="3884" max="3885" width="13.44140625" style="46" customWidth="1"/>
    <col min="3886" max="3886" width="9.6640625" style="46"/>
    <col min="3887" max="3887" width="13.88671875" style="46" customWidth="1"/>
    <col min="3888" max="3888" width="10.6640625" style="46" customWidth="1"/>
    <col min="3889" max="3889" width="17.33203125" style="46" customWidth="1"/>
    <col min="3890" max="3891" width="12.6640625" style="46" customWidth="1"/>
    <col min="3892" max="3892" width="11.21875" style="46" customWidth="1"/>
    <col min="3893" max="3893" width="18.33203125" style="46" customWidth="1"/>
    <col min="3894" max="3894" width="12.88671875" style="46" customWidth="1"/>
    <col min="3895" max="3896" width="13.21875" style="46" customWidth="1"/>
    <col min="3897" max="3897" width="10.88671875" style="46" customWidth="1"/>
    <col min="3898" max="3898" width="11.109375" style="46" customWidth="1"/>
    <col min="3899" max="3899" width="15.21875" style="46" customWidth="1"/>
    <col min="3900" max="3900" width="9.6640625" style="46"/>
    <col min="3901" max="3901" width="11" style="46" customWidth="1"/>
    <col min="3902" max="3902" width="10.77734375" style="46" customWidth="1"/>
    <col min="3903" max="3903" width="11.44140625" style="46" customWidth="1"/>
    <col min="3904" max="3904" width="4" style="46" customWidth="1"/>
    <col min="3905" max="4095" width="9.6640625" style="46"/>
    <col min="4096" max="4096" width="6.44140625" style="46" customWidth="1"/>
    <col min="4097" max="4097" width="13.88671875" style="46" customWidth="1"/>
    <col min="4098" max="4098" width="14.33203125" style="46" customWidth="1"/>
    <col min="4099" max="4115" width="9.6640625" style="46"/>
    <col min="4116" max="4116" width="12" style="46" customWidth="1"/>
    <col min="4117" max="4117" width="12.77734375" style="46" customWidth="1"/>
    <col min="4118" max="4118" width="11.109375" style="46" customWidth="1"/>
    <col min="4119" max="4119" width="12" style="46" customWidth="1"/>
    <col min="4120" max="4120" width="9.6640625" style="46"/>
    <col min="4121" max="4121" width="15.33203125" style="46" customWidth="1"/>
    <col min="4122" max="4122" width="15.21875" style="46" customWidth="1"/>
    <col min="4123" max="4123" width="21.44140625" style="46" customWidth="1"/>
    <col min="4124" max="4139" width="9.6640625" style="46"/>
    <col min="4140" max="4141" width="13.44140625" style="46" customWidth="1"/>
    <col min="4142" max="4142" width="9.6640625" style="46"/>
    <col min="4143" max="4143" width="13.88671875" style="46" customWidth="1"/>
    <col min="4144" max="4144" width="10.6640625" style="46" customWidth="1"/>
    <col min="4145" max="4145" width="17.33203125" style="46" customWidth="1"/>
    <col min="4146" max="4147" width="12.6640625" style="46" customWidth="1"/>
    <col min="4148" max="4148" width="11.21875" style="46" customWidth="1"/>
    <col min="4149" max="4149" width="18.33203125" style="46" customWidth="1"/>
    <col min="4150" max="4150" width="12.88671875" style="46" customWidth="1"/>
    <col min="4151" max="4152" width="13.21875" style="46" customWidth="1"/>
    <col min="4153" max="4153" width="10.88671875" style="46" customWidth="1"/>
    <col min="4154" max="4154" width="11.109375" style="46" customWidth="1"/>
    <col min="4155" max="4155" width="15.21875" style="46" customWidth="1"/>
    <col min="4156" max="4156" width="9.6640625" style="46"/>
    <col min="4157" max="4157" width="11" style="46" customWidth="1"/>
    <col min="4158" max="4158" width="10.77734375" style="46" customWidth="1"/>
    <col min="4159" max="4159" width="11.44140625" style="46" customWidth="1"/>
    <col min="4160" max="4160" width="4" style="46" customWidth="1"/>
    <col min="4161" max="4351" width="9.6640625" style="46"/>
    <col min="4352" max="4352" width="6.44140625" style="46" customWidth="1"/>
    <col min="4353" max="4353" width="13.88671875" style="46" customWidth="1"/>
    <col min="4354" max="4354" width="14.33203125" style="46" customWidth="1"/>
    <col min="4355" max="4371" width="9.6640625" style="46"/>
    <col min="4372" max="4372" width="12" style="46" customWidth="1"/>
    <col min="4373" max="4373" width="12.77734375" style="46" customWidth="1"/>
    <col min="4374" max="4374" width="11.109375" style="46" customWidth="1"/>
    <col min="4375" max="4375" width="12" style="46" customWidth="1"/>
    <col min="4376" max="4376" width="9.6640625" style="46"/>
    <col min="4377" max="4377" width="15.33203125" style="46" customWidth="1"/>
    <col min="4378" max="4378" width="15.21875" style="46" customWidth="1"/>
    <col min="4379" max="4379" width="21.44140625" style="46" customWidth="1"/>
    <col min="4380" max="4395" width="9.6640625" style="46"/>
    <col min="4396" max="4397" width="13.44140625" style="46" customWidth="1"/>
    <col min="4398" max="4398" width="9.6640625" style="46"/>
    <col min="4399" max="4399" width="13.88671875" style="46" customWidth="1"/>
    <col min="4400" max="4400" width="10.6640625" style="46" customWidth="1"/>
    <col min="4401" max="4401" width="17.33203125" style="46" customWidth="1"/>
    <col min="4402" max="4403" width="12.6640625" style="46" customWidth="1"/>
    <col min="4404" max="4404" width="11.21875" style="46" customWidth="1"/>
    <col min="4405" max="4405" width="18.33203125" style="46" customWidth="1"/>
    <col min="4406" max="4406" width="12.88671875" style="46" customWidth="1"/>
    <col min="4407" max="4408" width="13.21875" style="46" customWidth="1"/>
    <col min="4409" max="4409" width="10.88671875" style="46" customWidth="1"/>
    <col min="4410" max="4410" width="11.109375" style="46" customWidth="1"/>
    <col min="4411" max="4411" width="15.21875" style="46" customWidth="1"/>
    <col min="4412" max="4412" width="9.6640625" style="46"/>
    <col min="4413" max="4413" width="11" style="46" customWidth="1"/>
    <col min="4414" max="4414" width="10.77734375" style="46" customWidth="1"/>
    <col min="4415" max="4415" width="11.44140625" style="46" customWidth="1"/>
    <col min="4416" max="4416" width="4" style="46" customWidth="1"/>
    <col min="4417" max="4607" width="9.6640625" style="46"/>
    <col min="4608" max="4608" width="6.44140625" style="46" customWidth="1"/>
    <col min="4609" max="4609" width="13.88671875" style="46" customWidth="1"/>
    <col min="4610" max="4610" width="14.33203125" style="46" customWidth="1"/>
    <col min="4611" max="4627" width="9.6640625" style="46"/>
    <col min="4628" max="4628" width="12" style="46" customWidth="1"/>
    <col min="4629" max="4629" width="12.77734375" style="46" customWidth="1"/>
    <col min="4630" max="4630" width="11.109375" style="46" customWidth="1"/>
    <col min="4631" max="4631" width="12" style="46" customWidth="1"/>
    <col min="4632" max="4632" width="9.6640625" style="46"/>
    <col min="4633" max="4633" width="15.33203125" style="46" customWidth="1"/>
    <col min="4634" max="4634" width="15.21875" style="46" customWidth="1"/>
    <col min="4635" max="4635" width="21.44140625" style="46" customWidth="1"/>
    <col min="4636" max="4651" width="9.6640625" style="46"/>
    <col min="4652" max="4653" width="13.44140625" style="46" customWidth="1"/>
    <col min="4654" max="4654" width="9.6640625" style="46"/>
    <col min="4655" max="4655" width="13.88671875" style="46" customWidth="1"/>
    <col min="4656" max="4656" width="10.6640625" style="46" customWidth="1"/>
    <col min="4657" max="4657" width="17.33203125" style="46" customWidth="1"/>
    <col min="4658" max="4659" width="12.6640625" style="46" customWidth="1"/>
    <col min="4660" max="4660" width="11.21875" style="46" customWidth="1"/>
    <col min="4661" max="4661" width="18.33203125" style="46" customWidth="1"/>
    <col min="4662" max="4662" width="12.88671875" style="46" customWidth="1"/>
    <col min="4663" max="4664" width="13.21875" style="46" customWidth="1"/>
    <col min="4665" max="4665" width="10.88671875" style="46" customWidth="1"/>
    <col min="4666" max="4666" width="11.109375" style="46" customWidth="1"/>
    <col min="4667" max="4667" width="15.21875" style="46" customWidth="1"/>
    <col min="4668" max="4668" width="9.6640625" style="46"/>
    <col min="4669" max="4669" width="11" style="46" customWidth="1"/>
    <col min="4670" max="4670" width="10.77734375" style="46" customWidth="1"/>
    <col min="4671" max="4671" width="11.44140625" style="46" customWidth="1"/>
    <col min="4672" max="4672" width="4" style="46" customWidth="1"/>
    <col min="4673" max="4863" width="9.6640625" style="46"/>
    <col min="4864" max="4864" width="6.44140625" style="46" customWidth="1"/>
    <col min="4865" max="4865" width="13.88671875" style="46" customWidth="1"/>
    <col min="4866" max="4866" width="14.33203125" style="46" customWidth="1"/>
    <col min="4867" max="4883" width="9.6640625" style="46"/>
    <col min="4884" max="4884" width="12" style="46" customWidth="1"/>
    <col min="4885" max="4885" width="12.77734375" style="46" customWidth="1"/>
    <col min="4886" max="4886" width="11.109375" style="46" customWidth="1"/>
    <col min="4887" max="4887" width="12" style="46" customWidth="1"/>
    <col min="4888" max="4888" width="9.6640625" style="46"/>
    <col min="4889" max="4889" width="15.33203125" style="46" customWidth="1"/>
    <col min="4890" max="4890" width="15.21875" style="46" customWidth="1"/>
    <col min="4891" max="4891" width="21.44140625" style="46" customWidth="1"/>
    <col min="4892" max="4907" width="9.6640625" style="46"/>
    <col min="4908" max="4909" width="13.44140625" style="46" customWidth="1"/>
    <col min="4910" max="4910" width="9.6640625" style="46"/>
    <col min="4911" max="4911" width="13.88671875" style="46" customWidth="1"/>
    <col min="4912" max="4912" width="10.6640625" style="46" customWidth="1"/>
    <col min="4913" max="4913" width="17.33203125" style="46" customWidth="1"/>
    <col min="4914" max="4915" width="12.6640625" style="46" customWidth="1"/>
    <col min="4916" max="4916" width="11.21875" style="46" customWidth="1"/>
    <col min="4917" max="4917" width="18.33203125" style="46" customWidth="1"/>
    <col min="4918" max="4918" width="12.88671875" style="46" customWidth="1"/>
    <col min="4919" max="4920" width="13.21875" style="46" customWidth="1"/>
    <col min="4921" max="4921" width="10.88671875" style="46" customWidth="1"/>
    <col min="4922" max="4922" width="11.109375" style="46" customWidth="1"/>
    <col min="4923" max="4923" width="15.21875" style="46" customWidth="1"/>
    <col min="4924" max="4924" width="9.6640625" style="46"/>
    <col min="4925" max="4925" width="11" style="46" customWidth="1"/>
    <col min="4926" max="4926" width="10.77734375" style="46" customWidth="1"/>
    <col min="4927" max="4927" width="11.44140625" style="46" customWidth="1"/>
    <col min="4928" max="4928" width="4" style="46" customWidth="1"/>
    <col min="4929" max="5119" width="9.6640625" style="46"/>
    <col min="5120" max="5120" width="6.44140625" style="46" customWidth="1"/>
    <col min="5121" max="5121" width="13.88671875" style="46" customWidth="1"/>
    <col min="5122" max="5122" width="14.33203125" style="46" customWidth="1"/>
    <col min="5123" max="5139" width="9.6640625" style="46"/>
    <col min="5140" max="5140" width="12" style="46" customWidth="1"/>
    <col min="5141" max="5141" width="12.77734375" style="46" customWidth="1"/>
    <col min="5142" max="5142" width="11.109375" style="46" customWidth="1"/>
    <col min="5143" max="5143" width="12" style="46" customWidth="1"/>
    <col min="5144" max="5144" width="9.6640625" style="46"/>
    <col min="5145" max="5145" width="15.33203125" style="46" customWidth="1"/>
    <col min="5146" max="5146" width="15.21875" style="46" customWidth="1"/>
    <col min="5147" max="5147" width="21.44140625" style="46" customWidth="1"/>
    <col min="5148" max="5163" width="9.6640625" style="46"/>
    <col min="5164" max="5165" width="13.44140625" style="46" customWidth="1"/>
    <col min="5166" max="5166" width="9.6640625" style="46"/>
    <col min="5167" max="5167" width="13.88671875" style="46" customWidth="1"/>
    <col min="5168" max="5168" width="10.6640625" style="46" customWidth="1"/>
    <col min="5169" max="5169" width="17.33203125" style="46" customWidth="1"/>
    <col min="5170" max="5171" width="12.6640625" style="46" customWidth="1"/>
    <col min="5172" max="5172" width="11.21875" style="46" customWidth="1"/>
    <col min="5173" max="5173" width="18.33203125" style="46" customWidth="1"/>
    <col min="5174" max="5174" width="12.88671875" style="46" customWidth="1"/>
    <col min="5175" max="5176" width="13.21875" style="46" customWidth="1"/>
    <col min="5177" max="5177" width="10.88671875" style="46" customWidth="1"/>
    <col min="5178" max="5178" width="11.109375" style="46" customWidth="1"/>
    <col min="5179" max="5179" width="15.21875" style="46" customWidth="1"/>
    <col min="5180" max="5180" width="9.6640625" style="46"/>
    <col min="5181" max="5181" width="11" style="46" customWidth="1"/>
    <col min="5182" max="5182" width="10.77734375" style="46" customWidth="1"/>
    <col min="5183" max="5183" width="11.44140625" style="46" customWidth="1"/>
    <col min="5184" max="5184" width="4" style="46" customWidth="1"/>
    <col min="5185" max="5375" width="9.6640625" style="46"/>
    <col min="5376" max="5376" width="6.44140625" style="46" customWidth="1"/>
    <col min="5377" max="5377" width="13.88671875" style="46" customWidth="1"/>
    <col min="5378" max="5378" width="14.33203125" style="46" customWidth="1"/>
    <col min="5379" max="5395" width="9.6640625" style="46"/>
    <col min="5396" max="5396" width="12" style="46" customWidth="1"/>
    <col min="5397" max="5397" width="12.77734375" style="46" customWidth="1"/>
    <col min="5398" max="5398" width="11.109375" style="46" customWidth="1"/>
    <col min="5399" max="5399" width="12" style="46" customWidth="1"/>
    <col min="5400" max="5400" width="9.6640625" style="46"/>
    <col min="5401" max="5401" width="15.33203125" style="46" customWidth="1"/>
    <col min="5402" max="5402" width="15.21875" style="46" customWidth="1"/>
    <col min="5403" max="5403" width="21.44140625" style="46" customWidth="1"/>
    <col min="5404" max="5419" width="9.6640625" style="46"/>
    <col min="5420" max="5421" width="13.44140625" style="46" customWidth="1"/>
    <col min="5422" max="5422" width="9.6640625" style="46"/>
    <col min="5423" max="5423" width="13.88671875" style="46" customWidth="1"/>
    <col min="5424" max="5424" width="10.6640625" style="46" customWidth="1"/>
    <col min="5425" max="5425" width="17.33203125" style="46" customWidth="1"/>
    <col min="5426" max="5427" width="12.6640625" style="46" customWidth="1"/>
    <col min="5428" max="5428" width="11.21875" style="46" customWidth="1"/>
    <col min="5429" max="5429" width="18.33203125" style="46" customWidth="1"/>
    <col min="5430" max="5430" width="12.88671875" style="46" customWidth="1"/>
    <col min="5431" max="5432" width="13.21875" style="46" customWidth="1"/>
    <col min="5433" max="5433" width="10.88671875" style="46" customWidth="1"/>
    <col min="5434" max="5434" width="11.109375" style="46" customWidth="1"/>
    <col min="5435" max="5435" width="15.21875" style="46" customWidth="1"/>
    <col min="5436" max="5436" width="9.6640625" style="46"/>
    <col min="5437" max="5437" width="11" style="46" customWidth="1"/>
    <col min="5438" max="5438" width="10.77734375" style="46" customWidth="1"/>
    <col min="5439" max="5439" width="11.44140625" style="46" customWidth="1"/>
    <col min="5440" max="5440" width="4" style="46" customWidth="1"/>
    <col min="5441" max="5631" width="9.6640625" style="46"/>
    <col min="5632" max="5632" width="6.44140625" style="46" customWidth="1"/>
    <col min="5633" max="5633" width="13.88671875" style="46" customWidth="1"/>
    <col min="5634" max="5634" width="14.33203125" style="46" customWidth="1"/>
    <col min="5635" max="5651" width="9.6640625" style="46"/>
    <col min="5652" max="5652" width="12" style="46" customWidth="1"/>
    <col min="5653" max="5653" width="12.77734375" style="46" customWidth="1"/>
    <col min="5654" max="5654" width="11.109375" style="46" customWidth="1"/>
    <col min="5655" max="5655" width="12" style="46" customWidth="1"/>
    <col min="5656" max="5656" width="9.6640625" style="46"/>
    <col min="5657" max="5657" width="15.33203125" style="46" customWidth="1"/>
    <col min="5658" max="5658" width="15.21875" style="46" customWidth="1"/>
    <col min="5659" max="5659" width="21.44140625" style="46" customWidth="1"/>
    <col min="5660" max="5675" width="9.6640625" style="46"/>
    <col min="5676" max="5677" width="13.44140625" style="46" customWidth="1"/>
    <col min="5678" max="5678" width="9.6640625" style="46"/>
    <col min="5679" max="5679" width="13.88671875" style="46" customWidth="1"/>
    <col min="5680" max="5680" width="10.6640625" style="46" customWidth="1"/>
    <col min="5681" max="5681" width="17.33203125" style="46" customWidth="1"/>
    <col min="5682" max="5683" width="12.6640625" style="46" customWidth="1"/>
    <col min="5684" max="5684" width="11.21875" style="46" customWidth="1"/>
    <col min="5685" max="5685" width="18.33203125" style="46" customWidth="1"/>
    <col min="5686" max="5686" width="12.88671875" style="46" customWidth="1"/>
    <col min="5687" max="5688" width="13.21875" style="46" customWidth="1"/>
    <col min="5689" max="5689" width="10.88671875" style="46" customWidth="1"/>
    <col min="5690" max="5690" width="11.109375" style="46" customWidth="1"/>
    <col min="5691" max="5691" width="15.21875" style="46" customWidth="1"/>
    <col min="5692" max="5692" width="9.6640625" style="46"/>
    <col min="5693" max="5693" width="11" style="46" customWidth="1"/>
    <col min="5694" max="5694" width="10.77734375" style="46" customWidth="1"/>
    <col min="5695" max="5695" width="11.44140625" style="46" customWidth="1"/>
    <col min="5696" max="5696" width="4" style="46" customWidth="1"/>
    <col min="5697" max="5887" width="9.6640625" style="46"/>
    <col min="5888" max="5888" width="6.44140625" style="46" customWidth="1"/>
    <col min="5889" max="5889" width="13.88671875" style="46" customWidth="1"/>
    <col min="5890" max="5890" width="14.33203125" style="46" customWidth="1"/>
    <col min="5891" max="5907" width="9.6640625" style="46"/>
    <col min="5908" max="5908" width="12" style="46" customWidth="1"/>
    <col min="5909" max="5909" width="12.77734375" style="46" customWidth="1"/>
    <col min="5910" max="5910" width="11.109375" style="46" customWidth="1"/>
    <col min="5911" max="5911" width="12" style="46" customWidth="1"/>
    <col min="5912" max="5912" width="9.6640625" style="46"/>
    <col min="5913" max="5913" width="15.33203125" style="46" customWidth="1"/>
    <col min="5914" max="5914" width="15.21875" style="46" customWidth="1"/>
    <col min="5915" max="5915" width="21.44140625" style="46" customWidth="1"/>
    <col min="5916" max="5931" width="9.6640625" style="46"/>
    <col min="5932" max="5933" width="13.44140625" style="46" customWidth="1"/>
    <col min="5934" max="5934" width="9.6640625" style="46"/>
    <col min="5935" max="5935" width="13.88671875" style="46" customWidth="1"/>
    <col min="5936" max="5936" width="10.6640625" style="46" customWidth="1"/>
    <col min="5937" max="5937" width="17.33203125" style="46" customWidth="1"/>
    <col min="5938" max="5939" width="12.6640625" style="46" customWidth="1"/>
    <col min="5940" max="5940" width="11.21875" style="46" customWidth="1"/>
    <col min="5941" max="5941" width="18.33203125" style="46" customWidth="1"/>
    <col min="5942" max="5942" width="12.88671875" style="46" customWidth="1"/>
    <col min="5943" max="5944" width="13.21875" style="46" customWidth="1"/>
    <col min="5945" max="5945" width="10.88671875" style="46" customWidth="1"/>
    <col min="5946" max="5946" width="11.109375" style="46" customWidth="1"/>
    <col min="5947" max="5947" width="15.21875" style="46" customWidth="1"/>
    <col min="5948" max="5948" width="9.6640625" style="46"/>
    <col min="5949" max="5949" width="11" style="46" customWidth="1"/>
    <col min="5950" max="5950" width="10.77734375" style="46" customWidth="1"/>
    <col min="5951" max="5951" width="11.44140625" style="46" customWidth="1"/>
    <col min="5952" max="5952" width="4" style="46" customWidth="1"/>
    <col min="5953" max="6143" width="9.6640625" style="46"/>
    <col min="6144" max="6144" width="6.44140625" style="46" customWidth="1"/>
    <col min="6145" max="6145" width="13.88671875" style="46" customWidth="1"/>
    <col min="6146" max="6146" width="14.33203125" style="46" customWidth="1"/>
    <col min="6147" max="6163" width="9.6640625" style="46"/>
    <col min="6164" max="6164" width="12" style="46" customWidth="1"/>
    <col min="6165" max="6165" width="12.77734375" style="46" customWidth="1"/>
    <col min="6166" max="6166" width="11.109375" style="46" customWidth="1"/>
    <col min="6167" max="6167" width="12" style="46" customWidth="1"/>
    <col min="6168" max="6168" width="9.6640625" style="46"/>
    <col min="6169" max="6169" width="15.33203125" style="46" customWidth="1"/>
    <col min="6170" max="6170" width="15.21875" style="46" customWidth="1"/>
    <col min="6171" max="6171" width="21.44140625" style="46" customWidth="1"/>
    <col min="6172" max="6187" width="9.6640625" style="46"/>
    <col min="6188" max="6189" width="13.44140625" style="46" customWidth="1"/>
    <col min="6190" max="6190" width="9.6640625" style="46"/>
    <col min="6191" max="6191" width="13.88671875" style="46" customWidth="1"/>
    <col min="6192" max="6192" width="10.6640625" style="46" customWidth="1"/>
    <col min="6193" max="6193" width="17.33203125" style="46" customWidth="1"/>
    <col min="6194" max="6195" width="12.6640625" style="46" customWidth="1"/>
    <col min="6196" max="6196" width="11.21875" style="46" customWidth="1"/>
    <col min="6197" max="6197" width="18.33203125" style="46" customWidth="1"/>
    <col min="6198" max="6198" width="12.88671875" style="46" customWidth="1"/>
    <col min="6199" max="6200" width="13.21875" style="46" customWidth="1"/>
    <col min="6201" max="6201" width="10.88671875" style="46" customWidth="1"/>
    <col min="6202" max="6202" width="11.109375" style="46" customWidth="1"/>
    <col min="6203" max="6203" width="15.21875" style="46" customWidth="1"/>
    <col min="6204" max="6204" width="9.6640625" style="46"/>
    <col min="6205" max="6205" width="11" style="46" customWidth="1"/>
    <col min="6206" max="6206" width="10.77734375" style="46" customWidth="1"/>
    <col min="6207" max="6207" width="11.44140625" style="46" customWidth="1"/>
    <col min="6208" max="6208" width="4" style="46" customWidth="1"/>
    <col min="6209" max="6399" width="9.6640625" style="46"/>
    <col min="6400" max="6400" width="6.44140625" style="46" customWidth="1"/>
    <col min="6401" max="6401" width="13.88671875" style="46" customWidth="1"/>
    <col min="6402" max="6402" width="14.33203125" style="46" customWidth="1"/>
    <col min="6403" max="6419" width="9.6640625" style="46"/>
    <col min="6420" max="6420" width="12" style="46" customWidth="1"/>
    <col min="6421" max="6421" width="12.77734375" style="46" customWidth="1"/>
    <col min="6422" max="6422" width="11.109375" style="46" customWidth="1"/>
    <col min="6423" max="6423" width="12" style="46" customWidth="1"/>
    <col min="6424" max="6424" width="9.6640625" style="46"/>
    <col min="6425" max="6425" width="15.33203125" style="46" customWidth="1"/>
    <col min="6426" max="6426" width="15.21875" style="46" customWidth="1"/>
    <col min="6427" max="6427" width="21.44140625" style="46" customWidth="1"/>
    <col min="6428" max="6443" width="9.6640625" style="46"/>
    <col min="6444" max="6445" width="13.44140625" style="46" customWidth="1"/>
    <col min="6446" max="6446" width="9.6640625" style="46"/>
    <col min="6447" max="6447" width="13.88671875" style="46" customWidth="1"/>
    <col min="6448" max="6448" width="10.6640625" style="46" customWidth="1"/>
    <col min="6449" max="6449" width="17.33203125" style="46" customWidth="1"/>
    <col min="6450" max="6451" width="12.6640625" style="46" customWidth="1"/>
    <col min="6452" max="6452" width="11.21875" style="46" customWidth="1"/>
    <col min="6453" max="6453" width="18.33203125" style="46" customWidth="1"/>
    <col min="6454" max="6454" width="12.88671875" style="46" customWidth="1"/>
    <col min="6455" max="6456" width="13.21875" style="46" customWidth="1"/>
    <col min="6457" max="6457" width="10.88671875" style="46" customWidth="1"/>
    <col min="6458" max="6458" width="11.109375" style="46" customWidth="1"/>
    <col min="6459" max="6459" width="15.21875" style="46" customWidth="1"/>
    <col min="6460" max="6460" width="9.6640625" style="46"/>
    <col min="6461" max="6461" width="11" style="46" customWidth="1"/>
    <col min="6462" max="6462" width="10.77734375" style="46" customWidth="1"/>
    <col min="6463" max="6463" width="11.44140625" style="46" customWidth="1"/>
    <col min="6464" max="6464" width="4" style="46" customWidth="1"/>
    <col min="6465" max="6655" width="9.6640625" style="46"/>
    <col min="6656" max="6656" width="6.44140625" style="46" customWidth="1"/>
    <col min="6657" max="6657" width="13.88671875" style="46" customWidth="1"/>
    <col min="6658" max="6658" width="14.33203125" style="46" customWidth="1"/>
    <col min="6659" max="6675" width="9.6640625" style="46"/>
    <col min="6676" max="6676" width="12" style="46" customWidth="1"/>
    <col min="6677" max="6677" width="12.77734375" style="46" customWidth="1"/>
    <col min="6678" max="6678" width="11.109375" style="46" customWidth="1"/>
    <col min="6679" max="6679" width="12" style="46" customWidth="1"/>
    <col min="6680" max="6680" width="9.6640625" style="46"/>
    <col min="6681" max="6681" width="15.33203125" style="46" customWidth="1"/>
    <col min="6682" max="6682" width="15.21875" style="46" customWidth="1"/>
    <col min="6683" max="6683" width="21.44140625" style="46" customWidth="1"/>
    <col min="6684" max="6699" width="9.6640625" style="46"/>
    <col min="6700" max="6701" width="13.44140625" style="46" customWidth="1"/>
    <col min="6702" max="6702" width="9.6640625" style="46"/>
    <col min="6703" max="6703" width="13.88671875" style="46" customWidth="1"/>
    <col min="6704" max="6704" width="10.6640625" style="46" customWidth="1"/>
    <col min="6705" max="6705" width="17.33203125" style="46" customWidth="1"/>
    <col min="6706" max="6707" width="12.6640625" style="46" customWidth="1"/>
    <col min="6708" max="6708" width="11.21875" style="46" customWidth="1"/>
    <col min="6709" max="6709" width="18.33203125" style="46" customWidth="1"/>
    <col min="6710" max="6710" width="12.88671875" style="46" customWidth="1"/>
    <col min="6711" max="6712" width="13.21875" style="46" customWidth="1"/>
    <col min="6713" max="6713" width="10.88671875" style="46" customWidth="1"/>
    <col min="6714" max="6714" width="11.109375" style="46" customWidth="1"/>
    <col min="6715" max="6715" width="15.21875" style="46" customWidth="1"/>
    <col min="6716" max="6716" width="9.6640625" style="46"/>
    <col min="6717" max="6717" width="11" style="46" customWidth="1"/>
    <col min="6718" max="6718" width="10.77734375" style="46" customWidth="1"/>
    <col min="6719" max="6719" width="11.44140625" style="46" customWidth="1"/>
    <col min="6720" max="6720" width="4" style="46" customWidth="1"/>
    <col min="6721" max="6911" width="9.6640625" style="46"/>
    <col min="6912" max="6912" width="6.44140625" style="46" customWidth="1"/>
    <col min="6913" max="6913" width="13.88671875" style="46" customWidth="1"/>
    <col min="6914" max="6914" width="14.33203125" style="46" customWidth="1"/>
    <col min="6915" max="6931" width="9.6640625" style="46"/>
    <col min="6932" max="6932" width="12" style="46" customWidth="1"/>
    <col min="6933" max="6933" width="12.77734375" style="46" customWidth="1"/>
    <col min="6934" max="6934" width="11.109375" style="46" customWidth="1"/>
    <col min="6935" max="6935" width="12" style="46" customWidth="1"/>
    <col min="6936" max="6936" width="9.6640625" style="46"/>
    <col min="6937" max="6937" width="15.33203125" style="46" customWidth="1"/>
    <col min="6938" max="6938" width="15.21875" style="46" customWidth="1"/>
    <col min="6939" max="6939" width="21.44140625" style="46" customWidth="1"/>
    <col min="6940" max="6955" width="9.6640625" style="46"/>
    <col min="6956" max="6957" width="13.44140625" style="46" customWidth="1"/>
    <col min="6958" max="6958" width="9.6640625" style="46"/>
    <col min="6959" max="6959" width="13.88671875" style="46" customWidth="1"/>
    <col min="6960" max="6960" width="10.6640625" style="46" customWidth="1"/>
    <col min="6961" max="6961" width="17.33203125" style="46" customWidth="1"/>
    <col min="6962" max="6963" width="12.6640625" style="46" customWidth="1"/>
    <col min="6964" max="6964" width="11.21875" style="46" customWidth="1"/>
    <col min="6965" max="6965" width="18.33203125" style="46" customWidth="1"/>
    <col min="6966" max="6966" width="12.88671875" style="46" customWidth="1"/>
    <col min="6967" max="6968" width="13.21875" style="46" customWidth="1"/>
    <col min="6969" max="6969" width="10.88671875" style="46" customWidth="1"/>
    <col min="6970" max="6970" width="11.109375" style="46" customWidth="1"/>
    <col min="6971" max="6971" width="15.21875" style="46" customWidth="1"/>
    <col min="6972" max="6972" width="9.6640625" style="46"/>
    <col min="6973" max="6973" width="11" style="46" customWidth="1"/>
    <col min="6974" max="6974" width="10.77734375" style="46" customWidth="1"/>
    <col min="6975" max="6975" width="11.44140625" style="46" customWidth="1"/>
    <col min="6976" max="6976" width="4" style="46" customWidth="1"/>
    <col min="6977" max="7167" width="9.6640625" style="46"/>
    <col min="7168" max="7168" width="6.44140625" style="46" customWidth="1"/>
    <col min="7169" max="7169" width="13.88671875" style="46" customWidth="1"/>
    <col min="7170" max="7170" width="14.33203125" style="46" customWidth="1"/>
    <col min="7171" max="7187" width="9.6640625" style="46"/>
    <col min="7188" max="7188" width="12" style="46" customWidth="1"/>
    <col min="7189" max="7189" width="12.77734375" style="46" customWidth="1"/>
    <col min="7190" max="7190" width="11.109375" style="46" customWidth="1"/>
    <col min="7191" max="7191" width="12" style="46" customWidth="1"/>
    <col min="7192" max="7192" width="9.6640625" style="46"/>
    <col min="7193" max="7193" width="15.33203125" style="46" customWidth="1"/>
    <col min="7194" max="7194" width="15.21875" style="46" customWidth="1"/>
    <col min="7195" max="7195" width="21.44140625" style="46" customWidth="1"/>
    <col min="7196" max="7211" width="9.6640625" style="46"/>
    <col min="7212" max="7213" width="13.44140625" style="46" customWidth="1"/>
    <col min="7214" max="7214" width="9.6640625" style="46"/>
    <col min="7215" max="7215" width="13.88671875" style="46" customWidth="1"/>
    <col min="7216" max="7216" width="10.6640625" style="46" customWidth="1"/>
    <col min="7217" max="7217" width="17.33203125" style="46" customWidth="1"/>
    <col min="7218" max="7219" width="12.6640625" style="46" customWidth="1"/>
    <col min="7220" max="7220" width="11.21875" style="46" customWidth="1"/>
    <col min="7221" max="7221" width="18.33203125" style="46" customWidth="1"/>
    <col min="7222" max="7222" width="12.88671875" style="46" customWidth="1"/>
    <col min="7223" max="7224" width="13.21875" style="46" customWidth="1"/>
    <col min="7225" max="7225" width="10.88671875" style="46" customWidth="1"/>
    <col min="7226" max="7226" width="11.109375" style="46" customWidth="1"/>
    <col min="7227" max="7227" width="15.21875" style="46" customWidth="1"/>
    <col min="7228" max="7228" width="9.6640625" style="46"/>
    <col min="7229" max="7229" width="11" style="46" customWidth="1"/>
    <col min="7230" max="7230" width="10.77734375" style="46" customWidth="1"/>
    <col min="7231" max="7231" width="11.44140625" style="46" customWidth="1"/>
    <col min="7232" max="7232" width="4" style="46" customWidth="1"/>
    <col min="7233" max="7423" width="9.6640625" style="46"/>
    <col min="7424" max="7424" width="6.44140625" style="46" customWidth="1"/>
    <col min="7425" max="7425" width="13.88671875" style="46" customWidth="1"/>
    <col min="7426" max="7426" width="14.33203125" style="46" customWidth="1"/>
    <col min="7427" max="7443" width="9.6640625" style="46"/>
    <col min="7444" max="7444" width="12" style="46" customWidth="1"/>
    <col min="7445" max="7445" width="12.77734375" style="46" customWidth="1"/>
    <col min="7446" max="7446" width="11.109375" style="46" customWidth="1"/>
    <col min="7447" max="7447" width="12" style="46" customWidth="1"/>
    <col min="7448" max="7448" width="9.6640625" style="46"/>
    <col min="7449" max="7449" width="15.33203125" style="46" customWidth="1"/>
    <col min="7450" max="7450" width="15.21875" style="46" customWidth="1"/>
    <col min="7451" max="7451" width="21.44140625" style="46" customWidth="1"/>
    <col min="7452" max="7467" width="9.6640625" style="46"/>
    <col min="7468" max="7469" width="13.44140625" style="46" customWidth="1"/>
    <col min="7470" max="7470" width="9.6640625" style="46"/>
    <col min="7471" max="7471" width="13.88671875" style="46" customWidth="1"/>
    <col min="7472" max="7472" width="10.6640625" style="46" customWidth="1"/>
    <col min="7473" max="7473" width="17.33203125" style="46" customWidth="1"/>
    <col min="7474" max="7475" width="12.6640625" style="46" customWidth="1"/>
    <col min="7476" max="7476" width="11.21875" style="46" customWidth="1"/>
    <col min="7477" max="7477" width="18.33203125" style="46" customWidth="1"/>
    <col min="7478" max="7478" width="12.88671875" style="46" customWidth="1"/>
    <col min="7479" max="7480" width="13.21875" style="46" customWidth="1"/>
    <col min="7481" max="7481" width="10.88671875" style="46" customWidth="1"/>
    <col min="7482" max="7482" width="11.109375" style="46" customWidth="1"/>
    <col min="7483" max="7483" width="15.21875" style="46" customWidth="1"/>
    <col min="7484" max="7484" width="9.6640625" style="46"/>
    <col min="7485" max="7485" width="11" style="46" customWidth="1"/>
    <col min="7486" max="7486" width="10.77734375" style="46" customWidth="1"/>
    <col min="7487" max="7487" width="11.44140625" style="46" customWidth="1"/>
    <col min="7488" max="7488" width="4" style="46" customWidth="1"/>
    <col min="7489" max="7679" width="9.6640625" style="46"/>
    <col min="7680" max="7680" width="6.44140625" style="46" customWidth="1"/>
    <col min="7681" max="7681" width="13.88671875" style="46" customWidth="1"/>
    <col min="7682" max="7682" width="14.33203125" style="46" customWidth="1"/>
    <col min="7683" max="7699" width="9.6640625" style="46"/>
    <col min="7700" max="7700" width="12" style="46" customWidth="1"/>
    <col min="7701" max="7701" width="12.77734375" style="46" customWidth="1"/>
    <col min="7702" max="7702" width="11.109375" style="46" customWidth="1"/>
    <col min="7703" max="7703" width="12" style="46" customWidth="1"/>
    <col min="7704" max="7704" width="9.6640625" style="46"/>
    <col min="7705" max="7705" width="15.33203125" style="46" customWidth="1"/>
    <col min="7706" max="7706" width="15.21875" style="46" customWidth="1"/>
    <col min="7707" max="7707" width="21.44140625" style="46" customWidth="1"/>
    <col min="7708" max="7723" width="9.6640625" style="46"/>
    <col min="7724" max="7725" width="13.44140625" style="46" customWidth="1"/>
    <col min="7726" max="7726" width="9.6640625" style="46"/>
    <col min="7727" max="7727" width="13.88671875" style="46" customWidth="1"/>
    <col min="7728" max="7728" width="10.6640625" style="46" customWidth="1"/>
    <col min="7729" max="7729" width="17.33203125" style="46" customWidth="1"/>
    <col min="7730" max="7731" width="12.6640625" style="46" customWidth="1"/>
    <col min="7732" max="7732" width="11.21875" style="46" customWidth="1"/>
    <col min="7733" max="7733" width="18.33203125" style="46" customWidth="1"/>
    <col min="7734" max="7734" width="12.88671875" style="46" customWidth="1"/>
    <col min="7735" max="7736" width="13.21875" style="46" customWidth="1"/>
    <col min="7737" max="7737" width="10.88671875" style="46" customWidth="1"/>
    <col min="7738" max="7738" width="11.109375" style="46" customWidth="1"/>
    <col min="7739" max="7739" width="15.21875" style="46" customWidth="1"/>
    <col min="7740" max="7740" width="9.6640625" style="46"/>
    <col min="7741" max="7741" width="11" style="46" customWidth="1"/>
    <col min="7742" max="7742" width="10.77734375" style="46" customWidth="1"/>
    <col min="7743" max="7743" width="11.44140625" style="46" customWidth="1"/>
    <col min="7744" max="7744" width="4" style="46" customWidth="1"/>
    <col min="7745" max="7935" width="9.6640625" style="46"/>
    <col min="7936" max="7936" width="6.44140625" style="46" customWidth="1"/>
    <col min="7937" max="7937" width="13.88671875" style="46" customWidth="1"/>
    <col min="7938" max="7938" width="14.33203125" style="46" customWidth="1"/>
    <col min="7939" max="7955" width="9.6640625" style="46"/>
    <col min="7956" max="7956" width="12" style="46" customWidth="1"/>
    <col min="7957" max="7957" width="12.77734375" style="46" customWidth="1"/>
    <col min="7958" max="7958" width="11.109375" style="46" customWidth="1"/>
    <col min="7959" max="7959" width="12" style="46" customWidth="1"/>
    <col min="7960" max="7960" width="9.6640625" style="46"/>
    <col min="7961" max="7961" width="15.33203125" style="46" customWidth="1"/>
    <col min="7962" max="7962" width="15.21875" style="46" customWidth="1"/>
    <col min="7963" max="7963" width="21.44140625" style="46" customWidth="1"/>
    <col min="7964" max="7979" width="9.6640625" style="46"/>
    <col min="7980" max="7981" width="13.44140625" style="46" customWidth="1"/>
    <col min="7982" max="7982" width="9.6640625" style="46"/>
    <col min="7983" max="7983" width="13.88671875" style="46" customWidth="1"/>
    <col min="7984" max="7984" width="10.6640625" style="46" customWidth="1"/>
    <col min="7985" max="7985" width="17.33203125" style="46" customWidth="1"/>
    <col min="7986" max="7987" width="12.6640625" style="46" customWidth="1"/>
    <col min="7988" max="7988" width="11.21875" style="46" customWidth="1"/>
    <col min="7989" max="7989" width="18.33203125" style="46" customWidth="1"/>
    <col min="7990" max="7990" width="12.88671875" style="46" customWidth="1"/>
    <col min="7991" max="7992" width="13.21875" style="46" customWidth="1"/>
    <col min="7993" max="7993" width="10.88671875" style="46" customWidth="1"/>
    <col min="7994" max="7994" width="11.109375" style="46" customWidth="1"/>
    <col min="7995" max="7995" width="15.21875" style="46" customWidth="1"/>
    <col min="7996" max="7996" width="9.6640625" style="46"/>
    <col min="7997" max="7997" width="11" style="46" customWidth="1"/>
    <col min="7998" max="7998" width="10.77734375" style="46" customWidth="1"/>
    <col min="7999" max="7999" width="11.44140625" style="46" customWidth="1"/>
    <col min="8000" max="8000" width="4" style="46" customWidth="1"/>
    <col min="8001" max="8191" width="9.6640625" style="46"/>
    <col min="8192" max="8192" width="6.44140625" style="46" customWidth="1"/>
    <col min="8193" max="8193" width="13.88671875" style="46" customWidth="1"/>
    <col min="8194" max="8194" width="14.33203125" style="46" customWidth="1"/>
    <col min="8195" max="8211" width="9.6640625" style="46"/>
    <col min="8212" max="8212" width="12" style="46" customWidth="1"/>
    <col min="8213" max="8213" width="12.77734375" style="46" customWidth="1"/>
    <col min="8214" max="8214" width="11.109375" style="46" customWidth="1"/>
    <col min="8215" max="8215" width="12" style="46" customWidth="1"/>
    <col min="8216" max="8216" width="9.6640625" style="46"/>
    <col min="8217" max="8217" width="15.33203125" style="46" customWidth="1"/>
    <col min="8218" max="8218" width="15.21875" style="46" customWidth="1"/>
    <col min="8219" max="8219" width="21.44140625" style="46" customWidth="1"/>
    <col min="8220" max="8235" width="9.6640625" style="46"/>
    <col min="8236" max="8237" width="13.44140625" style="46" customWidth="1"/>
    <col min="8238" max="8238" width="9.6640625" style="46"/>
    <col min="8239" max="8239" width="13.88671875" style="46" customWidth="1"/>
    <col min="8240" max="8240" width="10.6640625" style="46" customWidth="1"/>
    <col min="8241" max="8241" width="17.33203125" style="46" customWidth="1"/>
    <col min="8242" max="8243" width="12.6640625" style="46" customWidth="1"/>
    <col min="8244" max="8244" width="11.21875" style="46" customWidth="1"/>
    <col min="8245" max="8245" width="18.33203125" style="46" customWidth="1"/>
    <col min="8246" max="8246" width="12.88671875" style="46" customWidth="1"/>
    <col min="8247" max="8248" width="13.21875" style="46" customWidth="1"/>
    <col min="8249" max="8249" width="10.88671875" style="46" customWidth="1"/>
    <col min="8250" max="8250" width="11.109375" style="46" customWidth="1"/>
    <col min="8251" max="8251" width="15.21875" style="46" customWidth="1"/>
    <col min="8252" max="8252" width="9.6640625" style="46"/>
    <col min="8253" max="8253" width="11" style="46" customWidth="1"/>
    <col min="8254" max="8254" width="10.77734375" style="46" customWidth="1"/>
    <col min="8255" max="8255" width="11.44140625" style="46" customWidth="1"/>
    <col min="8256" max="8256" width="4" style="46" customWidth="1"/>
    <col min="8257" max="8447" width="9.6640625" style="46"/>
    <col min="8448" max="8448" width="6.44140625" style="46" customWidth="1"/>
    <col min="8449" max="8449" width="13.88671875" style="46" customWidth="1"/>
    <col min="8450" max="8450" width="14.33203125" style="46" customWidth="1"/>
    <col min="8451" max="8467" width="9.6640625" style="46"/>
    <col min="8468" max="8468" width="12" style="46" customWidth="1"/>
    <col min="8469" max="8469" width="12.77734375" style="46" customWidth="1"/>
    <col min="8470" max="8470" width="11.109375" style="46" customWidth="1"/>
    <col min="8471" max="8471" width="12" style="46" customWidth="1"/>
    <col min="8472" max="8472" width="9.6640625" style="46"/>
    <col min="8473" max="8473" width="15.33203125" style="46" customWidth="1"/>
    <col min="8474" max="8474" width="15.21875" style="46" customWidth="1"/>
    <col min="8475" max="8475" width="21.44140625" style="46" customWidth="1"/>
    <col min="8476" max="8491" width="9.6640625" style="46"/>
    <col min="8492" max="8493" width="13.44140625" style="46" customWidth="1"/>
    <col min="8494" max="8494" width="9.6640625" style="46"/>
    <col min="8495" max="8495" width="13.88671875" style="46" customWidth="1"/>
    <col min="8496" max="8496" width="10.6640625" style="46" customWidth="1"/>
    <col min="8497" max="8497" width="17.33203125" style="46" customWidth="1"/>
    <col min="8498" max="8499" width="12.6640625" style="46" customWidth="1"/>
    <col min="8500" max="8500" width="11.21875" style="46" customWidth="1"/>
    <col min="8501" max="8501" width="18.33203125" style="46" customWidth="1"/>
    <col min="8502" max="8502" width="12.88671875" style="46" customWidth="1"/>
    <col min="8503" max="8504" width="13.21875" style="46" customWidth="1"/>
    <col min="8505" max="8505" width="10.88671875" style="46" customWidth="1"/>
    <col min="8506" max="8506" width="11.109375" style="46" customWidth="1"/>
    <col min="8507" max="8507" width="15.21875" style="46" customWidth="1"/>
    <col min="8508" max="8508" width="9.6640625" style="46"/>
    <col min="8509" max="8509" width="11" style="46" customWidth="1"/>
    <col min="8510" max="8510" width="10.77734375" style="46" customWidth="1"/>
    <col min="8511" max="8511" width="11.44140625" style="46" customWidth="1"/>
    <col min="8512" max="8512" width="4" style="46" customWidth="1"/>
    <col min="8513" max="8703" width="9.6640625" style="46"/>
    <col min="8704" max="8704" width="6.44140625" style="46" customWidth="1"/>
    <col min="8705" max="8705" width="13.88671875" style="46" customWidth="1"/>
    <col min="8706" max="8706" width="14.33203125" style="46" customWidth="1"/>
    <col min="8707" max="8723" width="9.6640625" style="46"/>
    <col min="8724" max="8724" width="12" style="46" customWidth="1"/>
    <col min="8725" max="8725" width="12.77734375" style="46" customWidth="1"/>
    <col min="8726" max="8726" width="11.109375" style="46" customWidth="1"/>
    <col min="8727" max="8727" width="12" style="46" customWidth="1"/>
    <col min="8728" max="8728" width="9.6640625" style="46"/>
    <col min="8729" max="8729" width="15.33203125" style="46" customWidth="1"/>
    <col min="8730" max="8730" width="15.21875" style="46" customWidth="1"/>
    <col min="8731" max="8731" width="21.44140625" style="46" customWidth="1"/>
    <col min="8732" max="8747" width="9.6640625" style="46"/>
    <col min="8748" max="8749" width="13.44140625" style="46" customWidth="1"/>
    <col min="8750" max="8750" width="9.6640625" style="46"/>
    <col min="8751" max="8751" width="13.88671875" style="46" customWidth="1"/>
    <col min="8752" max="8752" width="10.6640625" style="46" customWidth="1"/>
    <col min="8753" max="8753" width="17.33203125" style="46" customWidth="1"/>
    <col min="8754" max="8755" width="12.6640625" style="46" customWidth="1"/>
    <col min="8756" max="8756" width="11.21875" style="46" customWidth="1"/>
    <col min="8757" max="8757" width="18.33203125" style="46" customWidth="1"/>
    <col min="8758" max="8758" width="12.88671875" style="46" customWidth="1"/>
    <col min="8759" max="8760" width="13.21875" style="46" customWidth="1"/>
    <col min="8761" max="8761" width="10.88671875" style="46" customWidth="1"/>
    <col min="8762" max="8762" width="11.109375" style="46" customWidth="1"/>
    <col min="8763" max="8763" width="15.21875" style="46" customWidth="1"/>
    <col min="8764" max="8764" width="9.6640625" style="46"/>
    <col min="8765" max="8765" width="11" style="46" customWidth="1"/>
    <col min="8766" max="8766" width="10.77734375" style="46" customWidth="1"/>
    <col min="8767" max="8767" width="11.44140625" style="46" customWidth="1"/>
    <col min="8768" max="8768" width="4" style="46" customWidth="1"/>
    <col min="8769" max="8959" width="9.6640625" style="46"/>
    <col min="8960" max="8960" width="6.44140625" style="46" customWidth="1"/>
    <col min="8961" max="8961" width="13.88671875" style="46" customWidth="1"/>
    <col min="8962" max="8962" width="14.33203125" style="46" customWidth="1"/>
    <col min="8963" max="8979" width="9.6640625" style="46"/>
    <col min="8980" max="8980" width="12" style="46" customWidth="1"/>
    <col min="8981" max="8981" width="12.77734375" style="46" customWidth="1"/>
    <col min="8982" max="8982" width="11.109375" style="46" customWidth="1"/>
    <col min="8983" max="8983" width="12" style="46" customWidth="1"/>
    <col min="8984" max="8984" width="9.6640625" style="46"/>
    <col min="8985" max="8985" width="15.33203125" style="46" customWidth="1"/>
    <col min="8986" max="8986" width="15.21875" style="46" customWidth="1"/>
    <col min="8987" max="8987" width="21.44140625" style="46" customWidth="1"/>
    <col min="8988" max="9003" width="9.6640625" style="46"/>
    <col min="9004" max="9005" width="13.44140625" style="46" customWidth="1"/>
    <col min="9006" max="9006" width="9.6640625" style="46"/>
    <col min="9007" max="9007" width="13.88671875" style="46" customWidth="1"/>
    <col min="9008" max="9008" width="10.6640625" style="46" customWidth="1"/>
    <col min="9009" max="9009" width="17.33203125" style="46" customWidth="1"/>
    <col min="9010" max="9011" width="12.6640625" style="46" customWidth="1"/>
    <col min="9012" max="9012" width="11.21875" style="46" customWidth="1"/>
    <col min="9013" max="9013" width="18.33203125" style="46" customWidth="1"/>
    <col min="9014" max="9014" width="12.88671875" style="46" customWidth="1"/>
    <col min="9015" max="9016" width="13.21875" style="46" customWidth="1"/>
    <col min="9017" max="9017" width="10.88671875" style="46" customWidth="1"/>
    <col min="9018" max="9018" width="11.109375" style="46" customWidth="1"/>
    <col min="9019" max="9019" width="15.21875" style="46" customWidth="1"/>
    <col min="9020" max="9020" width="9.6640625" style="46"/>
    <col min="9021" max="9021" width="11" style="46" customWidth="1"/>
    <col min="9022" max="9022" width="10.77734375" style="46" customWidth="1"/>
    <col min="9023" max="9023" width="11.44140625" style="46" customWidth="1"/>
    <col min="9024" max="9024" width="4" style="46" customWidth="1"/>
    <col min="9025" max="9215" width="9.6640625" style="46"/>
    <col min="9216" max="9216" width="6.44140625" style="46" customWidth="1"/>
    <col min="9217" max="9217" width="13.88671875" style="46" customWidth="1"/>
    <col min="9218" max="9218" width="14.33203125" style="46" customWidth="1"/>
    <col min="9219" max="9235" width="9.6640625" style="46"/>
    <col min="9236" max="9236" width="12" style="46" customWidth="1"/>
    <col min="9237" max="9237" width="12.77734375" style="46" customWidth="1"/>
    <col min="9238" max="9238" width="11.109375" style="46" customWidth="1"/>
    <col min="9239" max="9239" width="12" style="46" customWidth="1"/>
    <col min="9240" max="9240" width="9.6640625" style="46"/>
    <col min="9241" max="9241" width="15.33203125" style="46" customWidth="1"/>
    <col min="9242" max="9242" width="15.21875" style="46" customWidth="1"/>
    <col min="9243" max="9243" width="21.44140625" style="46" customWidth="1"/>
    <col min="9244" max="9259" width="9.6640625" style="46"/>
    <col min="9260" max="9261" width="13.44140625" style="46" customWidth="1"/>
    <col min="9262" max="9262" width="9.6640625" style="46"/>
    <col min="9263" max="9263" width="13.88671875" style="46" customWidth="1"/>
    <col min="9264" max="9264" width="10.6640625" style="46" customWidth="1"/>
    <col min="9265" max="9265" width="17.33203125" style="46" customWidth="1"/>
    <col min="9266" max="9267" width="12.6640625" style="46" customWidth="1"/>
    <col min="9268" max="9268" width="11.21875" style="46" customWidth="1"/>
    <col min="9269" max="9269" width="18.33203125" style="46" customWidth="1"/>
    <col min="9270" max="9270" width="12.88671875" style="46" customWidth="1"/>
    <col min="9271" max="9272" width="13.21875" style="46" customWidth="1"/>
    <col min="9273" max="9273" width="10.88671875" style="46" customWidth="1"/>
    <col min="9274" max="9274" width="11.109375" style="46" customWidth="1"/>
    <col min="9275" max="9275" width="15.21875" style="46" customWidth="1"/>
    <col min="9276" max="9276" width="9.6640625" style="46"/>
    <col min="9277" max="9277" width="11" style="46" customWidth="1"/>
    <col min="9278" max="9278" width="10.77734375" style="46" customWidth="1"/>
    <col min="9279" max="9279" width="11.44140625" style="46" customWidth="1"/>
    <col min="9280" max="9280" width="4" style="46" customWidth="1"/>
    <col min="9281" max="9471" width="9.6640625" style="46"/>
    <col min="9472" max="9472" width="6.44140625" style="46" customWidth="1"/>
    <col min="9473" max="9473" width="13.88671875" style="46" customWidth="1"/>
    <col min="9474" max="9474" width="14.33203125" style="46" customWidth="1"/>
    <col min="9475" max="9491" width="9.6640625" style="46"/>
    <col min="9492" max="9492" width="12" style="46" customWidth="1"/>
    <col min="9493" max="9493" width="12.77734375" style="46" customWidth="1"/>
    <col min="9494" max="9494" width="11.109375" style="46" customWidth="1"/>
    <col min="9495" max="9495" width="12" style="46" customWidth="1"/>
    <col min="9496" max="9496" width="9.6640625" style="46"/>
    <col min="9497" max="9497" width="15.33203125" style="46" customWidth="1"/>
    <col min="9498" max="9498" width="15.21875" style="46" customWidth="1"/>
    <col min="9499" max="9499" width="21.44140625" style="46" customWidth="1"/>
    <col min="9500" max="9515" width="9.6640625" style="46"/>
    <col min="9516" max="9517" width="13.44140625" style="46" customWidth="1"/>
    <col min="9518" max="9518" width="9.6640625" style="46"/>
    <col min="9519" max="9519" width="13.88671875" style="46" customWidth="1"/>
    <col min="9520" max="9520" width="10.6640625" style="46" customWidth="1"/>
    <col min="9521" max="9521" width="17.33203125" style="46" customWidth="1"/>
    <col min="9522" max="9523" width="12.6640625" style="46" customWidth="1"/>
    <col min="9524" max="9524" width="11.21875" style="46" customWidth="1"/>
    <col min="9525" max="9525" width="18.33203125" style="46" customWidth="1"/>
    <col min="9526" max="9526" width="12.88671875" style="46" customWidth="1"/>
    <col min="9527" max="9528" width="13.21875" style="46" customWidth="1"/>
    <col min="9529" max="9529" width="10.88671875" style="46" customWidth="1"/>
    <col min="9530" max="9530" width="11.109375" style="46" customWidth="1"/>
    <col min="9531" max="9531" width="15.21875" style="46" customWidth="1"/>
    <col min="9532" max="9532" width="9.6640625" style="46"/>
    <col min="9533" max="9533" width="11" style="46" customWidth="1"/>
    <col min="9534" max="9534" width="10.77734375" style="46" customWidth="1"/>
    <col min="9535" max="9535" width="11.44140625" style="46" customWidth="1"/>
    <col min="9536" max="9536" width="4" style="46" customWidth="1"/>
    <col min="9537" max="9727" width="9.6640625" style="46"/>
    <col min="9728" max="9728" width="6.44140625" style="46" customWidth="1"/>
    <col min="9729" max="9729" width="13.88671875" style="46" customWidth="1"/>
    <col min="9730" max="9730" width="14.33203125" style="46" customWidth="1"/>
    <col min="9731" max="9747" width="9.6640625" style="46"/>
    <col min="9748" max="9748" width="12" style="46" customWidth="1"/>
    <col min="9749" max="9749" width="12.77734375" style="46" customWidth="1"/>
    <col min="9750" max="9750" width="11.109375" style="46" customWidth="1"/>
    <col min="9751" max="9751" width="12" style="46" customWidth="1"/>
    <col min="9752" max="9752" width="9.6640625" style="46"/>
    <col min="9753" max="9753" width="15.33203125" style="46" customWidth="1"/>
    <col min="9754" max="9754" width="15.21875" style="46" customWidth="1"/>
    <col min="9755" max="9755" width="21.44140625" style="46" customWidth="1"/>
    <col min="9756" max="9771" width="9.6640625" style="46"/>
    <col min="9772" max="9773" width="13.44140625" style="46" customWidth="1"/>
    <col min="9774" max="9774" width="9.6640625" style="46"/>
    <col min="9775" max="9775" width="13.88671875" style="46" customWidth="1"/>
    <col min="9776" max="9776" width="10.6640625" style="46" customWidth="1"/>
    <col min="9777" max="9777" width="17.33203125" style="46" customWidth="1"/>
    <col min="9778" max="9779" width="12.6640625" style="46" customWidth="1"/>
    <col min="9780" max="9780" width="11.21875" style="46" customWidth="1"/>
    <col min="9781" max="9781" width="18.33203125" style="46" customWidth="1"/>
    <col min="9782" max="9782" width="12.88671875" style="46" customWidth="1"/>
    <col min="9783" max="9784" width="13.21875" style="46" customWidth="1"/>
    <col min="9785" max="9785" width="10.88671875" style="46" customWidth="1"/>
    <col min="9786" max="9786" width="11.109375" style="46" customWidth="1"/>
    <col min="9787" max="9787" width="15.21875" style="46" customWidth="1"/>
    <col min="9788" max="9788" width="9.6640625" style="46"/>
    <col min="9789" max="9789" width="11" style="46" customWidth="1"/>
    <col min="9790" max="9790" width="10.77734375" style="46" customWidth="1"/>
    <col min="9791" max="9791" width="11.44140625" style="46" customWidth="1"/>
    <col min="9792" max="9792" width="4" style="46" customWidth="1"/>
    <col min="9793" max="9983" width="9.6640625" style="46"/>
    <col min="9984" max="9984" width="6.44140625" style="46" customWidth="1"/>
    <col min="9985" max="9985" width="13.88671875" style="46" customWidth="1"/>
    <col min="9986" max="9986" width="14.33203125" style="46" customWidth="1"/>
    <col min="9987" max="10003" width="9.6640625" style="46"/>
    <col min="10004" max="10004" width="12" style="46" customWidth="1"/>
    <col min="10005" max="10005" width="12.77734375" style="46" customWidth="1"/>
    <col min="10006" max="10006" width="11.109375" style="46" customWidth="1"/>
    <col min="10007" max="10007" width="12" style="46" customWidth="1"/>
    <col min="10008" max="10008" width="9.6640625" style="46"/>
    <col min="10009" max="10009" width="15.33203125" style="46" customWidth="1"/>
    <col min="10010" max="10010" width="15.21875" style="46" customWidth="1"/>
    <col min="10011" max="10011" width="21.44140625" style="46" customWidth="1"/>
    <col min="10012" max="10027" width="9.6640625" style="46"/>
    <col min="10028" max="10029" width="13.44140625" style="46" customWidth="1"/>
    <col min="10030" max="10030" width="9.6640625" style="46"/>
    <col min="10031" max="10031" width="13.88671875" style="46" customWidth="1"/>
    <col min="10032" max="10032" width="10.6640625" style="46" customWidth="1"/>
    <col min="10033" max="10033" width="17.33203125" style="46" customWidth="1"/>
    <col min="10034" max="10035" width="12.6640625" style="46" customWidth="1"/>
    <col min="10036" max="10036" width="11.21875" style="46" customWidth="1"/>
    <col min="10037" max="10037" width="18.33203125" style="46" customWidth="1"/>
    <col min="10038" max="10038" width="12.88671875" style="46" customWidth="1"/>
    <col min="10039" max="10040" width="13.21875" style="46" customWidth="1"/>
    <col min="10041" max="10041" width="10.88671875" style="46" customWidth="1"/>
    <col min="10042" max="10042" width="11.109375" style="46" customWidth="1"/>
    <col min="10043" max="10043" width="15.21875" style="46" customWidth="1"/>
    <col min="10044" max="10044" width="9.6640625" style="46"/>
    <col min="10045" max="10045" width="11" style="46" customWidth="1"/>
    <col min="10046" max="10046" width="10.77734375" style="46" customWidth="1"/>
    <col min="10047" max="10047" width="11.44140625" style="46" customWidth="1"/>
    <col min="10048" max="10048" width="4" style="46" customWidth="1"/>
    <col min="10049" max="10239" width="9.6640625" style="46"/>
    <col min="10240" max="10240" width="6.44140625" style="46" customWidth="1"/>
    <col min="10241" max="10241" width="13.88671875" style="46" customWidth="1"/>
    <col min="10242" max="10242" width="14.33203125" style="46" customWidth="1"/>
    <col min="10243" max="10259" width="9.6640625" style="46"/>
    <col min="10260" max="10260" width="12" style="46" customWidth="1"/>
    <col min="10261" max="10261" width="12.77734375" style="46" customWidth="1"/>
    <col min="10262" max="10262" width="11.109375" style="46" customWidth="1"/>
    <col min="10263" max="10263" width="12" style="46" customWidth="1"/>
    <col min="10264" max="10264" width="9.6640625" style="46"/>
    <col min="10265" max="10265" width="15.33203125" style="46" customWidth="1"/>
    <col min="10266" max="10266" width="15.21875" style="46" customWidth="1"/>
    <col min="10267" max="10267" width="21.44140625" style="46" customWidth="1"/>
    <col min="10268" max="10283" width="9.6640625" style="46"/>
    <col min="10284" max="10285" width="13.44140625" style="46" customWidth="1"/>
    <col min="10286" max="10286" width="9.6640625" style="46"/>
    <col min="10287" max="10287" width="13.88671875" style="46" customWidth="1"/>
    <col min="10288" max="10288" width="10.6640625" style="46" customWidth="1"/>
    <col min="10289" max="10289" width="17.33203125" style="46" customWidth="1"/>
    <col min="10290" max="10291" width="12.6640625" style="46" customWidth="1"/>
    <col min="10292" max="10292" width="11.21875" style="46" customWidth="1"/>
    <col min="10293" max="10293" width="18.33203125" style="46" customWidth="1"/>
    <col min="10294" max="10294" width="12.88671875" style="46" customWidth="1"/>
    <col min="10295" max="10296" width="13.21875" style="46" customWidth="1"/>
    <col min="10297" max="10297" width="10.88671875" style="46" customWidth="1"/>
    <col min="10298" max="10298" width="11.109375" style="46" customWidth="1"/>
    <col min="10299" max="10299" width="15.21875" style="46" customWidth="1"/>
    <col min="10300" max="10300" width="9.6640625" style="46"/>
    <col min="10301" max="10301" width="11" style="46" customWidth="1"/>
    <col min="10302" max="10302" width="10.77734375" style="46" customWidth="1"/>
    <col min="10303" max="10303" width="11.44140625" style="46" customWidth="1"/>
    <col min="10304" max="10304" width="4" style="46" customWidth="1"/>
    <col min="10305" max="10495" width="9.6640625" style="46"/>
    <col min="10496" max="10496" width="6.44140625" style="46" customWidth="1"/>
    <col min="10497" max="10497" width="13.88671875" style="46" customWidth="1"/>
    <col min="10498" max="10498" width="14.33203125" style="46" customWidth="1"/>
    <col min="10499" max="10515" width="9.6640625" style="46"/>
    <col min="10516" max="10516" width="12" style="46" customWidth="1"/>
    <col min="10517" max="10517" width="12.77734375" style="46" customWidth="1"/>
    <col min="10518" max="10518" width="11.109375" style="46" customWidth="1"/>
    <col min="10519" max="10519" width="12" style="46" customWidth="1"/>
    <col min="10520" max="10520" width="9.6640625" style="46"/>
    <col min="10521" max="10521" width="15.33203125" style="46" customWidth="1"/>
    <col min="10522" max="10522" width="15.21875" style="46" customWidth="1"/>
    <col min="10523" max="10523" width="21.44140625" style="46" customWidth="1"/>
    <col min="10524" max="10539" width="9.6640625" style="46"/>
    <col min="10540" max="10541" width="13.44140625" style="46" customWidth="1"/>
    <col min="10542" max="10542" width="9.6640625" style="46"/>
    <col min="10543" max="10543" width="13.88671875" style="46" customWidth="1"/>
    <col min="10544" max="10544" width="10.6640625" style="46" customWidth="1"/>
    <col min="10545" max="10545" width="17.33203125" style="46" customWidth="1"/>
    <col min="10546" max="10547" width="12.6640625" style="46" customWidth="1"/>
    <col min="10548" max="10548" width="11.21875" style="46" customWidth="1"/>
    <col min="10549" max="10549" width="18.33203125" style="46" customWidth="1"/>
    <col min="10550" max="10550" width="12.88671875" style="46" customWidth="1"/>
    <col min="10551" max="10552" width="13.21875" style="46" customWidth="1"/>
    <col min="10553" max="10553" width="10.88671875" style="46" customWidth="1"/>
    <col min="10554" max="10554" width="11.109375" style="46" customWidth="1"/>
    <col min="10555" max="10555" width="15.21875" style="46" customWidth="1"/>
    <col min="10556" max="10556" width="9.6640625" style="46"/>
    <col min="10557" max="10557" width="11" style="46" customWidth="1"/>
    <col min="10558" max="10558" width="10.77734375" style="46" customWidth="1"/>
    <col min="10559" max="10559" width="11.44140625" style="46" customWidth="1"/>
    <col min="10560" max="10560" width="4" style="46" customWidth="1"/>
    <col min="10561" max="10751" width="9.6640625" style="46"/>
    <col min="10752" max="10752" width="6.44140625" style="46" customWidth="1"/>
    <col min="10753" max="10753" width="13.88671875" style="46" customWidth="1"/>
    <col min="10754" max="10754" width="14.33203125" style="46" customWidth="1"/>
    <col min="10755" max="10771" width="9.6640625" style="46"/>
    <col min="10772" max="10772" width="12" style="46" customWidth="1"/>
    <col min="10773" max="10773" width="12.77734375" style="46" customWidth="1"/>
    <col min="10774" max="10774" width="11.109375" style="46" customWidth="1"/>
    <col min="10775" max="10775" width="12" style="46" customWidth="1"/>
    <col min="10776" max="10776" width="9.6640625" style="46"/>
    <col min="10777" max="10777" width="15.33203125" style="46" customWidth="1"/>
    <col min="10778" max="10778" width="15.21875" style="46" customWidth="1"/>
    <col min="10779" max="10779" width="21.44140625" style="46" customWidth="1"/>
    <col min="10780" max="10795" width="9.6640625" style="46"/>
    <col min="10796" max="10797" width="13.44140625" style="46" customWidth="1"/>
    <col min="10798" max="10798" width="9.6640625" style="46"/>
    <col min="10799" max="10799" width="13.88671875" style="46" customWidth="1"/>
    <col min="10800" max="10800" width="10.6640625" style="46" customWidth="1"/>
    <col min="10801" max="10801" width="17.33203125" style="46" customWidth="1"/>
    <col min="10802" max="10803" width="12.6640625" style="46" customWidth="1"/>
    <col min="10804" max="10804" width="11.21875" style="46" customWidth="1"/>
    <col min="10805" max="10805" width="18.33203125" style="46" customWidth="1"/>
    <col min="10806" max="10806" width="12.88671875" style="46" customWidth="1"/>
    <col min="10807" max="10808" width="13.21875" style="46" customWidth="1"/>
    <col min="10809" max="10809" width="10.88671875" style="46" customWidth="1"/>
    <col min="10810" max="10810" width="11.109375" style="46" customWidth="1"/>
    <col min="10811" max="10811" width="15.21875" style="46" customWidth="1"/>
    <col min="10812" max="10812" width="9.6640625" style="46"/>
    <col min="10813" max="10813" width="11" style="46" customWidth="1"/>
    <col min="10814" max="10814" width="10.77734375" style="46" customWidth="1"/>
    <col min="10815" max="10815" width="11.44140625" style="46" customWidth="1"/>
    <col min="10816" max="10816" width="4" style="46" customWidth="1"/>
    <col min="10817" max="11007" width="9.6640625" style="46"/>
    <col min="11008" max="11008" width="6.44140625" style="46" customWidth="1"/>
    <col min="11009" max="11009" width="13.88671875" style="46" customWidth="1"/>
    <col min="11010" max="11010" width="14.33203125" style="46" customWidth="1"/>
    <col min="11011" max="11027" width="9.6640625" style="46"/>
    <col min="11028" max="11028" width="12" style="46" customWidth="1"/>
    <col min="11029" max="11029" width="12.77734375" style="46" customWidth="1"/>
    <col min="11030" max="11030" width="11.109375" style="46" customWidth="1"/>
    <col min="11031" max="11031" width="12" style="46" customWidth="1"/>
    <col min="11032" max="11032" width="9.6640625" style="46"/>
    <col min="11033" max="11033" width="15.33203125" style="46" customWidth="1"/>
    <col min="11034" max="11034" width="15.21875" style="46" customWidth="1"/>
    <col min="11035" max="11035" width="21.44140625" style="46" customWidth="1"/>
    <col min="11036" max="11051" width="9.6640625" style="46"/>
    <col min="11052" max="11053" width="13.44140625" style="46" customWidth="1"/>
    <col min="11054" max="11054" width="9.6640625" style="46"/>
    <col min="11055" max="11055" width="13.88671875" style="46" customWidth="1"/>
    <col min="11056" max="11056" width="10.6640625" style="46" customWidth="1"/>
    <col min="11057" max="11057" width="17.33203125" style="46" customWidth="1"/>
    <col min="11058" max="11059" width="12.6640625" style="46" customWidth="1"/>
    <col min="11060" max="11060" width="11.21875" style="46" customWidth="1"/>
    <col min="11061" max="11061" width="18.33203125" style="46" customWidth="1"/>
    <col min="11062" max="11062" width="12.88671875" style="46" customWidth="1"/>
    <col min="11063" max="11064" width="13.21875" style="46" customWidth="1"/>
    <col min="11065" max="11065" width="10.88671875" style="46" customWidth="1"/>
    <col min="11066" max="11066" width="11.109375" style="46" customWidth="1"/>
    <col min="11067" max="11067" width="15.21875" style="46" customWidth="1"/>
    <col min="11068" max="11068" width="9.6640625" style="46"/>
    <col min="11069" max="11069" width="11" style="46" customWidth="1"/>
    <col min="11070" max="11070" width="10.77734375" style="46" customWidth="1"/>
    <col min="11071" max="11071" width="11.44140625" style="46" customWidth="1"/>
    <col min="11072" max="11072" width="4" style="46" customWidth="1"/>
    <col min="11073" max="11263" width="9.6640625" style="46"/>
    <col min="11264" max="11264" width="6.44140625" style="46" customWidth="1"/>
    <col min="11265" max="11265" width="13.88671875" style="46" customWidth="1"/>
    <col min="11266" max="11266" width="14.33203125" style="46" customWidth="1"/>
    <col min="11267" max="11283" width="9.6640625" style="46"/>
    <col min="11284" max="11284" width="12" style="46" customWidth="1"/>
    <col min="11285" max="11285" width="12.77734375" style="46" customWidth="1"/>
    <col min="11286" max="11286" width="11.109375" style="46" customWidth="1"/>
    <col min="11287" max="11287" width="12" style="46" customWidth="1"/>
    <col min="11288" max="11288" width="9.6640625" style="46"/>
    <col min="11289" max="11289" width="15.33203125" style="46" customWidth="1"/>
    <col min="11290" max="11290" width="15.21875" style="46" customWidth="1"/>
    <col min="11291" max="11291" width="21.44140625" style="46" customWidth="1"/>
    <col min="11292" max="11307" width="9.6640625" style="46"/>
    <col min="11308" max="11309" width="13.44140625" style="46" customWidth="1"/>
    <col min="11310" max="11310" width="9.6640625" style="46"/>
    <col min="11311" max="11311" width="13.88671875" style="46" customWidth="1"/>
    <col min="11312" max="11312" width="10.6640625" style="46" customWidth="1"/>
    <col min="11313" max="11313" width="17.33203125" style="46" customWidth="1"/>
    <col min="11314" max="11315" width="12.6640625" style="46" customWidth="1"/>
    <col min="11316" max="11316" width="11.21875" style="46" customWidth="1"/>
    <col min="11317" max="11317" width="18.33203125" style="46" customWidth="1"/>
    <col min="11318" max="11318" width="12.88671875" style="46" customWidth="1"/>
    <col min="11319" max="11320" width="13.21875" style="46" customWidth="1"/>
    <col min="11321" max="11321" width="10.88671875" style="46" customWidth="1"/>
    <col min="11322" max="11322" width="11.109375" style="46" customWidth="1"/>
    <col min="11323" max="11323" width="15.21875" style="46" customWidth="1"/>
    <col min="11324" max="11324" width="9.6640625" style="46"/>
    <col min="11325" max="11325" width="11" style="46" customWidth="1"/>
    <col min="11326" max="11326" width="10.77734375" style="46" customWidth="1"/>
    <col min="11327" max="11327" width="11.44140625" style="46" customWidth="1"/>
    <col min="11328" max="11328" width="4" style="46" customWidth="1"/>
    <col min="11329" max="11519" width="9.6640625" style="46"/>
    <col min="11520" max="11520" width="6.44140625" style="46" customWidth="1"/>
    <col min="11521" max="11521" width="13.88671875" style="46" customWidth="1"/>
    <col min="11522" max="11522" width="14.33203125" style="46" customWidth="1"/>
    <col min="11523" max="11539" width="9.6640625" style="46"/>
    <col min="11540" max="11540" width="12" style="46" customWidth="1"/>
    <col min="11541" max="11541" width="12.77734375" style="46" customWidth="1"/>
    <col min="11542" max="11542" width="11.109375" style="46" customWidth="1"/>
    <col min="11543" max="11543" width="12" style="46" customWidth="1"/>
    <col min="11544" max="11544" width="9.6640625" style="46"/>
    <col min="11545" max="11545" width="15.33203125" style="46" customWidth="1"/>
    <col min="11546" max="11546" width="15.21875" style="46" customWidth="1"/>
    <col min="11547" max="11547" width="21.44140625" style="46" customWidth="1"/>
    <col min="11548" max="11563" width="9.6640625" style="46"/>
    <col min="11564" max="11565" width="13.44140625" style="46" customWidth="1"/>
    <col min="11566" max="11566" width="9.6640625" style="46"/>
    <col min="11567" max="11567" width="13.88671875" style="46" customWidth="1"/>
    <col min="11568" max="11568" width="10.6640625" style="46" customWidth="1"/>
    <col min="11569" max="11569" width="17.33203125" style="46" customWidth="1"/>
    <col min="11570" max="11571" width="12.6640625" style="46" customWidth="1"/>
    <col min="11572" max="11572" width="11.21875" style="46" customWidth="1"/>
    <col min="11573" max="11573" width="18.33203125" style="46" customWidth="1"/>
    <col min="11574" max="11574" width="12.88671875" style="46" customWidth="1"/>
    <col min="11575" max="11576" width="13.21875" style="46" customWidth="1"/>
    <col min="11577" max="11577" width="10.88671875" style="46" customWidth="1"/>
    <col min="11578" max="11578" width="11.109375" style="46" customWidth="1"/>
    <col min="11579" max="11579" width="15.21875" style="46" customWidth="1"/>
    <col min="11580" max="11580" width="9.6640625" style="46"/>
    <col min="11581" max="11581" width="11" style="46" customWidth="1"/>
    <col min="11582" max="11582" width="10.77734375" style="46" customWidth="1"/>
    <col min="11583" max="11583" width="11.44140625" style="46" customWidth="1"/>
    <col min="11584" max="11584" width="4" style="46" customWidth="1"/>
    <col min="11585" max="11775" width="9.6640625" style="46"/>
    <col min="11776" max="11776" width="6.44140625" style="46" customWidth="1"/>
    <col min="11777" max="11777" width="13.88671875" style="46" customWidth="1"/>
    <col min="11778" max="11778" width="14.33203125" style="46" customWidth="1"/>
    <col min="11779" max="11795" width="9.6640625" style="46"/>
    <col min="11796" max="11796" width="12" style="46" customWidth="1"/>
    <col min="11797" max="11797" width="12.77734375" style="46" customWidth="1"/>
    <col min="11798" max="11798" width="11.109375" style="46" customWidth="1"/>
    <col min="11799" max="11799" width="12" style="46" customWidth="1"/>
    <col min="11800" max="11800" width="9.6640625" style="46"/>
    <col min="11801" max="11801" width="15.33203125" style="46" customWidth="1"/>
    <col min="11802" max="11802" width="15.21875" style="46" customWidth="1"/>
    <col min="11803" max="11803" width="21.44140625" style="46" customWidth="1"/>
    <col min="11804" max="11819" width="9.6640625" style="46"/>
    <col min="11820" max="11821" width="13.44140625" style="46" customWidth="1"/>
    <col min="11822" max="11822" width="9.6640625" style="46"/>
    <col min="11823" max="11823" width="13.88671875" style="46" customWidth="1"/>
    <col min="11824" max="11824" width="10.6640625" style="46" customWidth="1"/>
    <col min="11825" max="11825" width="17.33203125" style="46" customWidth="1"/>
    <col min="11826" max="11827" width="12.6640625" style="46" customWidth="1"/>
    <col min="11828" max="11828" width="11.21875" style="46" customWidth="1"/>
    <col min="11829" max="11829" width="18.33203125" style="46" customWidth="1"/>
    <col min="11830" max="11830" width="12.88671875" style="46" customWidth="1"/>
    <col min="11831" max="11832" width="13.21875" style="46" customWidth="1"/>
    <col min="11833" max="11833" width="10.88671875" style="46" customWidth="1"/>
    <col min="11834" max="11834" width="11.109375" style="46" customWidth="1"/>
    <col min="11835" max="11835" width="15.21875" style="46" customWidth="1"/>
    <col min="11836" max="11836" width="9.6640625" style="46"/>
    <col min="11837" max="11837" width="11" style="46" customWidth="1"/>
    <col min="11838" max="11838" width="10.77734375" style="46" customWidth="1"/>
    <col min="11839" max="11839" width="11.44140625" style="46" customWidth="1"/>
    <col min="11840" max="11840" width="4" style="46" customWidth="1"/>
    <col min="11841" max="12031" width="9.6640625" style="46"/>
    <col min="12032" max="12032" width="6.44140625" style="46" customWidth="1"/>
    <col min="12033" max="12033" width="13.88671875" style="46" customWidth="1"/>
    <col min="12034" max="12034" width="14.33203125" style="46" customWidth="1"/>
    <col min="12035" max="12051" width="9.6640625" style="46"/>
    <col min="12052" max="12052" width="12" style="46" customWidth="1"/>
    <col min="12053" max="12053" width="12.77734375" style="46" customWidth="1"/>
    <col min="12054" max="12054" width="11.109375" style="46" customWidth="1"/>
    <col min="12055" max="12055" width="12" style="46" customWidth="1"/>
    <col min="12056" max="12056" width="9.6640625" style="46"/>
    <col min="12057" max="12057" width="15.33203125" style="46" customWidth="1"/>
    <col min="12058" max="12058" width="15.21875" style="46" customWidth="1"/>
    <col min="12059" max="12059" width="21.44140625" style="46" customWidth="1"/>
    <col min="12060" max="12075" width="9.6640625" style="46"/>
    <col min="12076" max="12077" width="13.44140625" style="46" customWidth="1"/>
    <col min="12078" max="12078" width="9.6640625" style="46"/>
    <col min="12079" max="12079" width="13.88671875" style="46" customWidth="1"/>
    <col min="12080" max="12080" width="10.6640625" style="46" customWidth="1"/>
    <col min="12081" max="12081" width="17.33203125" style="46" customWidth="1"/>
    <col min="12082" max="12083" width="12.6640625" style="46" customWidth="1"/>
    <col min="12084" max="12084" width="11.21875" style="46" customWidth="1"/>
    <col min="12085" max="12085" width="18.33203125" style="46" customWidth="1"/>
    <col min="12086" max="12086" width="12.88671875" style="46" customWidth="1"/>
    <col min="12087" max="12088" width="13.21875" style="46" customWidth="1"/>
    <col min="12089" max="12089" width="10.88671875" style="46" customWidth="1"/>
    <col min="12090" max="12090" width="11.109375" style="46" customWidth="1"/>
    <col min="12091" max="12091" width="15.21875" style="46" customWidth="1"/>
    <col min="12092" max="12092" width="9.6640625" style="46"/>
    <col min="12093" max="12093" width="11" style="46" customWidth="1"/>
    <col min="12094" max="12094" width="10.77734375" style="46" customWidth="1"/>
    <col min="12095" max="12095" width="11.44140625" style="46" customWidth="1"/>
    <col min="12096" max="12096" width="4" style="46" customWidth="1"/>
    <col min="12097" max="12287" width="9.6640625" style="46"/>
    <col min="12288" max="12288" width="6.44140625" style="46" customWidth="1"/>
    <col min="12289" max="12289" width="13.88671875" style="46" customWidth="1"/>
    <col min="12290" max="12290" width="14.33203125" style="46" customWidth="1"/>
    <col min="12291" max="12307" width="9.6640625" style="46"/>
    <col min="12308" max="12308" width="12" style="46" customWidth="1"/>
    <col min="12309" max="12309" width="12.77734375" style="46" customWidth="1"/>
    <col min="12310" max="12310" width="11.109375" style="46" customWidth="1"/>
    <col min="12311" max="12311" width="12" style="46" customWidth="1"/>
    <col min="12312" max="12312" width="9.6640625" style="46"/>
    <col min="12313" max="12313" width="15.33203125" style="46" customWidth="1"/>
    <col min="12314" max="12314" width="15.21875" style="46" customWidth="1"/>
    <col min="12315" max="12315" width="21.44140625" style="46" customWidth="1"/>
    <col min="12316" max="12331" width="9.6640625" style="46"/>
    <col min="12332" max="12333" width="13.44140625" style="46" customWidth="1"/>
    <col min="12334" max="12334" width="9.6640625" style="46"/>
    <col min="12335" max="12335" width="13.88671875" style="46" customWidth="1"/>
    <col min="12336" max="12336" width="10.6640625" style="46" customWidth="1"/>
    <col min="12337" max="12337" width="17.33203125" style="46" customWidth="1"/>
    <col min="12338" max="12339" width="12.6640625" style="46" customWidth="1"/>
    <col min="12340" max="12340" width="11.21875" style="46" customWidth="1"/>
    <col min="12341" max="12341" width="18.33203125" style="46" customWidth="1"/>
    <col min="12342" max="12342" width="12.88671875" style="46" customWidth="1"/>
    <col min="12343" max="12344" width="13.21875" style="46" customWidth="1"/>
    <col min="12345" max="12345" width="10.88671875" style="46" customWidth="1"/>
    <col min="12346" max="12346" width="11.109375" style="46" customWidth="1"/>
    <col min="12347" max="12347" width="15.21875" style="46" customWidth="1"/>
    <col min="12348" max="12348" width="9.6640625" style="46"/>
    <col min="12349" max="12349" width="11" style="46" customWidth="1"/>
    <col min="12350" max="12350" width="10.77734375" style="46" customWidth="1"/>
    <col min="12351" max="12351" width="11.44140625" style="46" customWidth="1"/>
    <col min="12352" max="12352" width="4" style="46" customWidth="1"/>
    <col min="12353" max="12543" width="9.6640625" style="46"/>
    <col min="12544" max="12544" width="6.44140625" style="46" customWidth="1"/>
    <col min="12545" max="12545" width="13.88671875" style="46" customWidth="1"/>
    <col min="12546" max="12546" width="14.33203125" style="46" customWidth="1"/>
    <col min="12547" max="12563" width="9.6640625" style="46"/>
    <col min="12564" max="12564" width="12" style="46" customWidth="1"/>
    <col min="12565" max="12565" width="12.77734375" style="46" customWidth="1"/>
    <col min="12566" max="12566" width="11.109375" style="46" customWidth="1"/>
    <col min="12567" max="12567" width="12" style="46" customWidth="1"/>
    <col min="12568" max="12568" width="9.6640625" style="46"/>
    <col min="12569" max="12569" width="15.33203125" style="46" customWidth="1"/>
    <col min="12570" max="12570" width="15.21875" style="46" customWidth="1"/>
    <col min="12571" max="12571" width="21.44140625" style="46" customWidth="1"/>
    <col min="12572" max="12587" width="9.6640625" style="46"/>
    <col min="12588" max="12589" width="13.44140625" style="46" customWidth="1"/>
    <col min="12590" max="12590" width="9.6640625" style="46"/>
    <col min="12591" max="12591" width="13.88671875" style="46" customWidth="1"/>
    <col min="12592" max="12592" width="10.6640625" style="46" customWidth="1"/>
    <col min="12593" max="12593" width="17.33203125" style="46" customWidth="1"/>
    <col min="12594" max="12595" width="12.6640625" style="46" customWidth="1"/>
    <col min="12596" max="12596" width="11.21875" style="46" customWidth="1"/>
    <col min="12597" max="12597" width="18.33203125" style="46" customWidth="1"/>
    <col min="12598" max="12598" width="12.88671875" style="46" customWidth="1"/>
    <col min="12599" max="12600" width="13.21875" style="46" customWidth="1"/>
    <col min="12601" max="12601" width="10.88671875" style="46" customWidth="1"/>
    <col min="12602" max="12602" width="11.109375" style="46" customWidth="1"/>
    <col min="12603" max="12603" width="15.21875" style="46" customWidth="1"/>
    <col min="12604" max="12604" width="9.6640625" style="46"/>
    <col min="12605" max="12605" width="11" style="46" customWidth="1"/>
    <col min="12606" max="12606" width="10.77734375" style="46" customWidth="1"/>
    <col min="12607" max="12607" width="11.44140625" style="46" customWidth="1"/>
    <col min="12608" max="12608" width="4" style="46" customWidth="1"/>
    <col min="12609" max="12799" width="9.6640625" style="46"/>
    <col min="12800" max="12800" width="6.44140625" style="46" customWidth="1"/>
    <col min="12801" max="12801" width="13.88671875" style="46" customWidth="1"/>
    <col min="12802" max="12802" width="14.33203125" style="46" customWidth="1"/>
    <col min="12803" max="12819" width="9.6640625" style="46"/>
    <col min="12820" max="12820" width="12" style="46" customWidth="1"/>
    <col min="12821" max="12821" width="12.77734375" style="46" customWidth="1"/>
    <col min="12822" max="12822" width="11.109375" style="46" customWidth="1"/>
    <col min="12823" max="12823" width="12" style="46" customWidth="1"/>
    <col min="12824" max="12824" width="9.6640625" style="46"/>
    <col min="12825" max="12825" width="15.33203125" style="46" customWidth="1"/>
    <col min="12826" max="12826" width="15.21875" style="46" customWidth="1"/>
    <col min="12827" max="12827" width="21.44140625" style="46" customWidth="1"/>
    <col min="12828" max="12843" width="9.6640625" style="46"/>
    <col min="12844" max="12845" width="13.44140625" style="46" customWidth="1"/>
    <col min="12846" max="12846" width="9.6640625" style="46"/>
    <col min="12847" max="12847" width="13.88671875" style="46" customWidth="1"/>
    <col min="12848" max="12848" width="10.6640625" style="46" customWidth="1"/>
    <col min="12849" max="12849" width="17.33203125" style="46" customWidth="1"/>
    <col min="12850" max="12851" width="12.6640625" style="46" customWidth="1"/>
    <col min="12852" max="12852" width="11.21875" style="46" customWidth="1"/>
    <col min="12853" max="12853" width="18.33203125" style="46" customWidth="1"/>
    <col min="12854" max="12854" width="12.88671875" style="46" customWidth="1"/>
    <col min="12855" max="12856" width="13.21875" style="46" customWidth="1"/>
    <col min="12857" max="12857" width="10.88671875" style="46" customWidth="1"/>
    <col min="12858" max="12858" width="11.109375" style="46" customWidth="1"/>
    <col min="12859" max="12859" width="15.21875" style="46" customWidth="1"/>
    <col min="12860" max="12860" width="9.6640625" style="46"/>
    <col min="12861" max="12861" width="11" style="46" customWidth="1"/>
    <col min="12862" max="12862" width="10.77734375" style="46" customWidth="1"/>
    <col min="12863" max="12863" width="11.44140625" style="46" customWidth="1"/>
    <col min="12864" max="12864" width="4" style="46" customWidth="1"/>
    <col min="12865" max="13055" width="9.6640625" style="46"/>
    <col min="13056" max="13056" width="6.44140625" style="46" customWidth="1"/>
    <col min="13057" max="13057" width="13.88671875" style="46" customWidth="1"/>
    <col min="13058" max="13058" width="14.33203125" style="46" customWidth="1"/>
    <col min="13059" max="13075" width="9.6640625" style="46"/>
    <col min="13076" max="13076" width="12" style="46" customWidth="1"/>
    <col min="13077" max="13077" width="12.77734375" style="46" customWidth="1"/>
    <col min="13078" max="13078" width="11.109375" style="46" customWidth="1"/>
    <col min="13079" max="13079" width="12" style="46" customWidth="1"/>
    <col min="13080" max="13080" width="9.6640625" style="46"/>
    <col min="13081" max="13081" width="15.33203125" style="46" customWidth="1"/>
    <col min="13082" max="13082" width="15.21875" style="46" customWidth="1"/>
    <col min="13083" max="13083" width="21.44140625" style="46" customWidth="1"/>
    <col min="13084" max="13099" width="9.6640625" style="46"/>
    <col min="13100" max="13101" width="13.44140625" style="46" customWidth="1"/>
    <col min="13102" max="13102" width="9.6640625" style="46"/>
    <col min="13103" max="13103" width="13.88671875" style="46" customWidth="1"/>
    <col min="13104" max="13104" width="10.6640625" style="46" customWidth="1"/>
    <col min="13105" max="13105" width="17.33203125" style="46" customWidth="1"/>
    <col min="13106" max="13107" width="12.6640625" style="46" customWidth="1"/>
    <col min="13108" max="13108" width="11.21875" style="46" customWidth="1"/>
    <col min="13109" max="13109" width="18.33203125" style="46" customWidth="1"/>
    <col min="13110" max="13110" width="12.88671875" style="46" customWidth="1"/>
    <col min="13111" max="13112" width="13.21875" style="46" customWidth="1"/>
    <col min="13113" max="13113" width="10.88671875" style="46" customWidth="1"/>
    <col min="13114" max="13114" width="11.109375" style="46" customWidth="1"/>
    <col min="13115" max="13115" width="15.21875" style="46" customWidth="1"/>
    <col min="13116" max="13116" width="9.6640625" style="46"/>
    <col min="13117" max="13117" width="11" style="46" customWidth="1"/>
    <col min="13118" max="13118" width="10.77734375" style="46" customWidth="1"/>
    <col min="13119" max="13119" width="11.44140625" style="46" customWidth="1"/>
    <col min="13120" max="13120" width="4" style="46" customWidth="1"/>
    <col min="13121" max="13311" width="9.6640625" style="46"/>
    <col min="13312" max="13312" width="6.44140625" style="46" customWidth="1"/>
    <col min="13313" max="13313" width="13.88671875" style="46" customWidth="1"/>
    <col min="13314" max="13314" width="14.33203125" style="46" customWidth="1"/>
    <col min="13315" max="13331" width="9.6640625" style="46"/>
    <col min="13332" max="13332" width="12" style="46" customWidth="1"/>
    <col min="13333" max="13333" width="12.77734375" style="46" customWidth="1"/>
    <col min="13334" max="13334" width="11.109375" style="46" customWidth="1"/>
    <col min="13335" max="13335" width="12" style="46" customWidth="1"/>
    <col min="13336" max="13336" width="9.6640625" style="46"/>
    <col min="13337" max="13337" width="15.33203125" style="46" customWidth="1"/>
    <col min="13338" max="13338" width="15.21875" style="46" customWidth="1"/>
    <col min="13339" max="13339" width="21.44140625" style="46" customWidth="1"/>
    <col min="13340" max="13355" width="9.6640625" style="46"/>
    <col min="13356" max="13357" width="13.44140625" style="46" customWidth="1"/>
    <col min="13358" max="13358" width="9.6640625" style="46"/>
    <col min="13359" max="13359" width="13.88671875" style="46" customWidth="1"/>
    <col min="13360" max="13360" width="10.6640625" style="46" customWidth="1"/>
    <col min="13361" max="13361" width="17.33203125" style="46" customWidth="1"/>
    <col min="13362" max="13363" width="12.6640625" style="46" customWidth="1"/>
    <col min="13364" max="13364" width="11.21875" style="46" customWidth="1"/>
    <col min="13365" max="13365" width="18.33203125" style="46" customWidth="1"/>
    <col min="13366" max="13366" width="12.88671875" style="46" customWidth="1"/>
    <col min="13367" max="13368" width="13.21875" style="46" customWidth="1"/>
    <col min="13369" max="13369" width="10.88671875" style="46" customWidth="1"/>
    <col min="13370" max="13370" width="11.109375" style="46" customWidth="1"/>
    <col min="13371" max="13371" width="15.21875" style="46" customWidth="1"/>
    <col min="13372" max="13372" width="9.6640625" style="46"/>
    <col min="13373" max="13373" width="11" style="46" customWidth="1"/>
    <col min="13374" max="13374" width="10.77734375" style="46" customWidth="1"/>
    <col min="13375" max="13375" width="11.44140625" style="46" customWidth="1"/>
    <col min="13376" max="13376" width="4" style="46" customWidth="1"/>
    <col min="13377" max="13567" width="9.6640625" style="46"/>
    <col min="13568" max="13568" width="6.44140625" style="46" customWidth="1"/>
    <col min="13569" max="13569" width="13.88671875" style="46" customWidth="1"/>
    <col min="13570" max="13570" width="14.33203125" style="46" customWidth="1"/>
    <col min="13571" max="13587" width="9.6640625" style="46"/>
    <col min="13588" max="13588" width="12" style="46" customWidth="1"/>
    <col min="13589" max="13589" width="12.77734375" style="46" customWidth="1"/>
    <col min="13590" max="13590" width="11.109375" style="46" customWidth="1"/>
    <col min="13591" max="13591" width="12" style="46" customWidth="1"/>
    <col min="13592" max="13592" width="9.6640625" style="46"/>
    <col min="13593" max="13593" width="15.33203125" style="46" customWidth="1"/>
    <col min="13594" max="13594" width="15.21875" style="46" customWidth="1"/>
    <col min="13595" max="13595" width="21.44140625" style="46" customWidth="1"/>
    <col min="13596" max="13611" width="9.6640625" style="46"/>
    <col min="13612" max="13613" width="13.44140625" style="46" customWidth="1"/>
    <col min="13614" max="13614" width="9.6640625" style="46"/>
    <col min="13615" max="13615" width="13.88671875" style="46" customWidth="1"/>
    <col min="13616" max="13616" width="10.6640625" style="46" customWidth="1"/>
    <col min="13617" max="13617" width="17.33203125" style="46" customWidth="1"/>
    <col min="13618" max="13619" width="12.6640625" style="46" customWidth="1"/>
    <col min="13620" max="13620" width="11.21875" style="46" customWidth="1"/>
    <col min="13621" max="13621" width="18.33203125" style="46" customWidth="1"/>
    <col min="13622" max="13622" width="12.88671875" style="46" customWidth="1"/>
    <col min="13623" max="13624" width="13.21875" style="46" customWidth="1"/>
    <col min="13625" max="13625" width="10.88671875" style="46" customWidth="1"/>
    <col min="13626" max="13626" width="11.109375" style="46" customWidth="1"/>
    <col min="13627" max="13627" width="15.21875" style="46" customWidth="1"/>
    <col min="13628" max="13628" width="9.6640625" style="46"/>
    <col min="13629" max="13629" width="11" style="46" customWidth="1"/>
    <col min="13630" max="13630" width="10.77734375" style="46" customWidth="1"/>
    <col min="13631" max="13631" width="11.44140625" style="46" customWidth="1"/>
    <col min="13632" max="13632" width="4" style="46" customWidth="1"/>
    <col min="13633" max="13823" width="9.6640625" style="46"/>
    <col min="13824" max="13824" width="6.44140625" style="46" customWidth="1"/>
    <col min="13825" max="13825" width="13.88671875" style="46" customWidth="1"/>
    <col min="13826" max="13826" width="14.33203125" style="46" customWidth="1"/>
    <col min="13827" max="13843" width="9.6640625" style="46"/>
    <col min="13844" max="13844" width="12" style="46" customWidth="1"/>
    <col min="13845" max="13845" width="12.77734375" style="46" customWidth="1"/>
    <col min="13846" max="13846" width="11.109375" style="46" customWidth="1"/>
    <col min="13847" max="13847" width="12" style="46" customWidth="1"/>
    <col min="13848" max="13848" width="9.6640625" style="46"/>
    <col min="13849" max="13849" width="15.33203125" style="46" customWidth="1"/>
    <col min="13850" max="13850" width="15.21875" style="46" customWidth="1"/>
    <col min="13851" max="13851" width="21.44140625" style="46" customWidth="1"/>
    <col min="13852" max="13867" width="9.6640625" style="46"/>
    <col min="13868" max="13869" width="13.44140625" style="46" customWidth="1"/>
    <col min="13870" max="13870" width="9.6640625" style="46"/>
    <col min="13871" max="13871" width="13.88671875" style="46" customWidth="1"/>
    <col min="13872" max="13872" width="10.6640625" style="46" customWidth="1"/>
    <col min="13873" max="13873" width="17.33203125" style="46" customWidth="1"/>
    <col min="13874" max="13875" width="12.6640625" style="46" customWidth="1"/>
    <col min="13876" max="13876" width="11.21875" style="46" customWidth="1"/>
    <col min="13877" max="13877" width="18.33203125" style="46" customWidth="1"/>
    <col min="13878" max="13878" width="12.88671875" style="46" customWidth="1"/>
    <col min="13879" max="13880" width="13.21875" style="46" customWidth="1"/>
    <col min="13881" max="13881" width="10.88671875" style="46" customWidth="1"/>
    <col min="13882" max="13882" width="11.109375" style="46" customWidth="1"/>
    <col min="13883" max="13883" width="15.21875" style="46" customWidth="1"/>
    <col min="13884" max="13884" width="9.6640625" style="46"/>
    <col min="13885" max="13885" width="11" style="46" customWidth="1"/>
    <col min="13886" max="13886" width="10.77734375" style="46" customWidth="1"/>
    <col min="13887" max="13887" width="11.44140625" style="46" customWidth="1"/>
    <col min="13888" max="13888" width="4" style="46" customWidth="1"/>
    <col min="13889" max="14079" width="9.6640625" style="46"/>
    <col min="14080" max="14080" width="6.44140625" style="46" customWidth="1"/>
    <col min="14081" max="14081" width="13.88671875" style="46" customWidth="1"/>
    <col min="14082" max="14082" width="14.33203125" style="46" customWidth="1"/>
    <col min="14083" max="14099" width="9.6640625" style="46"/>
    <col min="14100" max="14100" width="12" style="46" customWidth="1"/>
    <col min="14101" max="14101" width="12.77734375" style="46" customWidth="1"/>
    <col min="14102" max="14102" width="11.109375" style="46" customWidth="1"/>
    <col min="14103" max="14103" width="12" style="46" customWidth="1"/>
    <col min="14104" max="14104" width="9.6640625" style="46"/>
    <col min="14105" max="14105" width="15.33203125" style="46" customWidth="1"/>
    <col min="14106" max="14106" width="15.21875" style="46" customWidth="1"/>
    <col min="14107" max="14107" width="21.44140625" style="46" customWidth="1"/>
    <col min="14108" max="14123" width="9.6640625" style="46"/>
    <col min="14124" max="14125" width="13.44140625" style="46" customWidth="1"/>
    <col min="14126" max="14126" width="9.6640625" style="46"/>
    <col min="14127" max="14127" width="13.88671875" style="46" customWidth="1"/>
    <col min="14128" max="14128" width="10.6640625" style="46" customWidth="1"/>
    <col min="14129" max="14129" width="17.33203125" style="46" customWidth="1"/>
    <col min="14130" max="14131" width="12.6640625" style="46" customWidth="1"/>
    <col min="14132" max="14132" width="11.21875" style="46" customWidth="1"/>
    <col min="14133" max="14133" width="18.33203125" style="46" customWidth="1"/>
    <col min="14134" max="14134" width="12.88671875" style="46" customWidth="1"/>
    <col min="14135" max="14136" width="13.21875" style="46" customWidth="1"/>
    <col min="14137" max="14137" width="10.88671875" style="46" customWidth="1"/>
    <col min="14138" max="14138" width="11.109375" style="46" customWidth="1"/>
    <col min="14139" max="14139" width="15.21875" style="46" customWidth="1"/>
    <col min="14140" max="14140" width="9.6640625" style="46"/>
    <col min="14141" max="14141" width="11" style="46" customWidth="1"/>
    <col min="14142" max="14142" width="10.77734375" style="46" customWidth="1"/>
    <col min="14143" max="14143" width="11.44140625" style="46" customWidth="1"/>
    <col min="14144" max="14144" width="4" style="46" customWidth="1"/>
    <col min="14145" max="14335" width="9.6640625" style="46"/>
    <col min="14336" max="14336" width="6.44140625" style="46" customWidth="1"/>
    <col min="14337" max="14337" width="13.88671875" style="46" customWidth="1"/>
    <col min="14338" max="14338" width="14.33203125" style="46" customWidth="1"/>
    <col min="14339" max="14355" width="9.6640625" style="46"/>
    <col min="14356" max="14356" width="12" style="46" customWidth="1"/>
    <col min="14357" max="14357" width="12.77734375" style="46" customWidth="1"/>
    <col min="14358" max="14358" width="11.109375" style="46" customWidth="1"/>
    <col min="14359" max="14359" width="12" style="46" customWidth="1"/>
    <col min="14360" max="14360" width="9.6640625" style="46"/>
    <col min="14361" max="14361" width="15.33203125" style="46" customWidth="1"/>
    <col min="14362" max="14362" width="15.21875" style="46" customWidth="1"/>
    <col min="14363" max="14363" width="21.44140625" style="46" customWidth="1"/>
    <col min="14364" max="14379" width="9.6640625" style="46"/>
    <col min="14380" max="14381" width="13.44140625" style="46" customWidth="1"/>
    <col min="14382" max="14382" width="9.6640625" style="46"/>
    <col min="14383" max="14383" width="13.88671875" style="46" customWidth="1"/>
    <col min="14384" max="14384" width="10.6640625" style="46" customWidth="1"/>
    <col min="14385" max="14385" width="17.33203125" style="46" customWidth="1"/>
    <col min="14386" max="14387" width="12.6640625" style="46" customWidth="1"/>
    <col min="14388" max="14388" width="11.21875" style="46" customWidth="1"/>
    <col min="14389" max="14389" width="18.33203125" style="46" customWidth="1"/>
    <col min="14390" max="14390" width="12.88671875" style="46" customWidth="1"/>
    <col min="14391" max="14392" width="13.21875" style="46" customWidth="1"/>
    <col min="14393" max="14393" width="10.88671875" style="46" customWidth="1"/>
    <col min="14394" max="14394" width="11.109375" style="46" customWidth="1"/>
    <col min="14395" max="14395" width="15.21875" style="46" customWidth="1"/>
    <col min="14396" max="14396" width="9.6640625" style="46"/>
    <col min="14397" max="14397" width="11" style="46" customWidth="1"/>
    <col min="14398" max="14398" width="10.77734375" style="46" customWidth="1"/>
    <col min="14399" max="14399" width="11.44140625" style="46" customWidth="1"/>
    <col min="14400" max="14400" width="4" style="46" customWidth="1"/>
    <col min="14401" max="14591" width="9.6640625" style="46"/>
    <col min="14592" max="14592" width="6.44140625" style="46" customWidth="1"/>
    <col min="14593" max="14593" width="13.88671875" style="46" customWidth="1"/>
    <col min="14594" max="14594" width="14.33203125" style="46" customWidth="1"/>
    <col min="14595" max="14611" width="9.6640625" style="46"/>
    <col min="14612" max="14612" width="12" style="46" customWidth="1"/>
    <col min="14613" max="14613" width="12.77734375" style="46" customWidth="1"/>
    <col min="14614" max="14614" width="11.109375" style="46" customWidth="1"/>
    <col min="14615" max="14615" width="12" style="46" customWidth="1"/>
    <col min="14616" max="14616" width="9.6640625" style="46"/>
    <col min="14617" max="14617" width="15.33203125" style="46" customWidth="1"/>
    <col min="14618" max="14618" width="15.21875" style="46" customWidth="1"/>
    <col min="14619" max="14619" width="21.44140625" style="46" customWidth="1"/>
    <col min="14620" max="14635" width="9.6640625" style="46"/>
    <col min="14636" max="14637" width="13.44140625" style="46" customWidth="1"/>
    <col min="14638" max="14638" width="9.6640625" style="46"/>
    <col min="14639" max="14639" width="13.88671875" style="46" customWidth="1"/>
    <col min="14640" max="14640" width="10.6640625" style="46" customWidth="1"/>
    <col min="14641" max="14641" width="17.33203125" style="46" customWidth="1"/>
    <col min="14642" max="14643" width="12.6640625" style="46" customWidth="1"/>
    <col min="14644" max="14644" width="11.21875" style="46" customWidth="1"/>
    <col min="14645" max="14645" width="18.33203125" style="46" customWidth="1"/>
    <col min="14646" max="14646" width="12.88671875" style="46" customWidth="1"/>
    <col min="14647" max="14648" width="13.21875" style="46" customWidth="1"/>
    <col min="14649" max="14649" width="10.88671875" style="46" customWidth="1"/>
    <col min="14650" max="14650" width="11.109375" style="46" customWidth="1"/>
    <col min="14651" max="14651" width="15.21875" style="46" customWidth="1"/>
    <col min="14652" max="14652" width="9.6640625" style="46"/>
    <col min="14653" max="14653" width="11" style="46" customWidth="1"/>
    <col min="14654" max="14654" width="10.77734375" style="46" customWidth="1"/>
    <col min="14655" max="14655" width="11.44140625" style="46" customWidth="1"/>
    <col min="14656" max="14656" width="4" style="46" customWidth="1"/>
    <col min="14657" max="14847" width="9.6640625" style="46"/>
    <col min="14848" max="14848" width="6.44140625" style="46" customWidth="1"/>
    <col min="14849" max="14849" width="13.88671875" style="46" customWidth="1"/>
    <col min="14850" max="14850" width="14.33203125" style="46" customWidth="1"/>
    <col min="14851" max="14867" width="9.6640625" style="46"/>
    <col min="14868" max="14868" width="12" style="46" customWidth="1"/>
    <col min="14869" max="14869" width="12.77734375" style="46" customWidth="1"/>
    <col min="14870" max="14870" width="11.109375" style="46" customWidth="1"/>
    <col min="14871" max="14871" width="12" style="46" customWidth="1"/>
    <col min="14872" max="14872" width="9.6640625" style="46"/>
    <col min="14873" max="14873" width="15.33203125" style="46" customWidth="1"/>
    <col min="14874" max="14874" width="15.21875" style="46" customWidth="1"/>
    <col min="14875" max="14875" width="21.44140625" style="46" customWidth="1"/>
    <col min="14876" max="14891" width="9.6640625" style="46"/>
    <col min="14892" max="14893" width="13.44140625" style="46" customWidth="1"/>
    <col min="14894" max="14894" width="9.6640625" style="46"/>
    <col min="14895" max="14895" width="13.88671875" style="46" customWidth="1"/>
    <col min="14896" max="14896" width="10.6640625" style="46" customWidth="1"/>
    <col min="14897" max="14897" width="17.33203125" style="46" customWidth="1"/>
    <col min="14898" max="14899" width="12.6640625" style="46" customWidth="1"/>
    <col min="14900" max="14900" width="11.21875" style="46" customWidth="1"/>
    <col min="14901" max="14901" width="18.33203125" style="46" customWidth="1"/>
    <col min="14902" max="14902" width="12.88671875" style="46" customWidth="1"/>
    <col min="14903" max="14904" width="13.21875" style="46" customWidth="1"/>
    <col min="14905" max="14905" width="10.88671875" style="46" customWidth="1"/>
    <col min="14906" max="14906" width="11.109375" style="46" customWidth="1"/>
    <col min="14907" max="14907" width="15.21875" style="46" customWidth="1"/>
    <col min="14908" max="14908" width="9.6640625" style="46"/>
    <col min="14909" max="14909" width="11" style="46" customWidth="1"/>
    <col min="14910" max="14910" width="10.77734375" style="46" customWidth="1"/>
    <col min="14911" max="14911" width="11.44140625" style="46" customWidth="1"/>
    <col min="14912" max="14912" width="4" style="46" customWidth="1"/>
    <col min="14913" max="15103" width="9.6640625" style="46"/>
    <col min="15104" max="15104" width="6.44140625" style="46" customWidth="1"/>
    <col min="15105" max="15105" width="13.88671875" style="46" customWidth="1"/>
    <col min="15106" max="15106" width="14.33203125" style="46" customWidth="1"/>
    <col min="15107" max="15123" width="9.6640625" style="46"/>
    <col min="15124" max="15124" width="12" style="46" customWidth="1"/>
    <col min="15125" max="15125" width="12.77734375" style="46" customWidth="1"/>
    <col min="15126" max="15126" width="11.109375" style="46" customWidth="1"/>
    <col min="15127" max="15127" width="12" style="46" customWidth="1"/>
    <col min="15128" max="15128" width="9.6640625" style="46"/>
    <col min="15129" max="15129" width="15.33203125" style="46" customWidth="1"/>
    <col min="15130" max="15130" width="15.21875" style="46" customWidth="1"/>
    <col min="15131" max="15131" width="21.44140625" style="46" customWidth="1"/>
    <col min="15132" max="15147" width="9.6640625" style="46"/>
    <col min="15148" max="15149" width="13.44140625" style="46" customWidth="1"/>
    <col min="15150" max="15150" width="9.6640625" style="46"/>
    <col min="15151" max="15151" width="13.88671875" style="46" customWidth="1"/>
    <col min="15152" max="15152" width="10.6640625" style="46" customWidth="1"/>
    <col min="15153" max="15153" width="17.33203125" style="46" customWidth="1"/>
    <col min="15154" max="15155" width="12.6640625" style="46" customWidth="1"/>
    <col min="15156" max="15156" width="11.21875" style="46" customWidth="1"/>
    <col min="15157" max="15157" width="18.33203125" style="46" customWidth="1"/>
    <col min="15158" max="15158" width="12.88671875" style="46" customWidth="1"/>
    <col min="15159" max="15160" width="13.21875" style="46" customWidth="1"/>
    <col min="15161" max="15161" width="10.88671875" style="46" customWidth="1"/>
    <col min="15162" max="15162" width="11.109375" style="46" customWidth="1"/>
    <col min="15163" max="15163" width="15.21875" style="46" customWidth="1"/>
    <col min="15164" max="15164" width="9.6640625" style="46"/>
    <col min="15165" max="15165" width="11" style="46" customWidth="1"/>
    <col min="15166" max="15166" width="10.77734375" style="46" customWidth="1"/>
    <col min="15167" max="15167" width="11.44140625" style="46" customWidth="1"/>
    <col min="15168" max="15168" width="4" style="46" customWidth="1"/>
    <col min="15169" max="15359" width="9.6640625" style="46"/>
    <col min="15360" max="15360" width="6.44140625" style="46" customWidth="1"/>
    <col min="15361" max="15361" width="13.88671875" style="46" customWidth="1"/>
    <col min="15362" max="15362" width="14.33203125" style="46" customWidth="1"/>
    <col min="15363" max="15379" width="9.6640625" style="46"/>
    <col min="15380" max="15380" width="12" style="46" customWidth="1"/>
    <col min="15381" max="15381" width="12.77734375" style="46" customWidth="1"/>
    <col min="15382" max="15382" width="11.109375" style="46" customWidth="1"/>
    <col min="15383" max="15383" width="12" style="46" customWidth="1"/>
    <col min="15384" max="15384" width="9.6640625" style="46"/>
    <col min="15385" max="15385" width="15.33203125" style="46" customWidth="1"/>
    <col min="15386" max="15386" width="15.21875" style="46" customWidth="1"/>
    <col min="15387" max="15387" width="21.44140625" style="46" customWidth="1"/>
    <col min="15388" max="15403" width="9.6640625" style="46"/>
    <col min="15404" max="15405" width="13.44140625" style="46" customWidth="1"/>
    <col min="15406" max="15406" width="9.6640625" style="46"/>
    <col min="15407" max="15407" width="13.88671875" style="46" customWidth="1"/>
    <col min="15408" max="15408" width="10.6640625" style="46" customWidth="1"/>
    <col min="15409" max="15409" width="17.33203125" style="46" customWidth="1"/>
    <col min="15410" max="15411" width="12.6640625" style="46" customWidth="1"/>
    <col min="15412" max="15412" width="11.21875" style="46" customWidth="1"/>
    <col min="15413" max="15413" width="18.33203125" style="46" customWidth="1"/>
    <col min="15414" max="15414" width="12.88671875" style="46" customWidth="1"/>
    <col min="15415" max="15416" width="13.21875" style="46" customWidth="1"/>
    <col min="15417" max="15417" width="10.88671875" style="46" customWidth="1"/>
    <col min="15418" max="15418" width="11.109375" style="46" customWidth="1"/>
    <col min="15419" max="15419" width="15.21875" style="46" customWidth="1"/>
    <col min="15420" max="15420" width="9.6640625" style="46"/>
    <col min="15421" max="15421" width="11" style="46" customWidth="1"/>
    <col min="15422" max="15422" width="10.77734375" style="46" customWidth="1"/>
    <col min="15423" max="15423" width="11.44140625" style="46" customWidth="1"/>
    <col min="15424" max="15424" width="4" style="46" customWidth="1"/>
    <col min="15425" max="15615" width="9.6640625" style="46"/>
    <col min="15616" max="15616" width="6.44140625" style="46" customWidth="1"/>
    <col min="15617" max="15617" width="13.88671875" style="46" customWidth="1"/>
    <col min="15618" max="15618" width="14.33203125" style="46" customWidth="1"/>
    <col min="15619" max="15635" width="9.6640625" style="46"/>
    <col min="15636" max="15636" width="12" style="46" customWidth="1"/>
    <col min="15637" max="15637" width="12.77734375" style="46" customWidth="1"/>
    <col min="15638" max="15638" width="11.109375" style="46" customWidth="1"/>
    <col min="15639" max="15639" width="12" style="46" customWidth="1"/>
    <col min="15640" max="15640" width="9.6640625" style="46"/>
    <col min="15641" max="15641" width="15.33203125" style="46" customWidth="1"/>
    <col min="15642" max="15642" width="15.21875" style="46" customWidth="1"/>
    <col min="15643" max="15643" width="21.44140625" style="46" customWidth="1"/>
    <col min="15644" max="15659" width="9.6640625" style="46"/>
    <col min="15660" max="15661" width="13.44140625" style="46" customWidth="1"/>
    <col min="15662" max="15662" width="9.6640625" style="46"/>
    <col min="15663" max="15663" width="13.88671875" style="46" customWidth="1"/>
    <col min="15664" max="15664" width="10.6640625" style="46" customWidth="1"/>
    <col min="15665" max="15665" width="17.33203125" style="46" customWidth="1"/>
    <col min="15666" max="15667" width="12.6640625" style="46" customWidth="1"/>
    <col min="15668" max="15668" width="11.21875" style="46" customWidth="1"/>
    <col min="15669" max="15669" width="18.33203125" style="46" customWidth="1"/>
    <col min="15670" max="15670" width="12.88671875" style="46" customWidth="1"/>
    <col min="15671" max="15672" width="13.21875" style="46" customWidth="1"/>
    <col min="15673" max="15673" width="10.88671875" style="46" customWidth="1"/>
    <col min="15674" max="15674" width="11.109375" style="46" customWidth="1"/>
    <col min="15675" max="15675" width="15.21875" style="46" customWidth="1"/>
    <col min="15676" max="15676" width="9.6640625" style="46"/>
    <col min="15677" max="15677" width="11" style="46" customWidth="1"/>
    <col min="15678" max="15678" width="10.77734375" style="46" customWidth="1"/>
    <col min="15679" max="15679" width="11.44140625" style="46" customWidth="1"/>
    <col min="15680" max="15680" width="4" style="46" customWidth="1"/>
    <col min="15681" max="15871" width="9.6640625" style="46"/>
    <col min="15872" max="15872" width="6.44140625" style="46" customWidth="1"/>
    <col min="15873" max="15873" width="13.88671875" style="46" customWidth="1"/>
    <col min="15874" max="15874" width="14.33203125" style="46" customWidth="1"/>
    <col min="15875" max="15891" width="9.6640625" style="46"/>
    <col min="15892" max="15892" width="12" style="46" customWidth="1"/>
    <col min="15893" max="15893" width="12.77734375" style="46" customWidth="1"/>
    <col min="15894" max="15894" width="11.109375" style="46" customWidth="1"/>
    <col min="15895" max="15895" width="12" style="46" customWidth="1"/>
    <col min="15896" max="15896" width="9.6640625" style="46"/>
    <col min="15897" max="15897" width="15.33203125" style="46" customWidth="1"/>
    <col min="15898" max="15898" width="15.21875" style="46" customWidth="1"/>
    <col min="15899" max="15899" width="21.44140625" style="46" customWidth="1"/>
    <col min="15900" max="15915" width="9.6640625" style="46"/>
    <col min="15916" max="15917" width="13.44140625" style="46" customWidth="1"/>
    <col min="15918" max="15918" width="9.6640625" style="46"/>
    <col min="15919" max="15919" width="13.88671875" style="46" customWidth="1"/>
    <col min="15920" max="15920" width="10.6640625" style="46" customWidth="1"/>
    <col min="15921" max="15921" width="17.33203125" style="46" customWidth="1"/>
    <col min="15922" max="15923" width="12.6640625" style="46" customWidth="1"/>
    <col min="15924" max="15924" width="11.21875" style="46" customWidth="1"/>
    <col min="15925" max="15925" width="18.33203125" style="46" customWidth="1"/>
    <col min="15926" max="15926" width="12.88671875" style="46" customWidth="1"/>
    <col min="15927" max="15928" width="13.21875" style="46" customWidth="1"/>
    <col min="15929" max="15929" width="10.88671875" style="46" customWidth="1"/>
    <col min="15930" max="15930" width="11.109375" style="46" customWidth="1"/>
    <col min="15931" max="15931" width="15.21875" style="46" customWidth="1"/>
    <col min="15932" max="15932" width="9.6640625" style="46"/>
    <col min="15933" max="15933" width="11" style="46" customWidth="1"/>
    <col min="15934" max="15934" width="10.77734375" style="46" customWidth="1"/>
    <col min="15935" max="15935" width="11.44140625" style="46" customWidth="1"/>
    <col min="15936" max="15936" width="4" style="46" customWidth="1"/>
    <col min="15937" max="16127" width="9.6640625" style="46"/>
    <col min="16128" max="16128" width="6.44140625" style="46" customWidth="1"/>
    <col min="16129" max="16129" width="13.88671875" style="46" customWidth="1"/>
    <col min="16130" max="16130" width="14.33203125" style="46" customWidth="1"/>
    <col min="16131" max="16147" width="9.6640625" style="46"/>
    <col min="16148" max="16148" width="12" style="46" customWidth="1"/>
    <col min="16149" max="16149" width="12.77734375" style="46" customWidth="1"/>
    <col min="16150" max="16150" width="11.109375" style="46" customWidth="1"/>
    <col min="16151" max="16151" width="12" style="46" customWidth="1"/>
    <col min="16152" max="16152" width="9.6640625" style="46"/>
    <col min="16153" max="16153" width="15.33203125" style="46" customWidth="1"/>
    <col min="16154" max="16154" width="15.21875" style="46" customWidth="1"/>
    <col min="16155" max="16155" width="21.44140625" style="46" customWidth="1"/>
    <col min="16156" max="16171" width="9.6640625" style="46"/>
    <col min="16172" max="16173" width="13.44140625" style="46" customWidth="1"/>
    <col min="16174" max="16174" width="9.6640625" style="46"/>
    <col min="16175" max="16175" width="13.88671875" style="46" customWidth="1"/>
    <col min="16176" max="16176" width="10.6640625" style="46" customWidth="1"/>
    <col min="16177" max="16177" width="17.33203125" style="46" customWidth="1"/>
    <col min="16178" max="16179" width="12.6640625" style="46" customWidth="1"/>
    <col min="16180" max="16180" width="11.21875" style="46" customWidth="1"/>
    <col min="16181" max="16181" width="18.33203125" style="46" customWidth="1"/>
    <col min="16182" max="16182" width="12.88671875" style="46" customWidth="1"/>
    <col min="16183" max="16184" width="13.21875" style="46" customWidth="1"/>
    <col min="16185" max="16185" width="10.88671875" style="46" customWidth="1"/>
    <col min="16186" max="16186" width="11.109375" style="46" customWidth="1"/>
    <col min="16187" max="16187" width="15.21875" style="46" customWidth="1"/>
    <col min="16188" max="16188" width="9.6640625" style="46"/>
    <col min="16189" max="16189" width="11" style="46" customWidth="1"/>
    <col min="16190" max="16190" width="10.77734375" style="46" customWidth="1"/>
    <col min="16191" max="16191" width="11.44140625" style="46" customWidth="1"/>
    <col min="16192" max="16192" width="4" style="46" customWidth="1"/>
    <col min="16193" max="16384" width="9.6640625" style="46"/>
  </cols>
  <sheetData>
    <row r="1" spans="1:93" ht="13.2" x14ac:dyDescent="0.2">
      <c r="A1" s="45" t="s">
        <v>180</v>
      </c>
    </row>
    <row r="2" spans="1:93" x14ac:dyDescent="0.2">
      <c r="C2" s="48" t="s">
        <v>181</v>
      </c>
    </row>
    <row r="3" spans="1:93" s="47" customFormat="1" x14ac:dyDescent="0.2">
      <c r="A3" s="49"/>
      <c r="B3" s="50" t="s">
        <v>182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</row>
    <row r="4" spans="1:93" s="47" customFormat="1" x14ac:dyDescent="0.2">
      <c r="A4" s="49"/>
      <c r="B4" s="53" t="s">
        <v>183</v>
      </c>
      <c r="C4" s="51" t="s">
        <v>79</v>
      </c>
      <c r="D4" s="51" t="s">
        <v>79</v>
      </c>
      <c r="E4" s="51" t="s">
        <v>191</v>
      </c>
      <c r="F4" s="51" t="s">
        <v>79</v>
      </c>
      <c r="G4" s="51" t="s">
        <v>79</v>
      </c>
      <c r="H4" s="51" t="s">
        <v>79</v>
      </c>
      <c r="I4" s="51" t="s">
        <v>79</v>
      </c>
      <c r="J4" s="51" t="s">
        <v>79</v>
      </c>
      <c r="K4" s="51" t="s">
        <v>79</v>
      </c>
      <c r="L4" s="51" t="s">
        <v>79</v>
      </c>
      <c r="M4" s="51" t="s">
        <v>79</v>
      </c>
      <c r="N4" s="51" t="s">
        <v>79</v>
      </c>
      <c r="O4" s="51" t="s">
        <v>79</v>
      </c>
      <c r="P4" s="51" t="s">
        <v>79</v>
      </c>
      <c r="Q4" s="51" t="s">
        <v>79</v>
      </c>
      <c r="R4" s="51" t="s">
        <v>79</v>
      </c>
      <c r="S4" s="51" t="s">
        <v>79</v>
      </c>
      <c r="T4" s="51" t="s">
        <v>79</v>
      </c>
      <c r="U4" s="51" t="s">
        <v>79</v>
      </c>
      <c r="V4" s="51" t="s">
        <v>79</v>
      </c>
      <c r="W4" s="51" t="s">
        <v>79</v>
      </c>
      <c r="X4" s="51" t="s">
        <v>79</v>
      </c>
      <c r="Y4" s="51" t="s">
        <v>79</v>
      </c>
      <c r="Z4" s="51" t="s">
        <v>79</v>
      </c>
      <c r="AA4" s="51" t="s">
        <v>79</v>
      </c>
      <c r="AB4" s="51" t="s">
        <v>79</v>
      </c>
      <c r="AC4" s="51" t="s">
        <v>79</v>
      </c>
      <c r="AD4" s="51" t="s">
        <v>79</v>
      </c>
      <c r="AE4" s="51" t="s">
        <v>79</v>
      </c>
      <c r="AF4" s="51" t="s">
        <v>79</v>
      </c>
      <c r="AG4" s="51" t="s">
        <v>79</v>
      </c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</row>
    <row r="5" spans="1:93" s="47" customFormat="1" x14ac:dyDescent="0.2">
      <c r="A5" s="49"/>
      <c r="B5" s="50" t="s">
        <v>185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4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</row>
    <row r="6" spans="1:93" s="56" customFormat="1" x14ac:dyDescent="0.2">
      <c r="A6" s="55"/>
      <c r="B6" s="50" t="s">
        <v>186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</row>
    <row r="7" spans="1:93" s="61" customFormat="1" ht="30.6" customHeight="1" x14ac:dyDescent="0.2">
      <c r="A7" s="57"/>
      <c r="B7" s="72" t="s">
        <v>187</v>
      </c>
      <c r="C7" s="71" t="s">
        <v>17</v>
      </c>
      <c r="D7" s="71" t="s">
        <v>168</v>
      </c>
      <c r="E7" s="71" t="s">
        <v>18</v>
      </c>
      <c r="F7" s="71" t="s">
        <v>55</v>
      </c>
      <c r="G7" s="71" t="s">
        <v>19</v>
      </c>
      <c r="H7" s="71" t="s">
        <v>20</v>
      </c>
      <c r="I7" s="71" t="s">
        <v>99</v>
      </c>
      <c r="J7" s="71" t="s">
        <v>21</v>
      </c>
      <c r="K7" s="71" t="s">
        <v>22</v>
      </c>
      <c r="L7" s="71" t="s">
        <v>12</v>
      </c>
      <c r="M7" s="71" t="s">
        <v>23</v>
      </c>
      <c r="N7" s="71" t="s">
        <v>24</v>
      </c>
      <c r="O7" s="71" t="s">
        <v>25</v>
      </c>
      <c r="P7" s="71" t="s">
        <v>26</v>
      </c>
      <c r="Q7" s="71" t="s">
        <v>27</v>
      </c>
      <c r="R7" s="71" t="s">
        <v>113</v>
      </c>
      <c r="S7" s="71" t="s">
        <v>28</v>
      </c>
      <c r="T7" s="71" t="s">
        <v>228</v>
      </c>
      <c r="U7" s="71" t="s">
        <v>242</v>
      </c>
      <c r="V7" s="71" t="s">
        <v>30</v>
      </c>
      <c r="W7" s="71" t="s">
        <v>169</v>
      </c>
      <c r="X7" s="71" t="s">
        <v>229</v>
      </c>
      <c r="Y7" s="71" t="s">
        <v>31</v>
      </c>
      <c r="Z7" s="71" t="s">
        <v>232</v>
      </c>
      <c r="AA7" s="71" t="s">
        <v>33</v>
      </c>
      <c r="AB7" s="71" t="s">
        <v>34</v>
      </c>
      <c r="AC7" s="71" t="s">
        <v>35</v>
      </c>
      <c r="AD7" s="71" t="s">
        <v>36</v>
      </c>
      <c r="AE7" s="71" t="s">
        <v>37</v>
      </c>
      <c r="AF7" s="71" t="s">
        <v>171</v>
      </c>
      <c r="AG7" s="71" t="s">
        <v>172</v>
      </c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9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</row>
    <row r="8" spans="1:93" x14ac:dyDescent="0.2">
      <c r="A8" s="62" t="s">
        <v>16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</row>
    <row r="9" spans="1:93" x14ac:dyDescent="0.2">
      <c r="A9" s="65" t="s">
        <v>103</v>
      </c>
      <c r="C9" s="66" t="s">
        <v>179</v>
      </c>
      <c r="D9" s="66">
        <v>6.1538461538461542</v>
      </c>
      <c r="E9" s="66" t="s">
        <v>179</v>
      </c>
      <c r="F9" s="66" t="s">
        <v>179</v>
      </c>
      <c r="G9" s="66" t="s">
        <v>179</v>
      </c>
      <c r="H9" s="66">
        <v>0.04</v>
      </c>
      <c r="I9" s="66" t="s">
        <v>179</v>
      </c>
      <c r="J9" s="66" t="s">
        <v>179</v>
      </c>
      <c r="K9" s="66" t="s">
        <v>179</v>
      </c>
      <c r="L9" s="66" t="s">
        <v>179</v>
      </c>
      <c r="M9" s="66">
        <v>2.5239436619718308E-2</v>
      </c>
      <c r="N9" s="66" t="s">
        <v>179</v>
      </c>
      <c r="O9" s="66">
        <v>0.14285714285714285</v>
      </c>
      <c r="P9" s="66" t="s">
        <v>179</v>
      </c>
      <c r="Q9" s="66" t="s">
        <v>179</v>
      </c>
      <c r="R9" s="66" t="s">
        <v>179</v>
      </c>
      <c r="S9" s="66" t="s">
        <v>179</v>
      </c>
      <c r="T9" s="66">
        <v>0.14666666666666667</v>
      </c>
      <c r="U9" s="66">
        <v>0.11666666666666667</v>
      </c>
      <c r="V9" s="66">
        <v>6.3157894736842107E-2</v>
      </c>
      <c r="W9" s="66" t="s">
        <v>179</v>
      </c>
      <c r="X9" s="66" t="s">
        <v>179</v>
      </c>
      <c r="Y9" s="66" t="s">
        <v>179</v>
      </c>
      <c r="Z9" s="66" t="s">
        <v>179</v>
      </c>
      <c r="AA9" s="66" t="s">
        <v>179</v>
      </c>
      <c r="AB9" s="66" t="s">
        <v>179</v>
      </c>
      <c r="AC9" s="66" t="s">
        <v>179</v>
      </c>
      <c r="AD9" s="66" t="s">
        <v>179</v>
      </c>
      <c r="AE9" s="66" t="s">
        <v>179</v>
      </c>
      <c r="AF9" s="66" t="s">
        <v>179</v>
      </c>
      <c r="AG9" s="66" t="s">
        <v>179</v>
      </c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</row>
    <row r="10" spans="1:93" x14ac:dyDescent="0.2">
      <c r="A10" s="65" t="s">
        <v>104</v>
      </c>
      <c r="C10" s="66" t="s">
        <v>179</v>
      </c>
      <c r="D10" s="66" t="s">
        <v>179</v>
      </c>
      <c r="E10" s="66">
        <v>44</v>
      </c>
      <c r="F10" s="66" t="s">
        <v>179</v>
      </c>
      <c r="G10" s="66" t="s">
        <v>179</v>
      </c>
      <c r="H10" s="66">
        <v>0.04</v>
      </c>
      <c r="I10" s="66" t="s">
        <v>179</v>
      </c>
      <c r="J10" s="66" t="s">
        <v>179</v>
      </c>
      <c r="K10" s="66" t="s">
        <v>179</v>
      </c>
      <c r="L10" s="66" t="s">
        <v>179</v>
      </c>
      <c r="M10" s="66">
        <v>1.5655577299412915E-2</v>
      </c>
      <c r="N10" s="66" t="s">
        <v>179</v>
      </c>
      <c r="O10" s="66">
        <v>0.13793103448275862</v>
      </c>
      <c r="P10" s="66" t="s">
        <v>179</v>
      </c>
      <c r="Q10" s="66" t="s">
        <v>179</v>
      </c>
      <c r="R10" s="66" t="s">
        <v>179</v>
      </c>
      <c r="S10" s="66" t="s">
        <v>179</v>
      </c>
      <c r="T10" s="66">
        <v>0.14399999999999999</v>
      </c>
      <c r="U10" s="66" t="s">
        <v>179</v>
      </c>
      <c r="V10" s="66">
        <v>6.3157894736842107E-2</v>
      </c>
      <c r="W10" s="66" t="s">
        <v>179</v>
      </c>
      <c r="X10" s="66" t="s">
        <v>179</v>
      </c>
      <c r="Y10" s="66" t="s">
        <v>179</v>
      </c>
      <c r="Z10" s="66" t="s">
        <v>179</v>
      </c>
      <c r="AA10" s="66" t="s">
        <v>179</v>
      </c>
      <c r="AB10" s="66" t="s">
        <v>179</v>
      </c>
      <c r="AC10" s="66" t="s">
        <v>179</v>
      </c>
      <c r="AD10" s="66" t="s">
        <v>179</v>
      </c>
      <c r="AE10" s="66" t="s">
        <v>179</v>
      </c>
      <c r="AF10" s="66" t="s">
        <v>179</v>
      </c>
      <c r="AG10" s="66" t="s">
        <v>179</v>
      </c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</row>
    <row r="11" spans="1:93" x14ac:dyDescent="0.2">
      <c r="A11" s="65" t="s">
        <v>92</v>
      </c>
      <c r="C11" s="66" t="s">
        <v>179</v>
      </c>
      <c r="D11" s="66" t="s">
        <v>179</v>
      </c>
      <c r="E11" s="66" t="s">
        <v>179</v>
      </c>
      <c r="F11" s="66" t="s">
        <v>179</v>
      </c>
      <c r="G11" s="66" t="s">
        <v>179</v>
      </c>
      <c r="H11" s="66">
        <v>4.6385542168674701E-2</v>
      </c>
      <c r="I11" s="66">
        <v>0.3175</v>
      </c>
      <c r="J11" s="66" t="s">
        <v>179</v>
      </c>
      <c r="K11" s="66" t="s">
        <v>179</v>
      </c>
      <c r="L11" s="66" t="s">
        <v>179</v>
      </c>
      <c r="M11" s="66">
        <v>2.5641666666666667E-2</v>
      </c>
      <c r="N11" s="66" t="s">
        <v>179</v>
      </c>
      <c r="O11" s="66">
        <v>0.15388888888888888</v>
      </c>
      <c r="P11" s="66" t="s">
        <v>179</v>
      </c>
      <c r="Q11" s="66">
        <v>3.7190787603070801E-3</v>
      </c>
      <c r="R11" s="66" t="s">
        <v>179</v>
      </c>
      <c r="S11" s="66" t="s">
        <v>179</v>
      </c>
      <c r="T11" s="66" t="s">
        <v>179</v>
      </c>
      <c r="U11" s="66" t="s">
        <v>179</v>
      </c>
      <c r="V11" s="66">
        <v>8.9275362318840576E-2</v>
      </c>
      <c r="W11" s="66" t="s">
        <v>179</v>
      </c>
      <c r="X11" s="66" t="s">
        <v>179</v>
      </c>
      <c r="Y11" s="66" t="s">
        <v>179</v>
      </c>
      <c r="Z11" s="66" t="s">
        <v>179</v>
      </c>
      <c r="AA11" s="66" t="s">
        <v>179</v>
      </c>
      <c r="AB11" s="66" t="s">
        <v>179</v>
      </c>
      <c r="AC11" s="66" t="s">
        <v>179</v>
      </c>
      <c r="AD11" s="66" t="s">
        <v>179</v>
      </c>
      <c r="AE11" s="66" t="s">
        <v>179</v>
      </c>
      <c r="AF11" s="66" t="s">
        <v>179</v>
      </c>
      <c r="AG11" s="66" t="s">
        <v>179</v>
      </c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CC11" s="68"/>
    </row>
    <row r="12" spans="1:93" x14ac:dyDescent="0.2">
      <c r="A12" s="65" t="s">
        <v>190</v>
      </c>
      <c r="C12" s="66" t="s">
        <v>179</v>
      </c>
      <c r="D12" s="66" t="s">
        <v>179</v>
      </c>
      <c r="E12" s="66" t="s">
        <v>179</v>
      </c>
      <c r="F12" s="66" t="s">
        <v>179</v>
      </c>
      <c r="G12" s="66">
        <v>1.8469376054515373E-3</v>
      </c>
      <c r="H12" s="66" t="s">
        <v>179</v>
      </c>
      <c r="I12" s="66" t="s">
        <v>179</v>
      </c>
      <c r="J12" s="66" t="s">
        <v>179</v>
      </c>
      <c r="K12" s="66">
        <v>3.1712747229988608E-3</v>
      </c>
      <c r="L12" s="66">
        <v>2.3982056590752244E-4</v>
      </c>
      <c r="M12" s="66">
        <v>1.2475493056859492E-2</v>
      </c>
      <c r="N12" s="66">
        <v>1.0040441648820843E-2</v>
      </c>
      <c r="O12" s="66" t="s">
        <v>179</v>
      </c>
      <c r="P12" s="66" t="s">
        <v>179</v>
      </c>
      <c r="Q12" s="66" t="s">
        <v>179</v>
      </c>
      <c r="R12" s="66">
        <v>9.1582710268372125E-4</v>
      </c>
      <c r="S12" s="66" t="s">
        <v>179</v>
      </c>
      <c r="T12" s="87">
        <v>3.5435689990021137E-3</v>
      </c>
      <c r="U12" s="66" t="s">
        <v>179</v>
      </c>
      <c r="V12" s="66" t="s">
        <v>179</v>
      </c>
      <c r="W12" s="66" t="s">
        <v>179</v>
      </c>
      <c r="X12" s="66" t="s">
        <v>179</v>
      </c>
      <c r="Y12" s="66">
        <v>1.2403100775193799E-3</v>
      </c>
      <c r="Z12" s="66">
        <v>0.42553191489361702</v>
      </c>
      <c r="AA12" s="66" t="s">
        <v>179</v>
      </c>
      <c r="AB12" s="66">
        <v>7.9508856682769732E-3</v>
      </c>
      <c r="AC12" s="66" t="s">
        <v>179</v>
      </c>
      <c r="AD12" s="66">
        <v>1.0514752040175769E-2</v>
      </c>
      <c r="AE12" s="66">
        <v>7.7638888888888882E-2</v>
      </c>
      <c r="AF12" s="66" t="s">
        <v>179</v>
      </c>
      <c r="AG12" s="66" t="s">
        <v>179</v>
      </c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</row>
    <row r="13" spans="1:93" x14ac:dyDescent="0.2">
      <c r="A13" s="65" t="s">
        <v>164</v>
      </c>
      <c r="C13" s="66" t="s">
        <v>179</v>
      </c>
      <c r="D13" s="66" t="s">
        <v>179</v>
      </c>
      <c r="E13" s="66" t="s">
        <v>179</v>
      </c>
      <c r="F13" s="66" t="s">
        <v>179</v>
      </c>
      <c r="G13" s="66" t="s">
        <v>179</v>
      </c>
      <c r="H13" s="66" t="s">
        <v>179</v>
      </c>
      <c r="I13" s="66" t="s">
        <v>179</v>
      </c>
      <c r="J13" s="66" t="s">
        <v>179</v>
      </c>
      <c r="K13" s="66" t="s">
        <v>179</v>
      </c>
      <c r="L13" s="66" t="s">
        <v>179</v>
      </c>
      <c r="M13" s="66">
        <v>1.4126984126984127E-2</v>
      </c>
      <c r="N13" s="66">
        <v>1.4246463547334059E-2</v>
      </c>
      <c r="O13" s="66" t="s">
        <v>179</v>
      </c>
      <c r="P13" s="66">
        <v>0.15893336314847942</v>
      </c>
      <c r="Q13" s="66" t="s">
        <v>179</v>
      </c>
      <c r="R13" s="66" t="s">
        <v>179</v>
      </c>
      <c r="S13" s="66" t="s">
        <v>179</v>
      </c>
      <c r="T13" s="66">
        <v>7.475317348377997E-3</v>
      </c>
      <c r="U13" s="66" t="s">
        <v>179</v>
      </c>
      <c r="V13" s="66" t="s">
        <v>179</v>
      </c>
      <c r="W13" s="66" t="s">
        <v>179</v>
      </c>
      <c r="X13" s="66" t="s">
        <v>179</v>
      </c>
      <c r="Y13" s="66" t="s">
        <v>179</v>
      </c>
      <c r="Z13" s="66" t="s">
        <v>179</v>
      </c>
      <c r="AA13" s="66" t="s">
        <v>179</v>
      </c>
      <c r="AB13" s="66" t="s">
        <v>179</v>
      </c>
      <c r="AC13" s="66" t="s">
        <v>179</v>
      </c>
      <c r="AD13" s="66" t="s">
        <v>179</v>
      </c>
      <c r="AE13" s="66" t="s">
        <v>179</v>
      </c>
      <c r="AF13" s="66" t="s">
        <v>179</v>
      </c>
      <c r="AG13" s="66" t="s">
        <v>179</v>
      </c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</row>
    <row r="14" spans="1:93" x14ac:dyDescent="0.2">
      <c r="A14" s="65" t="s">
        <v>145</v>
      </c>
      <c r="C14" s="66">
        <v>1.1261261261261261E-2</v>
      </c>
      <c r="D14" s="66" t="s">
        <v>179</v>
      </c>
      <c r="E14" s="66" t="s">
        <v>179</v>
      </c>
      <c r="F14" s="66" t="s">
        <v>179</v>
      </c>
      <c r="G14" s="66" t="s">
        <v>179</v>
      </c>
      <c r="H14" s="66">
        <v>1.6499772416932179E-2</v>
      </c>
      <c r="I14" s="66" t="s">
        <v>179</v>
      </c>
      <c r="J14" s="66">
        <v>1.2060423771829366E-3</v>
      </c>
      <c r="K14" s="66">
        <v>2.4866044213430871E-3</v>
      </c>
      <c r="L14" s="66">
        <v>3.839692824574034E-4</v>
      </c>
      <c r="M14" s="66">
        <v>1.4625673853653248E-2</v>
      </c>
      <c r="N14" s="66">
        <v>1.3888888888888888E-2</v>
      </c>
      <c r="O14" s="66">
        <v>0.11779531010300241</v>
      </c>
      <c r="P14" s="66" t="s">
        <v>179</v>
      </c>
      <c r="Q14" s="66">
        <v>1.3958354531768953E-4</v>
      </c>
      <c r="R14" s="66">
        <v>1.7971127497027409E-3</v>
      </c>
      <c r="S14" s="66">
        <v>0.21166286149162861</v>
      </c>
      <c r="T14" s="66">
        <v>8.9474269200844718E-3</v>
      </c>
      <c r="U14" s="66">
        <v>3.5727245162220332E-3</v>
      </c>
      <c r="V14" s="66" t="s">
        <v>179</v>
      </c>
      <c r="W14" s="66">
        <v>2.0987654320987654</v>
      </c>
      <c r="X14" s="66">
        <v>3.3333333333333335</v>
      </c>
      <c r="Y14" s="66" t="s">
        <v>179</v>
      </c>
      <c r="Z14" s="66" t="s">
        <v>179</v>
      </c>
      <c r="AA14" s="66">
        <v>9.3843843843843845E-3</v>
      </c>
      <c r="AB14" s="66">
        <v>6.0168471720818293E-3</v>
      </c>
      <c r="AC14" s="66">
        <v>1.0438849221261847E-2</v>
      </c>
      <c r="AD14" s="66" t="s">
        <v>179</v>
      </c>
      <c r="AE14" s="66" t="s">
        <v>179</v>
      </c>
      <c r="AF14" s="66">
        <v>5.1420724366768901E-3</v>
      </c>
      <c r="AG14" s="66">
        <v>4.8240536083920989E-3</v>
      </c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</row>
    <row r="15" spans="1:93" x14ac:dyDescent="0.2">
      <c r="A15" s="65" t="s">
        <v>144</v>
      </c>
      <c r="B15" s="69"/>
      <c r="C15" s="66" t="s">
        <v>179</v>
      </c>
      <c r="D15" s="66" t="s">
        <v>179</v>
      </c>
      <c r="E15" s="66" t="s">
        <v>179</v>
      </c>
      <c r="F15" s="66" t="s">
        <v>179</v>
      </c>
      <c r="G15" s="66" t="s">
        <v>179</v>
      </c>
      <c r="H15" s="66" t="s">
        <v>179</v>
      </c>
      <c r="I15" s="66" t="s">
        <v>179</v>
      </c>
      <c r="J15" s="66" t="s">
        <v>179</v>
      </c>
      <c r="K15" s="66" t="s">
        <v>179</v>
      </c>
      <c r="L15" s="66" t="s">
        <v>179</v>
      </c>
      <c r="M15" s="66">
        <v>1.6654091334526701E-2</v>
      </c>
      <c r="N15" s="66">
        <v>1.4085526798944198E-2</v>
      </c>
      <c r="O15" s="66" t="s">
        <v>179</v>
      </c>
      <c r="P15" s="66" t="s">
        <v>179</v>
      </c>
      <c r="Q15" s="66" t="s">
        <v>179</v>
      </c>
      <c r="R15" s="66" t="s">
        <v>179</v>
      </c>
      <c r="S15" s="66" t="s">
        <v>179</v>
      </c>
      <c r="T15" s="66" t="s">
        <v>179</v>
      </c>
      <c r="U15" s="66" t="s">
        <v>179</v>
      </c>
      <c r="V15" s="66" t="s">
        <v>179</v>
      </c>
      <c r="W15" s="66" t="s">
        <v>179</v>
      </c>
      <c r="X15" s="66" t="s">
        <v>179</v>
      </c>
      <c r="Y15" s="66" t="s">
        <v>179</v>
      </c>
      <c r="Z15" s="66" t="s">
        <v>179</v>
      </c>
      <c r="AA15" s="66" t="s">
        <v>179</v>
      </c>
      <c r="AB15" s="66" t="s">
        <v>179</v>
      </c>
      <c r="AC15" s="66" t="s">
        <v>179</v>
      </c>
      <c r="AD15" s="66" t="s">
        <v>179</v>
      </c>
      <c r="AE15" s="66" t="s">
        <v>179</v>
      </c>
      <c r="AF15" s="66" t="s">
        <v>179</v>
      </c>
      <c r="AG15" s="66" t="s">
        <v>179</v>
      </c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</row>
    <row r="16" spans="1:93" x14ac:dyDescent="0.2">
      <c r="A16" s="65" t="s">
        <v>189</v>
      </c>
      <c r="C16" s="66" t="s">
        <v>179</v>
      </c>
      <c r="D16" s="66" t="s">
        <v>179</v>
      </c>
      <c r="E16" s="66" t="s">
        <v>179</v>
      </c>
      <c r="F16" s="66" t="s">
        <v>179</v>
      </c>
      <c r="G16" s="66" t="s">
        <v>179</v>
      </c>
      <c r="H16" s="66" t="s">
        <v>179</v>
      </c>
      <c r="I16" s="66" t="s">
        <v>179</v>
      </c>
      <c r="J16" s="66" t="s">
        <v>179</v>
      </c>
      <c r="K16" s="66">
        <v>2.4706655485315625E-3</v>
      </c>
      <c r="L16" s="66" t="s">
        <v>179</v>
      </c>
      <c r="M16" s="66">
        <v>1.1313806984966002E-2</v>
      </c>
      <c r="N16" s="66">
        <v>8.435010996424951E-3</v>
      </c>
      <c r="O16" s="66" t="s">
        <v>179</v>
      </c>
      <c r="P16" s="66" t="s">
        <v>179</v>
      </c>
      <c r="Q16" s="66" t="s">
        <v>179</v>
      </c>
      <c r="R16" s="66" t="s">
        <v>179</v>
      </c>
      <c r="S16" s="66" t="s">
        <v>179</v>
      </c>
      <c r="T16" s="66" t="s">
        <v>179</v>
      </c>
      <c r="U16" s="66" t="s">
        <v>179</v>
      </c>
      <c r="V16" s="66" t="s">
        <v>179</v>
      </c>
      <c r="W16" s="66" t="s">
        <v>179</v>
      </c>
      <c r="X16" s="66" t="s">
        <v>179</v>
      </c>
      <c r="Y16" s="66" t="s">
        <v>179</v>
      </c>
      <c r="Z16" s="66" t="s">
        <v>179</v>
      </c>
      <c r="AA16" s="66" t="s">
        <v>179</v>
      </c>
      <c r="AB16" s="66" t="s">
        <v>179</v>
      </c>
      <c r="AC16" s="66" t="s">
        <v>179</v>
      </c>
      <c r="AD16" s="66" t="s">
        <v>179</v>
      </c>
      <c r="AE16" s="66" t="s">
        <v>179</v>
      </c>
      <c r="AF16" s="66" t="s">
        <v>179</v>
      </c>
      <c r="AG16" s="66" t="s">
        <v>179</v>
      </c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</row>
    <row r="17" spans="1:55" x14ac:dyDescent="0.2">
      <c r="A17" s="65" t="s">
        <v>188</v>
      </c>
      <c r="C17" s="66" t="s">
        <v>179</v>
      </c>
      <c r="D17" s="66">
        <v>7.5843373493975905</v>
      </c>
      <c r="E17" s="66" t="s">
        <v>179</v>
      </c>
      <c r="F17" s="66">
        <v>2.8112934362934362E-2</v>
      </c>
      <c r="G17" s="66" t="s">
        <v>179</v>
      </c>
      <c r="H17" s="66">
        <v>2.2674680537352557E-2</v>
      </c>
      <c r="I17" s="66" t="s">
        <v>179</v>
      </c>
      <c r="J17" s="66" t="s">
        <v>179</v>
      </c>
      <c r="K17" s="66">
        <v>3.9849617232659588E-3</v>
      </c>
      <c r="L17" s="66">
        <v>2.7245400818867293E-4</v>
      </c>
      <c r="M17" s="66">
        <v>8.4584673060504999E-3</v>
      </c>
      <c r="N17" s="66">
        <v>5.9565315792193844E-3</v>
      </c>
      <c r="O17" s="66">
        <v>5.1097300622376607E-2</v>
      </c>
      <c r="P17" s="66" t="s">
        <v>179</v>
      </c>
      <c r="Q17" s="66">
        <v>4.8466982072728335E-4</v>
      </c>
      <c r="R17" s="66" t="s">
        <v>179</v>
      </c>
      <c r="S17" s="66">
        <v>2.5053571428571431</v>
      </c>
      <c r="T17" s="66" t="s">
        <v>179</v>
      </c>
      <c r="U17" s="66" t="s">
        <v>179</v>
      </c>
      <c r="V17" s="66" t="s">
        <v>179</v>
      </c>
      <c r="W17" s="66" t="s">
        <v>179</v>
      </c>
      <c r="X17" s="66" t="s">
        <v>179</v>
      </c>
      <c r="Y17" s="66" t="s">
        <v>179</v>
      </c>
      <c r="Z17" s="66" t="s">
        <v>179</v>
      </c>
      <c r="AA17" s="66" t="s">
        <v>179</v>
      </c>
      <c r="AB17" s="66" t="s">
        <v>179</v>
      </c>
      <c r="AC17" s="66" t="s">
        <v>179</v>
      </c>
      <c r="AD17" s="66" t="s">
        <v>179</v>
      </c>
      <c r="AE17" s="66" t="s">
        <v>179</v>
      </c>
      <c r="AF17" s="66" t="s">
        <v>179</v>
      </c>
      <c r="AG17" s="66" t="s">
        <v>179</v>
      </c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CB25"/>
  <sheetViews>
    <sheetView workbookViewId="0">
      <pane xSplit="2" ySplit="7" topLeftCell="K8" activePane="bottomRight" state="frozenSplit"/>
      <selection activeCell="AK6" sqref="AK6"/>
      <selection pane="topRight" activeCell="AK6" sqref="AK6"/>
      <selection pane="bottomLeft" activeCell="AK6" sqref="AK6"/>
      <selection pane="bottomRight" activeCell="R28" sqref="R28"/>
    </sheetView>
  </sheetViews>
  <sheetFormatPr defaultColWidth="9.6640625" defaultRowHeight="12" x14ac:dyDescent="0.2"/>
  <cols>
    <col min="1" max="1" width="6.44140625" style="47" customWidth="1"/>
    <col min="2" max="2" width="13.88671875" style="46" customWidth="1"/>
    <col min="3" max="3" width="11.88671875" style="46" customWidth="1"/>
    <col min="4" max="4" width="9.88671875" style="46" customWidth="1"/>
    <col min="5" max="5" width="13.109375" style="46" customWidth="1"/>
    <col min="6" max="6" width="11.5546875" style="46" customWidth="1"/>
    <col min="7" max="7" width="10.6640625" style="46" customWidth="1"/>
    <col min="8" max="8" width="9.6640625" style="46"/>
    <col min="9" max="9" width="15.77734375" style="46" customWidth="1"/>
    <col min="10" max="10" width="7.21875" style="46" customWidth="1"/>
    <col min="11" max="11" width="11.88671875" style="46" customWidth="1"/>
    <col min="12" max="12" width="9" style="46" customWidth="1"/>
    <col min="13" max="16" width="9.6640625" style="46"/>
    <col min="17" max="17" width="7.109375" style="46" customWidth="1"/>
    <col min="18" max="19" width="9.6640625" style="46"/>
    <col min="20" max="21" width="18.6640625" style="46" customWidth="1"/>
    <col min="22" max="22" width="12.77734375" style="46" customWidth="1"/>
    <col min="23" max="23" width="11.109375" style="46" customWidth="1"/>
    <col min="24" max="24" width="12" style="46" customWidth="1"/>
    <col min="25" max="25" width="9.6640625" style="46"/>
    <col min="26" max="26" width="15.33203125" style="46" customWidth="1"/>
    <col min="27" max="27" width="15.21875" style="46" customWidth="1"/>
    <col min="28" max="28" width="21.44140625" style="46" customWidth="1"/>
    <col min="29" max="44" width="9.6640625" style="46"/>
    <col min="45" max="46" width="13.44140625" style="46" customWidth="1"/>
    <col min="47" max="47" width="9.6640625" style="46"/>
    <col min="48" max="48" width="13.88671875" style="46" customWidth="1"/>
    <col min="49" max="49" width="10.6640625" style="46" customWidth="1"/>
    <col min="50" max="50" width="17.33203125" style="46" customWidth="1"/>
    <col min="51" max="52" width="12.6640625" style="46" customWidth="1"/>
    <col min="53" max="53" width="11.21875" style="46" customWidth="1"/>
    <col min="54" max="54" width="18.33203125" style="46" customWidth="1"/>
    <col min="55" max="55" width="12.88671875" style="46" customWidth="1"/>
    <col min="56" max="57" width="13.21875" style="46" customWidth="1"/>
    <col min="58" max="58" width="10.88671875" style="46" customWidth="1"/>
    <col min="59" max="59" width="11.109375" style="46" customWidth="1"/>
    <col min="60" max="60" width="15.21875" style="46" customWidth="1"/>
    <col min="61" max="61" width="9.6640625" style="46"/>
    <col min="62" max="62" width="11" style="46" customWidth="1"/>
    <col min="63" max="63" width="10.77734375" style="46" customWidth="1"/>
    <col min="64" max="64" width="11.44140625" style="46" customWidth="1"/>
    <col min="65" max="65" width="4" style="46" customWidth="1"/>
    <col min="66" max="256" width="9.6640625" style="46"/>
    <col min="257" max="257" width="6.44140625" style="46" customWidth="1"/>
    <col min="258" max="258" width="13.88671875" style="46" customWidth="1"/>
    <col min="259" max="259" width="11.88671875" style="46" customWidth="1"/>
    <col min="260" max="262" width="9.6640625" style="46"/>
    <col min="263" max="263" width="15.44140625" style="46" customWidth="1"/>
    <col min="264" max="264" width="16.21875" style="46" customWidth="1"/>
    <col min="265" max="276" width="9.6640625" style="46"/>
    <col min="277" max="277" width="12" style="46" customWidth="1"/>
    <col min="278" max="278" width="12.77734375" style="46" customWidth="1"/>
    <col min="279" max="279" width="11.109375" style="46" customWidth="1"/>
    <col min="280" max="280" width="12" style="46" customWidth="1"/>
    <col min="281" max="281" width="9.6640625" style="46"/>
    <col min="282" max="282" width="15.33203125" style="46" customWidth="1"/>
    <col min="283" max="283" width="15.21875" style="46" customWidth="1"/>
    <col min="284" max="284" width="21.44140625" style="46" customWidth="1"/>
    <col min="285" max="300" width="9.6640625" style="46"/>
    <col min="301" max="302" width="13.44140625" style="46" customWidth="1"/>
    <col min="303" max="303" width="9.6640625" style="46"/>
    <col min="304" max="304" width="13.88671875" style="46" customWidth="1"/>
    <col min="305" max="305" width="10.6640625" style="46" customWidth="1"/>
    <col min="306" max="306" width="17.33203125" style="46" customWidth="1"/>
    <col min="307" max="308" width="12.6640625" style="46" customWidth="1"/>
    <col min="309" max="309" width="11.21875" style="46" customWidth="1"/>
    <col min="310" max="310" width="18.33203125" style="46" customWidth="1"/>
    <col min="311" max="311" width="12.88671875" style="46" customWidth="1"/>
    <col min="312" max="313" width="13.21875" style="46" customWidth="1"/>
    <col min="314" max="314" width="10.88671875" style="46" customWidth="1"/>
    <col min="315" max="315" width="11.109375" style="46" customWidth="1"/>
    <col min="316" max="316" width="15.21875" style="46" customWidth="1"/>
    <col min="317" max="317" width="9.6640625" style="46"/>
    <col min="318" max="318" width="11" style="46" customWidth="1"/>
    <col min="319" max="319" width="10.77734375" style="46" customWidth="1"/>
    <col min="320" max="320" width="11.44140625" style="46" customWidth="1"/>
    <col min="321" max="321" width="4" style="46" customWidth="1"/>
    <col min="322" max="512" width="9.6640625" style="46"/>
    <col min="513" max="513" width="6.44140625" style="46" customWidth="1"/>
    <col min="514" max="514" width="13.88671875" style="46" customWidth="1"/>
    <col min="515" max="515" width="11.88671875" style="46" customWidth="1"/>
    <col min="516" max="518" width="9.6640625" style="46"/>
    <col min="519" max="519" width="15.44140625" style="46" customWidth="1"/>
    <col min="520" max="520" width="16.21875" style="46" customWidth="1"/>
    <col min="521" max="532" width="9.6640625" style="46"/>
    <col min="533" max="533" width="12" style="46" customWidth="1"/>
    <col min="534" max="534" width="12.77734375" style="46" customWidth="1"/>
    <col min="535" max="535" width="11.109375" style="46" customWidth="1"/>
    <col min="536" max="536" width="12" style="46" customWidth="1"/>
    <col min="537" max="537" width="9.6640625" style="46"/>
    <col min="538" max="538" width="15.33203125" style="46" customWidth="1"/>
    <col min="539" max="539" width="15.21875" style="46" customWidth="1"/>
    <col min="540" max="540" width="21.44140625" style="46" customWidth="1"/>
    <col min="541" max="556" width="9.6640625" style="46"/>
    <col min="557" max="558" width="13.44140625" style="46" customWidth="1"/>
    <col min="559" max="559" width="9.6640625" style="46"/>
    <col min="560" max="560" width="13.88671875" style="46" customWidth="1"/>
    <col min="561" max="561" width="10.6640625" style="46" customWidth="1"/>
    <col min="562" max="562" width="17.33203125" style="46" customWidth="1"/>
    <col min="563" max="564" width="12.6640625" style="46" customWidth="1"/>
    <col min="565" max="565" width="11.21875" style="46" customWidth="1"/>
    <col min="566" max="566" width="18.33203125" style="46" customWidth="1"/>
    <col min="567" max="567" width="12.88671875" style="46" customWidth="1"/>
    <col min="568" max="569" width="13.21875" style="46" customWidth="1"/>
    <col min="570" max="570" width="10.88671875" style="46" customWidth="1"/>
    <col min="571" max="571" width="11.109375" style="46" customWidth="1"/>
    <col min="572" max="572" width="15.21875" style="46" customWidth="1"/>
    <col min="573" max="573" width="9.6640625" style="46"/>
    <col min="574" max="574" width="11" style="46" customWidth="1"/>
    <col min="575" max="575" width="10.77734375" style="46" customWidth="1"/>
    <col min="576" max="576" width="11.44140625" style="46" customWidth="1"/>
    <col min="577" max="577" width="4" style="46" customWidth="1"/>
    <col min="578" max="768" width="9.6640625" style="46"/>
    <col min="769" max="769" width="6.44140625" style="46" customWidth="1"/>
    <col min="770" max="770" width="13.88671875" style="46" customWidth="1"/>
    <col min="771" max="771" width="11.88671875" style="46" customWidth="1"/>
    <col min="772" max="774" width="9.6640625" style="46"/>
    <col min="775" max="775" width="15.44140625" style="46" customWidth="1"/>
    <col min="776" max="776" width="16.21875" style="46" customWidth="1"/>
    <col min="777" max="788" width="9.6640625" style="46"/>
    <col min="789" max="789" width="12" style="46" customWidth="1"/>
    <col min="790" max="790" width="12.77734375" style="46" customWidth="1"/>
    <col min="791" max="791" width="11.109375" style="46" customWidth="1"/>
    <col min="792" max="792" width="12" style="46" customWidth="1"/>
    <col min="793" max="793" width="9.6640625" style="46"/>
    <col min="794" max="794" width="15.33203125" style="46" customWidth="1"/>
    <col min="795" max="795" width="15.21875" style="46" customWidth="1"/>
    <col min="796" max="796" width="21.44140625" style="46" customWidth="1"/>
    <col min="797" max="812" width="9.6640625" style="46"/>
    <col min="813" max="814" width="13.44140625" style="46" customWidth="1"/>
    <col min="815" max="815" width="9.6640625" style="46"/>
    <col min="816" max="816" width="13.88671875" style="46" customWidth="1"/>
    <col min="817" max="817" width="10.6640625" style="46" customWidth="1"/>
    <col min="818" max="818" width="17.33203125" style="46" customWidth="1"/>
    <col min="819" max="820" width="12.6640625" style="46" customWidth="1"/>
    <col min="821" max="821" width="11.21875" style="46" customWidth="1"/>
    <col min="822" max="822" width="18.33203125" style="46" customWidth="1"/>
    <col min="823" max="823" width="12.88671875" style="46" customWidth="1"/>
    <col min="824" max="825" width="13.21875" style="46" customWidth="1"/>
    <col min="826" max="826" width="10.88671875" style="46" customWidth="1"/>
    <col min="827" max="827" width="11.109375" style="46" customWidth="1"/>
    <col min="828" max="828" width="15.21875" style="46" customWidth="1"/>
    <col min="829" max="829" width="9.6640625" style="46"/>
    <col min="830" max="830" width="11" style="46" customWidth="1"/>
    <col min="831" max="831" width="10.77734375" style="46" customWidth="1"/>
    <col min="832" max="832" width="11.44140625" style="46" customWidth="1"/>
    <col min="833" max="833" width="4" style="46" customWidth="1"/>
    <col min="834" max="1024" width="9.6640625" style="46"/>
    <col min="1025" max="1025" width="6.44140625" style="46" customWidth="1"/>
    <col min="1026" max="1026" width="13.88671875" style="46" customWidth="1"/>
    <col min="1027" max="1027" width="11.88671875" style="46" customWidth="1"/>
    <col min="1028" max="1030" width="9.6640625" style="46"/>
    <col min="1031" max="1031" width="15.44140625" style="46" customWidth="1"/>
    <col min="1032" max="1032" width="16.21875" style="46" customWidth="1"/>
    <col min="1033" max="1044" width="9.6640625" style="46"/>
    <col min="1045" max="1045" width="12" style="46" customWidth="1"/>
    <col min="1046" max="1046" width="12.77734375" style="46" customWidth="1"/>
    <col min="1047" max="1047" width="11.109375" style="46" customWidth="1"/>
    <col min="1048" max="1048" width="12" style="46" customWidth="1"/>
    <col min="1049" max="1049" width="9.6640625" style="46"/>
    <col min="1050" max="1050" width="15.33203125" style="46" customWidth="1"/>
    <col min="1051" max="1051" width="15.21875" style="46" customWidth="1"/>
    <col min="1052" max="1052" width="21.44140625" style="46" customWidth="1"/>
    <col min="1053" max="1068" width="9.6640625" style="46"/>
    <col min="1069" max="1070" width="13.44140625" style="46" customWidth="1"/>
    <col min="1071" max="1071" width="9.6640625" style="46"/>
    <col min="1072" max="1072" width="13.88671875" style="46" customWidth="1"/>
    <col min="1073" max="1073" width="10.6640625" style="46" customWidth="1"/>
    <col min="1074" max="1074" width="17.33203125" style="46" customWidth="1"/>
    <col min="1075" max="1076" width="12.6640625" style="46" customWidth="1"/>
    <col min="1077" max="1077" width="11.21875" style="46" customWidth="1"/>
    <col min="1078" max="1078" width="18.33203125" style="46" customWidth="1"/>
    <col min="1079" max="1079" width="12.88671875" style="46" customWidth="1"/>
    <col min="1080" max="1081" width="13.21875" style="46" customWidth="1"/>
    <col min="1082" max="1082" width="10.88671875" style="46" customWidth="1"/>
    <col min="1083" max="1083" width="11.109375" style="46" customWidth="1"/>
    <col min="1084" max="1084" width="15.21875" style="46" customWidth="1"/>
    <col min="1085" max="1085" width="9.6640625" style="46"/>
    <col min="1086" max="1086" width="11" style="46" customWidth="1"/>
    <col min="1087" max="1087" width="10.77734375" style="46" customWidth="1"/>
    <col min="1088" max="1088" width="11.44140625" style="46" customWidth="1"/>
    <col min="1089" max="1089" width="4" style="46" customWidth="1"/>
    <col min="1090" max="1280" width="9.6640625" style="46"/>
    <col min="1281" max="1281" width="6.44140625" style="46" customWidth="1"/>
    <col min="1282" max="1282" width="13.88671875" style="46" customWidth="1"/>
    <col min="1283" max="1283" width="11.88671875" style="46" customWidth="1"/>
    <col min="1284" max="1286" width="9.6640625" style="46"/>
    <col min="1287" max="1287" width="15.44140625" style="46" customWidth="1"/>
    <col min="1288" max="1288" width="16.21875" style="46" customWidth="1"/>
    <col min="1289" max="1300" width="9.6640625" style="46"/>
    <col min="1301" max="1301" width="12" style="46" customWidth="1"/>
    <col min="1302" max="1302" width="12.77734375" style="46" customWidth="1"/>
    <col min="1303" max="1303" width="11.109375" style="46" customWidth="1"/>
    <col min="1304" max="1304" width="12" style="46" customWidth="1"/>
    <col min="1305" max="1305" width="9.6640625" style="46"/>
    <col min="1306" max="1306" width="15.33203125" style="46" customWidth="1"/>
    <col min="1307" max="1307" width="15.21875" style="46" customWidth="1"/>
    <col min="1308" max="1308" width="21.44140625" style="46" customWidth="1"/>
    <col min="1309" max="1324" width="9.6640625" style="46"/>
    <col min="1325" max="1326" width="13.44140625" style="46" customWidth="1"/>
    <col min="1327" max="1327" width="9.6640625" style="46"/>
    <col min="1328" max="1328" width="13.88671875" style="46" customWidth="1"/>
    <col min="1329" max="1329" width="10.6640625" style="46" customWidth="1"/>
    <col min="1330" max="1330" width="17.33203125" style="46" customWidth="1"/>
    <col min="1331" max="1332" width="12.6640625" style="46" customWidth="1"/>
    <col min="1333" max="1333" width="11.21875" style="46" customWidth="1"/>
    <col min="1334" max="1334" width="18.33203125" style="46" customWidth="1"/>
    <col min="1335" max="1335" width="12.88671875" style="46" customWidth="1"/>
    <col min="1336" max="1337" width="13.21875" style="46" customWidth="1"/>
    <col min="1338" max="1338" width="10.88671875" style="46" customWidth="1"/>
    <col min="1339" max="1339" width="11.109375" style="46" customWidth="1"/>
    <col min="1340" max="1340" width="15.21875" style="46" customWidth="1"/>
    <col min="1341" max="1341" width="9.6640625" style="46"/>
    <col min="1342" max="1342" width="11" style="46" customWidth="1"/>
    <col min="1343" max="1343" width="10.77734375" style="46" customWidth="1"/>
    <col min="1344" max="1344" width="11.44140625" style="46" customWidth="1"/>
    <col min="1345" max="1345" width="4" style="46" customWidth="1"/>
    <col min="1346" max="1536" width="9.6640625" style="46"/>
    <col min="1537" max="1537" width="6.44140625" style="46" customWidth="1"/>
    <col min="1538" max="1538" width="13.88671875" style="46" customWidth="1"/>
    <col min="1539" max="1539" width="11.88671875" style="46" customWidth="1"/>
    <col min="1540" max="1542" width="9.6640625" style="46"/>
    <col min="1543" max="1543" width="15.44140625" style="46" customWidth="1"/>
    <col min="1544" max="1544" width="16.21875" style="46" customWidth="1"/>
    <col min="1545" max="1556" width="9.6640625" style="46"/>
    <col min="1557" max="1557" width="12" style="46" customWidth="1"/>
    <col min="1558" max="1558" width="12.77734375" style="46" customWidth="1"/>
    <col min="1559" max="1559" width="11.109375" style="46" customWidth="1"/>
    <col min="1560" max="1560" width="12" style="46" customWidth="1"/>
    <col min="1561" max="1561" width="9.6640625" style="46"/>
    <col min="1562" max="1562" width="15.33203125" style="46" customWidth="1"/>
    <col min="1563" max="1563" width="15.21875" style="46" customWidth="1"/>
    <col min="1564" max="1564" width="21.44140625" style="46" customWidth="1"/>
    <col min="1565" max="1580" width="9.6640625" style="46"/>
    <col min="1581" max="1582" width="13.44140625" style="46" customWidth="1"/>
    <col min="1583" max="1583" width="9.6640625" style="46"/>
    <col min="1584" max="1584" width="13.88671875" style="46" customWidth="1"/>
    <col min="1585" max="1585" width="10.6640625" style="46" customWidth="1"/>
    <col min="1586" max="1586" width="17.33203125" style="46" customWidth="1"/>
    <col min="1587" max="1588" width="12.6640625" style="46" customWidth="1"/>
    <col min="1589" max="1589" width="11.21875" style="46" customWidth="1"/>
    <col min="1590" max="1590" width="18.33203125" style="46" customWidth="1"/>
    <col min="1591" max="1591" width="12.88671875" style="46" customWidth="1"/>
    <col min="1592" max="1593" width="13.21875" style="46" customWidth="1"/>
    <col min="1594" max="1594" width="10.88671875" style="46" customWidth="1"/>
    <col min="1595" max="1595" width="11.109375" style="46" customWidth="1"/>
    <col min="1596" max="1596" width="15.21875" style="46" customWidth="1"/>
    <col min="1597" max="1597" width="9.6640625" style="46"/>
    <col min="1598" max="1598" width="11" style="46" customWidth="1"/>
    <col min="1599" max="1599" width="10.77734375" style="46" customWidth="1"/>
    <col min="1600" max="1600" width="11.44140625" style="46" customWidth="1"/>
    <col min="1601" max="1601" width="4" style="46" customWidth="1"/>
    <col min="1602" max="1792" width="9.6640625" style="46"/>
    <col min="1793" max="1793" width="6.44140625" style="46" customWidth="1"/>
    <col min="1794" max="1794" width="13.88671875" style="46" customWidth="1"/>
    <col min="1795" max="1795" width="11.88671875" style="46" customWidth="1"/>
    <col min="1796" max="1798" width="9.6640625" style="46"/>
    <col min="1799" max="1799" width="15.44140625" style="46" customWidth="1"/>
    <col min="1800" max="1800" width="16.21875" style="46" customWidth="1"/>
    <col min="1801" max="1812" width="9.6640625" style="46"/>
    <col min="1813" max="1813" width="12" style="46" customWidth="1"/>
    <col min="1814" max="1814" width="12.77734375" style="46" customWidth="1"/>
    <col min="1815" max="1815" width="11.109375" style="46" customWidth="1"/>
    <col min="1816" max="1816" width="12" style="46" customWidth="1"/>
    <col min="1817" max="1817" width="9.6640625" style="46"/>
    <col min="1818" max="1818" width="15.33203125" style="46" customWidth="1"/>
    <col min="1819" max="1819" width="15.21875" style="46" customWidth="1"/>
    <col min="1820" max="1820" width="21.44140625" style="46" customWidth="1"/>
    <col min="1821" max="1836" width="9.6640625" style="46"/>
    <col min="1837" max="1838" width="13.44140625" style="46" customWidth="1"/>
    <col min="1839" max="1839" width="9.6640625" style="46"/>
    <col min="1840" max="1840" width="13.88671875" style="46" customWidth="1"/>
    <col min="1841" max="1841" width="10.6640625" style="46" customWidth="1"/>
    <col min="1842" max="1842" width="17.33203125" style="46" customWidth="1"/>
    <col min="1843" max="1844" width="12.6640625" style="46" customWidth="1"/>
    <col min="1845" max="1845" width="11.21875" style="46" customWidth="1"/>
    <col min="1846" max="1846" width="18.33203125" style="46" customWidth="1"/>
    <col min="1847" max="1847" width="12.88671875" style="46" customWidth="1"/>
    <col min="1848" max="1849" width="13.21875" style="46" customWidth="1"/>
    <col min="1850" max="1850" width="10.88671875" style="46" customWidth="1"/>
    <col min="1851" max="1851" width="11.109375" style="46" customWidth="1"/>
    <col min="1852" max="1852" width="15.21875" style="46" customWidth="1"/>
    <col min="1853" max="1853" width="9.6640625" style="46"/>
    <col min="1854" max="1854" width="11" style="46" customWidth="1"/>
    <col min="1855" max="1855" width="10.77734375" style="46" customWidth="1"/>
    <col min="1856" max="1856" width="11.44140625" style="46" customWidth="1"/>
    <col min="1857" max="1857" width="4" style="46" customWidth="1"/>
    <col min="1858" max="2048" width="9.6640625" style="46"/>
    <col min="2049" max="2049" width="6.44140625" style="46" customWidth="1"/>
    <col min="2050" max="2050" width="13.88671875" style="46" customWidth="1"/>
    <col min="2051" max="2051" width="11.88671875" style="46" customWidth="1"/>
    <col min="2052" max="2054" width="9.6640625" style="46"/>
    <col min="2055" max="2055" width="15.44140625" style="46" customWidth="1"/>
    <col min="2056" max="2056" width="16.21875" style="46" customWidth="1"/>
    <col min="2057" max="2068" width="9.6640625" style="46"/>
    <col min="2069" max="2069" width="12" style="46" customWidth="1"/>
    <col min="2070" max="2070" width="12.77734375" style="46" customWidth="1"/>
    <col min="2071" max="2071" width="11.109375" style="46" customWidth="1"/>
    <col min="2072" max="2072" width="12" style="46" customWidth="1"/>
    <col min="2073" max="2073" width="9.6640625" style="46"/>
    <col min="2074" max="2074" width="15.33203125" style="46" customWidth="1"/>
    <col min="2075" max="2075" width="15.21875" style="46" customWidth="1"/>
    <col min="2076" max="2076" width="21.44140625" style="46" customWidth="1"/>
    <col min="2077" max="2092" width="9.6640625" style="46"/>
    <col min="2093" max="2094" width="13.44140625" style="46" customWidth="1"/>
    <col min="2095" max="2095" width="9.6640625" style="46"/>
    <col min="2096" max="2096" width="13.88671875" style="46" customWidth="1"/>
    <col min="2097" max="2097" width="10.6640625" style="46" customWidth="1"/>
    <col min="2098" max="2098" width="17.33203125" style="46" customWidth="1"/>
    <col min="2099" max="2100" width="12.6640625" style="46" customWidth="1"/>
    <col min="2101" max="2101" width="11.21875" style="46" customWidth="1"/>
    <col min="2102" max="2102" width="18.33203125" style="46" customWidth="1"/>
    <col min="2103" max="2103" width="12.88671875" style="46" customWidth="1"/>
    <col min="2104" max="2105" width="13.21875" style="46" customWidth="1"/>
    <col min="2106" max="2106" width="10.88671875" style="46" customWidth="1"/>
    <col min="2107" max="2107" width="11.109375" style="46" customWidth="1"/>
    <col min="2108" max="2108" width="15.21875" style="46" customWidth="1"/>
    <col min="2109" max="2109" width="9.6640625" style="46"/>
    <col min="2110" max="2110" width="11" style="46" customWidth="1"/>
    <col min="2111" max="2111" width="10.77734375" style="46" customWidth="1"/>
    <col min="2112" max="2112" width="11.44140625" style="46" customWidth="1"/>
    <col min="2113" max="2113" width="4" style="46" customWidth="1"/>
    <col min="2114" max="2304" width="9.6640625" style="46"/>
    <col min="2305" max="2305" width="6.44140625" style="46" customWidth="1"/>
    <col min="2306" max="2306" width="13.88671875" style="46" customWidth="1"/>
    <col min="2307" max="2307" width="11.88671875" style="46" customWidth="1"/>
    <col min="2308" max="2310" width="9.6640625" style="46"/>
    <col min="2311" max="2311" width="15.44140625" style="46" customWidth="1"/>
    <col min="2312" max="2312" width="16.21875" style="46" customWidth="1"/>
    <col min="2313" max="2324" width="9.6640625" style="46"/>
    <col min="2325" max="2325" width="12" style="46" customWidth="1"/>
    <col min="2326" max="2326" width="12.77734375" style="46" customWidth="1"/>
    <col min="2327" max="2327" width="11.109375" style="46" customWidth="1"/>
    <col min="2328" max="2328" width="12" style="46" customWidth="1"/>
    <col min="2329" max="2329" width="9.6640625" style="46"/>
    <col min="2330" max="2330" width="15.33203125" style="46" customWidth="1"/>
    <col min="2331" max="2331" width="15.21875" style="46" customWidth="1"/>
    <col min="2332" max="2332" width="21.44140625" style="46" customWidth="1"/>
    <col min="2333" max="2348" width="9.6640625" style="46"/>
    <col min="2349" max="2350" width="13.44140625" style="46" customWidth="1"/>
    <col min="2351" max="2351" width="9.6640625" style="46"/>
    <col min="2352" max="2352" width="13.88671875" style="46" customWidth="1"/>
    <col min="2353" max="2353" width="10.6640625" style="46" customWidth="1"/>
    <col min="2354" max="2354" width="17.33203125" style="46" customWidth="1"/>
    <col min="2355" max="2356" width="12.6640625" style="46" customWidth="1"/>
    <col min="2357" max="2357" width="11.21875" style="46" customWidth="1"/>
    <col min="2358" max="2358" width="18.33203125" style="46" customWidth="1"/>
    <col min="2359" max="2359" width="12.88671875" style="46" customWidth="1"/>
    <col min="2360" max="2361" width="13.21875" style="46" customWidth="1"/>
    <col min="2362" max="2362" width="10.88671875" style="46" customWidth="1"/>
    <col min="2363" max="2363" width="11.109375" style="46" customWidth="1"/>
    <col min="2364" max="2364" width="15.21875" style="46" customWidth="1"/>
    <col min="2365" max="2365" width="9.6640625" style="46"/>
    <col min="2366" max="2366" width="11" style="46" customWidth="1"/>
    <col min="2367" max="2367" width="10.77734375" style="46" customWidth="1"/>
    <col min="2368" max="2368" width="11.44140625" style="46" customWidth="1"/>
    <col min="2369" max="2369" width="4" style="46" customWidth="1"/>
    <col min="2370" max="2560" width="9.6640625" style="46"/>
    <col min="2561" max="2561" width="6.44140625" style="46" customWidth="1"/>
    <col min="2562" max="2562" width="13.88671875" style="46" customWidth="1"/>
    <col min="2563" max="2563" width="11.88671875" style="46" customWidth="1"/>
    <col min="2564" max="2566" width="9.6640625" style="46"/>
    <col min="2567" max="2567" width="15.44140625" style="46" customWidth="1"/>
    <col min="2568" max="2568" width="16.21875" style="46" customWidth="1"/>
    <col min="2569" max="2580" width="9.6640625" style="46"/>
    <col min="2581" max="2581" width="12" style="46" customWidth="1"/>
    <col min="2582" max="2582" width="12.77734375" style="46" customWidth="1"/>
    <col min="2583" max="2583" width="11.109375" style="46" customWidth="1"/>
    <col min="2584" max="2584" width="12" style="46" customWidth="1"/>
    <col min="2585" max="2585" width="9.6640625" style="46"/>
    <col min="2586" max="2586" width="15.33203125" style="46" customWidth="1"/>
    <col min="2587" max="2587" width="15.21875" style="46" customWidth="1"/>
    <col min="2588" max="2588" width="21.44140625" style="46" customWidth="1"/>
    <col min="2589" max="2604" width="9.6640625" style="46"/>
    <col min="2605" max="2606" width="13.44140625" style="46" customWidth="1"/>
    <col min="2607" max="2607" width="9.6640625" style="46"/>
    <col min="2608" max="2608" width="13.88671875" style="46" customWidth="1"/>
    <col min="2609" max="2609" width="10.6640625" style="46" customWidth="1"/>
    <col min="2610" max="2610" width="17.33203125" style="46" customWidth="1"/>
    <col min="2611" max="2612" width="12.6640625" style="46" customWidth="1"/>
    <col min="2613" max="2613" width="11.21875" style="46" customWidth="1"/>
    <col min="2614" max="2614" width="18.33203125" style="46" customWidth="1"/>
    <col min="2615" max="2615" width="12.88671875" style="46" customWidth="1"/>
    <col min="2616" max="2617" width="13.21875" style="46" customWidth="1"/>
    <col min="2618" max="2618" width="10.88671875" style="46" customWidth="1"/>
    <col min="2619" max="2619" width="11.109375" style="46" customWidth="1"/>
    <col min="2620" max="2620" width="15.21875" style="46" customWidth="1"/>
    <col min="2621" max="2621" width="9.6640625" style="46"/>
    <col min="2622" max="2622" width="11" style="46" customWidth="1"/>
    <col min="2623" max="2623" width="10.77734375" style="46" customWidth="1"/>
    <col min="2624" max="2624" width="11.44140625" style="46" customWidth="1"/>
    <col min="2625" max="2625" width="4" style="46" customWidth="1"/>
    <col min="2626" max="2816" width="9.6640625" style="46"/>
    <col min="2817" max="2817" width="6.44140625" style="46" customWidth="1"/>
    <col min="2818" max="2818" width="13.88671875" style="46" customWidth="1"/>
    <col min="2819" max="2819" width="11.88671875" style="46" customWidth="1"/>
    <col min="2820" max="2822" width="9.6640625" style="46"/>
    <col min="2823" max="2823" width="15.44140625" style="46" customWidth="1"/>
    <col min="2824" max="2824" width="16.21875" style="46" customWidth="1"/>
    <col min="2825" max="2836" width="9.6640625" style="46"/>
    <col min="2837" max="2837" width="12" style="46" customWidth="1"/>
    <col min="2838" max="2838" width="12.77734375" style="46" customWidth="1"/>
    <col min="2839" max="2839" width="11.109375" style="46" customWidth="1"/>
    <col min="2840" max="2840" width="12" style="46" customWidth="1"/>
    <col min="2841" max="2841" width="9.6640625" style="46"/>
    <col min="2842" max="2842" width="15.33203125" style="46" customWidth="1"/>
    <col min="2843" max="2843" width="15.21875" style="46" customWidth="1"/>
    <col min="2844" max="2844" width="21.44140625" style="46" customWidth="1"/>
    <col min="2845" max="2860" width="9.6640625" style="46"/>
    <col min="2861" max="2862" width="13.44140625" style="46" customWidth="1"/>
    <col min="2863" max="2863" width="9.6640625" style="46"/>
    <col min="2864" max="2864" width="13.88671875" style="46" customWidth="1"/>
    <col min="2865" max="2865" width="10.6640625" style="46" customWidth="1"/>
    <col min="2866" max="2866" width="17.33203125" style="46" customWidth="1"/>
    <col min="2867" max="2868" width="12.6640625" style="46" customWidth="1"/>
    <col min="2869" max="2869" width="11.21875" style="46" customWidth="1"/>
    <col min="2870" max="2870" width="18.33203125" style="46" customWidth="1"/>
    <col min="2871" max="2871" width="12.88671875" style="46" customWidth="1"/>
    <col min="2872" max="2873" width="13.21875" style="46" customWidth="1"/>
    <col min="2874" max="2874" width="10.88671875" style="46" customWidth="1"/>
    <col min="2875" max="2875" width="11.109375" style="46" customWidth="1"/>
    <col min="2876" max="2876" width="15.21875" style="46" customWidth="1"/>
    <col min="2877" max="2877" width="9.6640625" style="46"/>
    <col min="2878" max="2878" width="11" style="46" customWidth="1"/>
    <col min="2879" max="2879" width="10.77734375" style="46" customWidth="1"/>
    <col min="2880" max="2880" width="11.44140625" style="46" customWidth="1"/>
    <col min="2881" max="2881" width="4" style="46" customWidth="1"/>
    <col min="2882" max="3072" width="9.6640625" style="46"/>
    <col min="3073" max="3073" width="6.44140625" style="46" customWidth="1"/>
    <col min="3074" max="3074" width="13.88671875" style="46" customWidth="1"/>
    <col min="3075" max="3075" width="11.88671875" style="46" customWidth="1"/>
    <col min="3076" max="3078" width="9.6640625" style="46"/>
    <col min="3079" max="3079" width="15.44140625" style="46" customWidth="1"/>
    <col min="3080" max="3080" width="16.21875" style="46" customWidth="1"/>
    <col min="3081" max="3092" width="9.6640625" style="46"/>
    <col min="3093" max="3093" width="12" style="46" customWidth="1"/>
    <col min="3094" max="3094" width="12.77734375" style="46" customWidth="1"/>
    <col min="3095" max="3095" width="11.109375" style="46" customWidth="1"/>
    <col min="3096" max="3096" width="12" style="46" customWidth="1"/>
    <col min="3097" max="3097" width="9.6640625" style="46"/>
    <col min="3098" max="3098" width="15.33203125" style="46" customWidth="1"/>
    <col min="3099" max="3099" width="15.21875" style="46" customWidth="1"/>
    <col min="3100" max="3100" width="21.44140625" style="46" customWidth="1"/>
    <col min="3101" max="3116" width="9.6640625" style="46"/>
    <col min="3117" max="3118" width="13.44140625" style="46" customWidth="1"/>
    <col min="3119" max="3119" width="9.6640625" style="46"/>
    <col min="3120" max="3120" width="13.88671875" style="46" customWidth="1"/>
    <col min="3121" max="3121" width="10.6640625" style="46" customWidth="1"/>
    <col min="3122" max="3122" width="17.33203125" style="46" customWidth="1"/>
    <col min="3123" max="3124" width="12.6640625" style="46" customWidth="1"/>
    <col min="3125" max="3125" width="11.21875" style="46" customWidth="1"/>
    <col min="3126" max="3126" width="18.33203125" style="46" customWidth="1"/>
    <col min="3127" max="3127" width="12.88671875" style="46" customWidth="1"/>
    <col min="3128" max="3129" width="13.21875" style="46" customWidth="1"/>
    <col min="3130" max="3130" width="10.88671875" style="46" customWidth="1"/>
    <col min="3131" max="3131" width="11.109375" style="46" customWidth="1"/>
    <col min="3132" max="3132" width="15.21875" style="46" customWidth="1"/>
    <col min="3133" max="3133" width="9.6640625" style="46"/>
    <col min="3134" max="3134" width="11" style="46" customWidth="1"/>
    <col min="3135" max="3135" width="10.77734375" style="46" customWidth="1"/>
    <col min="3136" max="3136" width="11.44140625" style="46" customWidth="1"/>
    <col min="3137" max="3137" width="4" style="46" customWidth="1"/>
    <col min="3138" max="3328" width="9.6640625" style="46"/>
    <col min="3329" max="3329" width="6.44140625" style="46" customWidth="1"/>
    <col min="3330" max="3330" width="13.88671875" style="46" customWidth="1"/>
    <col min="3331" max="3331" width="11.88671875" style="46" customWidth="1"/>
    <col min="3332" max="3334" width="9.6640625" style="46"/>
    <col min="3335" max="3335" width="15.44140625" style="46" customWidth="1"/>
    <col min="3336" max="3336" width="16.21875" style="46" customWidth="1"/>
    <col min="3337" max="3348" width="9.6640625" style="46"/>
    <col min="3349" max="3349" width="12" style="46" customWidth="1"/>
    <col min="3350" max="3350" width="12.77734375" style="46" customWidth="1"/>
    <col min="3351" max="3351" width="11.109375" style="46" customWidth="1"/>
    <col min="3352" max="3352" width="12" style="46" customWidth="1"/>
    <col min="3353" max="3353" width="9.6640625" style="46"/>
    <col min="3354" max="3354" width="15.33203125" style="46" customWidth="1"/>
    <col min="3355" max="3355" width="15.21875" style="46" customWidth="1"/>
    <col min="3356" max="3356" width="21.44140625" style="46" customWidth="1"/>
    <col min="3357" max="3372" width="9.6640625" style="46"/>
    <col min="3373" max="3374" width="13.44140625" style="46" customWidth="1"/>
    <col min="3375" max="3375" width="9.6640625" style="46"/>
    <col min="3376" max="3376" width="13.88671875" style="46" customWidth="1"/>
    <col min="3377" max="3377" width="10.6640625" style="46" customWidth="1"/>
    <col min="3378" max="3378" width="17.33203125" style="46" customWidth="1"/>
    <col min="3379" max="3380" width="12.6640625" style="46" customWidth="1"/>
    <col min="3381" max="3381" width="11.21875" style="46" customWidth="1"/>
    <col min="3382" max="3382" width="18.33203125" style="46" customWidth="1"/>
    <col min="3383" max="3383" width="12.88671875" style="46" customWidth="1"/>
    <col min="3384" max="3385" width="13.21875" style="46" customWidth="1"/>
    <col min="3386" max="3386" width="10.88671875" style="46" customWidth="1"/>
    <col min="3387" max="3387" width="11.109375" style="46" customWidth="1"/>
    <col min="3388" max="3388" width="15.21875" style="46" customWidth="1"/>
    <col min="3389" max="3389" width="9.6640625" style="46"/>
    <col min="3390" max="3390" width="11" style="46" customWidth="1"/>
    <col min="3391" max="3391" width="10.77734375" style="46" customWidth="1"/>
    <col min="3392" max="3392" width="11.44140625" style="46" customWidth="1"/>
    <col min="3393" max="3393" width="4" style="46" customWidth="1"/>
    <col min="3394" max="3584" width="9.6640625" style="46"/>
    <col min="3585" max="3585" width="6.44140625" style="46" customWidth="1"/>
    <col min="3586" max="3586" width="13.88671875" style="46" customWidth="1"/>
    <col min="3587" max="3587" width="11.88671875" style="46" customWidth="1"/>
    <col min="3588" max="3590" width="9.6640625" style="46"/>
    <col min="3591" max="3591" width="15.44140625" style="46" customWidth="1"/>
    <col min="3592" max="3592" width="16.21875" style="46" customWidth="1"/>
    <col min="3593" max="3604" width="9.6640625" style="46"/>
    <col min="3605" max="3605" width="12" style="46" customWidth="1"/>
    <col min="3606" max="3606" width="12.77734375" style="46" customWidth="1"/>
    <col min="3607" max="3607" width="11.109375" style="46" customWidth="1"/>
    <col min="3608" max="3608" width="12" style="46" customWidth="1"/>
    <col min="3609" max="3609" width="9.6640625" style="46"/>
    <col min="3610" max="3610" width="15.33203125" style="46" customWidth="1"/>
    <col min="3611" max="3611" width="15.21875" style="46" customWidth="1"/>
    <col min="3612" max="3612" width="21.44140625" style="46" customWidth="1"/>
    <col min="3613" max="3628" width="9.6640625" style="46"/>
    <col min="3629" max="3630" width="13.44140625" style="46" customWidth="1"/>
    <col min="3631" max="3631" width="9.6640625" style="46"/>
    <col min="3632" max="3632" width="13.88671875" style="46" customWidth="1"/>
    <col min="3633" max="3633" width="10.6640625" style="46" customWidth="1"/>
    <col min="3634" max="3634" width="17.33203125" style="46" customWidth="1"/>
    <col min="3635" max="3636" width="12.6640625" style="46" customWidth="1"/>
    <col min="3637" max="3637" width="11.21875" style="46" customWidth="1"/>
    <col min="3638" max="3638" width="18.33203125" style="46" customWidth="1"/>
    <col min="3639" max="3639" width="12.88671875" style="46" customWidth="1"/>
    <col min="3640" max="3641" width="13.21875" style="46" customWidth="1"/>
    <col min="3642" max="3642" width="10.88671875" style="46" customWidth="1"/>
    <col min="3643" max="3643" width="11.109375" style="46" customWidth="1"/>
    <col min="3644" max="3644" width="15.21875" style="46" customWidth="1"/>
    <col min="3645" max="3645" width="9.6640625" style="46"/>
    <col min="3646" max="3646" width="11" style="46" customWidth="1"/>
    <col min="3647" max="3647" width="10.77734375" style="46" customWidth="1"/>
    <col min="3648" max="3648" width="11.44140625" style="46" customWidth="1"/>
    <col min="3649" max="3649" width="4" style="46" customWidth="1"/>
    <col min="3650" max="3840" width="9.6640625" style="46"/>
    <col min="3841" max="3841" width="6.44140625" style="46" customWidth="1"/>
    <col min="3842" max="3842" width="13.88671875" style="46" customWidth="1"/>
    <col min="3843" max="3843" width="11.88671875" style="46" customWidth="1"/>
    <col min="3844" max="3846" width="9.6640625" style="46"/>
    <col min="3847" max="3847" width="15.44140625" style="46" customWidth="1"/>
    <col min="3848" max="3848" width="16.21875" style="46" customWidth="1"/>
    <col min="3849" max="3860" width="9.6640625" style="46"/>
    <col min="3861" max="3861" width="12" style="46" customWidth="1"/>
    <col min="3862" max="3862" width="12.77734375" style="46" customWidth="1"/>
    <col min="3863" max="3863" width="11.109375" style="46" customWidth="1"/>
    <col min="3864" max="3864" width="12" style="46" customWidth="1"/>
    <col min="3865" max="3865" width="9.6640625" style="46"/>
    <col min="3866" max="3866" width="15.33203125" style="46" customWidth="1"/>
    <col min="3867" max="3867" width="15.21875" style="46" customWidth="1"/>
    <col min="3868" max="3868" width="21.44140625" style="46" customWidth="1"/>
    <col min="3869" max="3884" width="9.6640625" style="46"/>
    <col min="3885" max="3886" width="13.44140625" style="46" customWidth="1"/>
    <col min="3887" max="3887" width="9.6640625" style="46"/>
    <col min="3888" max="3888" width="13.88671875" style="46" customWidth="1"/>
    <col min="3889" max="3889" width="10.6640625" style="46" customWidth="1"/>
    <col min="3890" max="3890" width="17.33203125" style="46" customWidth="1"/>
    <col min="3891" max="3892" width="12.6640625" style="46" customWidth="1"/>
    <col min="3893" max="3893" width="11.21875" style="46" customWidth="1"/>
    <col min="3894" max="3894" width="18.33203125" style="46" customWidth="1"/>
    <col min="3895" max="3895" width="12.88671875" style="46" customWidth="1"/>
    <col min="3896" max="3897" width="13.21875" style="46" customWidth="1"/>
    <col min="3898" max="3898" width="10.88671875" style="46" customWidth="1"/>
    <col min="3899" max="3899" width="11.109375" style="46" customWidth="1"/>
    <col min="3900" max="3900" width="15.21875" style="46" customWidth="1"/>
    <col min="3901" max="3901" width="9.6640625" style="46"/>
    <col min="3902" max="3902" width="11" style="46" customWidth="1"/>
    <col min="3903" max="3903" width="10.77734375" style="46" customWidth="1"/>
    <col min="3904" max="3904" width="11.44140625" style="46" customWidth="1"/>
    <col min="3905" max="3905" width="4" style="46" customWidth="1"/>
    <col min="3906" max="4096" width="9.6640625" style="46"/>
    <col min="4097" max="4097" width="6.44140625" style="46" customWidth="1"/>
    <col min="4098" max="4098" width="13.88671875" style="46" customWidth="1"/>
    <col min="4099" max="4099" width="11.88671875" style="46" customWidth="1"/>
    <col min="4100" max="4102" width="9.6640625" style="46"/>
    <col min="4103" max="4103" width="15.44140625" style="46" customWidth="1"/>
    <col min="4104" max="4104" width="16.21875" style="46" customWidth="1"/>
    <col min="4105" max="4116" width="9.6640625" style="46"/>
    <col min="4117" max="4117" width="12" style="46" customWidth="1"/>
    <col min="4118" max="4118" width="12.77734375" style="46" customWidth="1"/>
    <col min="4119" max="4119" width="11.109375" style="46" customWidth="1"/>
    <col min="4120" max="4120" width="12" style="46" customWidth="1"/>
    <col min="4121" max="4121" width="9.6640625" style="46"/>
    <col min="4122" max="4122" width="15.33203125" style="46" customWidth="1"/>
    <col min="4123" max="4123" width="15.21875" style="46" customWidth="1"/>
    <col min="4124" max="4124" width="21.44140625" style="46" customWidth="1"/>
    <col min="4125" max="4140" width="9.6640625" style="46"/>
    <col min="4141" max="4142" width="13.44140625" style="46" customWidth="1"/>
    <col min="4143" max="4143" width="9.6640625" style="46"/>
    <col min="4144" max="4144" width="13.88671875" style="46" customWidth="1"/>
    <col min="4145" max="4145" width="10.6640625" style="46" customWidth="1"/>
    <col min="4146" max="4146" width="17.33203125" style="46" customWidth="1"/>
    <col min="4147" max="4148" width="12.6640625" style="46" customWidth="1"/>
    <col min="4149" max="4149" width="11.21875" style="46" customWidth="1"/>
    <col min="4150" max="4150" width="18.33203125" style="46" customWidth="1"/>
    <col min="4151" max="4151" width="12.88671875" style="46" customWidth="1"/>
    <col min="4152" max="4153" width="13.21875" style="46" customWidth="1"/>
    <col min="4154" max="4154" width="10.88671875" style="46" customWidth="1"/>
    <col min="4155" max="4155" width="11.109375" style="46" customWidth="1"/>
    <col min="4156" max="4156" width="15.21875" style="46" customWidth="1"/>
    <col min="4157" max="4157" width="9.6640625" style="46"/>
    <col min="4158" max="4158" width="11" style="46" customWidth="1"/>
    <col min="4159" max="4159" width="10.77734375" style="46" customWidth="1"/>
    <col min="4160" max="4160" width="11.44140625" style="46" customWidth="1"/>
    <col min="4161" max="4161" width="4" style="46" customWidth="1"/>
    <col min="4162" max="4352" width="9.6640625" style="46"/>
    <col min="4353" max="4353" width="6.44140625" style="46" customWidth="1"/>
    <col min="4354" max="4354" width="13.88671875" style="46" customWidth="1"/>
    <col min="4355" max="4355" width="11.88671875" style="46" customWidth="1"/>
    <col min="4356" max="4358" width="9.6640625" style="46"/>
    <col min="4359" max="4359" width="15.44140625" style="46" customWidth="1"/>
    <col min="4360" max="4360" width="16.21875" style="46" customWidth="1"/>
    <col min="4361" max="4372" width="9.6640625" style="46"/>
    <col min="4373" max="4373" width="12" style="46" customWidth="1"/>
    <col min="4374" max="4374" width="12.77734375" style="46" customWidth="1"/>
    <col min="4375" max="4375" width="11.109375" style="46" customWidth="1"/>
    <col min="4376" max="4376" width="12" style="46" customWidth="1"/>
    <col min="4377" max="4377" width="9.6640625" style="46"/>
    <col min="4378" max="4378" width="15.33203125" style="46" customWidth="1"/>
    <col min="4379" max="4379" width="15.21875" style="46" customWidth="1"/>
    <col min="4380" max="4380" width="21.44140625" style="46" customWidth="1"/>
    <col min="4381" max="4396" width="9.6640625" style="46"/>
    <col min="4397" max="4398" width="13.44140625" style="46" customWidth="1"/>
    <col min="4399" max="4399" width="9.6640625" style="46"/>
    <col min="4400" max="4400" width="13.88671875" style="46" customWidth="1"/>
    <col min="4401" max="4401" width="10.6640625" style="46" customWidth="1"/>
    <col min="4402" max="4402" width="17.33203125" style="46" customWidth="1"/>
    <col min="4403" max="4404" width="12.6640625" style="46" customWidth="1"/>
    <col min="4405" max="4405" width="11.21875" style="46" customWidth="1"/>
    <col min="4406" max="4406" width="18.33203125" style="46" customWidth="1"/>
    <col min="4407" max="4407" width="12.88671875" style="46" customWidth="1"/>
    <col min="4408" max="4409" width="13.21875" style="46" customWidth="1"/>
    <col min="4410" max="4410" width="10.88671875" style="46" customWidth="1"/>
    <col min="4411" max="4411" width="11.109375" style="46" customWidth="1"/>
    <col min="4412" max="4412" width="15.21875" style="46" customWidth="1"/>
    <col min="4413" max="4413" width="9.6640625" style="46"/>
    <col min="4414" max="4414" width="11" style="46" customWidth="1"/>
    <col min="4415" max="4415" width="10.77734375" style="46" customWidth="1"/>
    <col min="4416" max="4416" width="11.44140625" style="46" customWidth="1"/>
    <col min="4417" max="4417" width="4" style="46" customWidth="1"/>
    <col min="4418" max="4608" width="9.6640625" style="46"/>
    <col min="4609" max="4609" width="6.44140625" style="46" customWidth="1"/>
    <col min="4610" max="4610" width="13.88671875" style="46" customWidth="1"/>
    <col min="4611" max="4611" width="11.88671875" style="46" customWidth="1"/>
    <col min="4612" max="4614" width="9.6640625" style="46"/>
    <col min="4615" max="4615" width="15.44140625" style="46" customWidth="1"/>
    <col min="4616" max="4616" width="16.21875" style="46" customWidth="1"/>
    <col min="4617" max="4628" width="9.6640625" style="46"/>
    <col min="4629" max="4629" width="12" style="46" customWidth="1"/>
    <col min="4630" max="4630" width="12.77734375" style="46" customWidth="1"/>
    <col min="4631" max="4631" width="11.109375" style="46" customWidth="1"/>
    <col min="4632" max="4632" width="12" style="46" customWidth="1"/>
    <col min="4633" max="4633" width="9.6640625" style="46"/>
    <col min="4634" max="4634" width="15.33203125" style="46" customWidth="1"/>
    <col min="4635" max="4635" width="15.21875" style="46" customWidth="1"/>
    <col min="4636" max="4636" width="21.44140625" style="46" customWidth="1"/>
    <col min="4637" max="4652" width="9.6640625" style="46"/>
    <col min="4653" max="4654" width="13.44140625" style="46" customWidth="1"/>
    <col min="4655" max="4655" width="9.6640625" style="46"/>
    <col min="4656" max="4656" width="13.88671875" style="46" customWidth="1"/>
    <col min="4657" max="4657" width="10.6640625" style="46" customWidth="1"/>
    <col min="4658" max="4658" width="17.33203125" style="46" customWidth="1"/>
    <col min="4659" max="4660" width="12.6640625" style="46" customWidth="1"/>
    <col min="4661" max="4661" width="11.21875" style="46" customWidth="1"/>
    <col min="4662" max="4662" width="18.33203125" style="46" customWidth="1"/>
    <col min="4663" max="4663" width="12.88671875" style="46" customWidth="1"/>
    <col min="4664" max="4665" width="13.21875" style="46" customWidth="1"/>
    <col min="4666" max="4666" width="10.88671875" style="46" customWidth="1"/>
    <col min="4667" max="4667" width="11.109375" style="46" customWidth="1"/>
    <col min="4668" max="4668" width="15.21875" style="46" customWidth="1"/>
    <col min="4669" max="4669" width="9.6640625" style="46"/>
    <col min="4670" max="4670" width="11" style="46" customWidth="1"/>
    <col min="4671" max="4671" width="10.77734375" style="46" customWidth="1"/>
    <col min="4672" max="4672" width="11.44140625" style="46" customWidth="1"/>
    <col min="4673" max="4673" width="4" style="46" customWidth="1"/>
    <col min="4674" max="4864" width="9.6640625" style="46"/>
    <col min="4865" max="4865" width="6.44140625" style="46" customWidth="1"/>
    <col min="4866" max="4866" width="13.88671875" style="46" customWidth="1"/>
    <col min="4867" max="4867" width="11.88671875" style="46" customWidth="1"/>
    <col min="4868" max="4870" width="9.6640625" style="46"/>
    <col min="4871" max="4871" width="15.44140625" style="46" customWidth="1"/>
    <col min="4872" max="4872" width="16.21875" style="46" customWidth="1"/>
    <col min="4873" max="4884" width="9.6640625" style="46"/>
    <col min="4885" max="4885" width="12" style="46" customWidth="1"/>
    <col min="4886" max="4886" width="12.77734375" style="46" customWidth="1"/>
    <col min="4887" max="4887" width="11.109375" style="46" customWidth="1"/>
    <col min="4888" max="4888" width="12" style="46" customWidth="1"/>
    <col min="4889" max="4889" width="9.6640625" style="46"/>
    <col min="4890" max="4890" width="15.33203125" style="46" customWidth="1"/>
    <col min="4891" max="4891" width="15.21875" style="46" customWidth="1"/>
    <col min="4892" max="4892" width="21.44140625" style="46" customWidth="1"/>
    <col min="4893" max="4908" width="9.6640625" style="46"/>
    <col min="4909" max="4910" width="13.44140625" style="46" customWidth="1"/>
    <col min="4911" max="4911" width="9.6640625" style="46"/>
    <col min="4912" max="4912" width="13.88671875" style="46" customWidth="1"/>
    <col min="4913" max="4913" width="10.6640625" style="46" customWidth="1"/>
    <col min="4914" max="4914" width="17.33203125" style="46" customWidth="1"/>
    <col min="4915" max="4916" width="12.6640625" style="46" customWidth="1"/>
    <col min="4917" max="4917" width="11.21875" style="46" customWidth="1"/>
    <col min="4918" max="4918" width="18.33203125" style="46" customWidth="1"/>
    <col min="4919" max="4919" width="12.88671875" style="46" customWidth="1"/>
    <col min="4920" max="4921" width="13.21875" style="46" customWidth="1"/>
    <col min="4922" max="4922" width="10.88671875" style="46" customWidth="1"/>
    <col min="4923" max="4923" width="11.109375" style="46" customWidth="1"/>
    <col min="4924" max="4924" width="15.21875" style="46" customWidth="1"/>
    <col min="4925" max="4925" width="9.6640625" style="46"/>
    <col min="4926" max="4926" width="11" style="46" customWidth="1"/>
    <col min="4927" max="4927" width="10.77734375" style="46" customWidth="1"/>
    <col min="4928" max="4928" width="11.44140625" style="46" customWidth="1"/>
    <col min="4929" max="4929" width="4" style="46" customWidth="1"/>
    <col min="4930" max="5120" width="9.6640625" style="46"/>
    <col min="5121" max="5121" width="6.44140625" style="46" customWidth="1"/>
    <col min="5122" max="5122" width="13.88671875" style="46" customWidth="1"/>
    <col min="5123" max="5123" width="11.88671875" style="46" customWidth="1"/>
    <col min="5124" max="5126" width="9.6640625" style="46"/>
    <col min="5127" max="5127" width="15.44140625" style="46" customWidth="1"/>
    <col min="5128" max="5128" width="16.21875" style="46" customWidth="1"/>
    <col min="5129" max="5140" width="9.6640625" style="46"/>
    <col min="5141" max="5141" width="12" style="46" customWidth="1"/>
    <col min="5142" max="5142" width="12.77734375" style="46" customWidth="1"/>
    <col min="5143" max="5143" width="11.109375" style="46" customWidth="1"/>
    <col min="5144" max="5144" width="12" style="46" customWidth="1"/>
    <col min="5145" max="5145" width="9.6640625" style="46"/>
    <col min="5146" max="5146" width="15.33203125" style="46" customWidth="1"/>
    <col min="5147" max="5147" width="15.21875" style="46" customWidth="1"/>
    <col min="5148" max="5148" width="21.44140625" style="46" customWidth="1"/>
    <col min="5149" max="5164" width="9.6640625" style="46"/>
    <col min="5165" max="5166" width="13.44140625" style="46" customWidth="1"/>
    <col min="5167" max="5167" width="9.6640625" style="46"/>
    <col min="5168" max="5168" width="13.88671875" style="46" customWidth="1"/>
    <col min="5169" max="5169" width="10.6640625" style="46" customWidth="1"/>
    <col min="5170" max="5170" width="17.33203125" style="46" customWidth="1"/>
    <col min="5171" max="5172" width="12.6640625" style="46" customWidth="1"/>
    <col min="5173" max="5173" width="11.21875" style="46" customWidth="1"/>
    <col min="5174" max="5174" width="18.33203125" style="46" customWidth="1"/>
    <col min="5175" max="5175" width="12.88671875" style="46" customWidth="1"/>
    <col min="5176" max="5177" width="13.21875" style="46" customWidth="1"/>
    <col min="5178" max="5178" width="10.88671875" style="46" customWidth="1"/>
    <col min="5179" max="5179" width="11.109375" style="46" customWidth="1"/>
    <col min="5180" max="5180" width="15.21875" style="46" customWidth="1"/>
    <col min="5181" max="5181" width="9.6640625" style="46"/>
    <col min="5182" max="5182" width="11" style="46" customWidth="1"/>
    <col min="5183" max="5183" width="10.77734375" style="46" customWidth="1"/>
    <col min="5184" max="5184" width="11.44140625" style="46" customWidth="1"/>
    <col min="5185" max="5185" width="4" style="46" customWidth="1"/>
    <col min="5186" max="5376" width="9.6640625" style="46"/>
    <col min="5377" max="5377" width="6.44140625" style="46" customWidth="1"/>
    <col min="5378" max="5378" width="13.88671875" style="46" customWidth="1"/>
    <col min="5379" max="5379" width="11.88671875" style="46" customWidth="1"/>
    <col min="5380" max="5382" width="9.6640625" style="46"/>
    <col min="5383" max="5383" width="15.44140625" style="46" customWidth="1"/>
    <col min="5384" max="5384" width="16.21875" style="46" customWidth="1"/>
    <col min="5385" max="5396" width="9.6640625" style="46"/>
    <col min="5397" max="5397" width="12" style="46" customWidth="1"/>
    <col min="5398" max="5398" width="12.77734375" style="46" customWidth="1"/>
    <col min="5399" max="5399" width="11.109375" style="46" customWidth="1"/>
    <col min="5400" max="5400" width="12" style="46" customWidth="1"/>
    <col min="5401" max="5401" width="9.6640625" style="46"/>
    <col min="5402" max="5402" width="15.33203125" style="46" customWidth="1"/>
    <col min="5403" max="5403" width="15.21875" style="46" customWidth="1"/>
    <col min="5404" max="5404" width="21.44140625" style="46" customWidth="1"/>
    <col min="5405" max="5420" width="9.6640625" style="46"/>
    <col min="5421" max="5422" width="13.44140625" style="46" customWidth="1"/>
    <col min="5423" max="5423" width="9.6640625" style="46"/>
    <col min="5424" max="5424" width="13.88671875" style="46" customWidth="1"/>
    <col min="5425" max="5425" width="10.6640625" style="46" customWidth="1"/>
    <col min="5426" max="5426" width="17.33203125" style="46" customWidth="1"/>
    <col min="5427" max="5428" width="12.6640625" style="46" customWidth="1"/>
    <col min="5429" max="5429" width="11.21875" style="46" customWidth="1"/>
    <col min="5430" max="5430" width="18.33203125" style="46" customWidth="1"/>
    <col min="5431" max="5431" width="12.88671875" style="46" customWidth="1"/>
    <col min="5432" max="5433" width="13.21875" style="46" customWidth="1"/>
    <col min="5434" max="5434" width="10.88671875" style="46" customWidth="1"/>
    <col min="5435" max="5435" width="11.109375" style="46" customWidth="1"/>
    <col min="5436" max="5436" width="15.21875" style="46" customWidth="1"/>
    <col min="5437" max="5437" width="9.6640625" style="46"/>
    <col min="5438" max="5438" width="11" style="46" customWidth="1"/>
    <col min="5439" max="5439" width="10.77734375" style="46" customWidth="1"/>
    <col min="5440" max="5440" width="11.44140625" style="46" customWidth="1"/>
    <col min="5441" max="5441" width="4" style="46" customWidth="1"/>
    <col min="5442" max="5632" width="9.6640625" style="46"/>
    <col min="5633" max="5633" width="6.44140625" style="46" customWidth="1"/>
    <col min="5634" max="5634" width="13.88671875" style="46" customWidth="1"/>
    <col min="5635" max="5635" width="11.88671875" style="46" customWidth="1"/>
    <col min="5636" max="5638" width="9.6640625" style="46"/>
    <col min="5639" max="5639" width="15.44140625" style="46" customWidth="1"/>
    <col min="5640" max="5640" width="16.21875" style="46" customWidth="1"/>
    <col min="5641" max="5652" width="9.6640625" style="46"/>
    <col min="5653" max="5653" width="12" style="46" customWidth="1"/>
    <col min="5654" max="5654" width="12.77734375" style="46" customWidth="1"/>
    <col min="5655" max="5655" width="11.109375" style="46" customWidth="1"/>
    <col min="5656" max="5656" width="12" style="46" customWidth="1"/>
    <col min="5657" max="5657" width="9.6640625" style="46"/>
    <col min="5658" max="5658" width="15.33203125" style="46" customWidth="1"/>
    <col min="5659" max="5659" width="15.21875" style="46" customWidth="1"/>
    <col min="5660" max="5660" width="21.44140625" style="46" customWidth="1"/>
    <col min="5661" max="5676" width="9.6640625" style="46"/>
    <col min="5677" max="5678" width="13.44140625" style="46" customWidth="1"/>
    <col min="5679" max="5679" width="9.6640625" style="46"/>
    <col min="5680" max="5680" width="13.88671875" style="46" customWidth="1"/>
    <col min="5681" max="5681" width="10.6640625" style="46" customWidth="1"/>
    <col min="5682" max="5682" width="17.33203125" style="46" customWidth="1"/>
    <col min="5683" max="5684" width="12.6640625" style="46" customWidth="1"/>
    <col min="5685" max="5685" width="11.21875" style="46" customWidth="1"/>
    <col min="5686" max="5686" width="18.33203125" style="46" customWidth="1"/>
    <col min="5687" max="5687" width="12.88671875" style="46" customWidth="1"/>
    <col min="5688" max="5689" width="13.21875" style="46" customWidth="1"/>
    <col min="5690" max="5690" width="10.88671875" style="46" customWidth="1"/>
    <col min="5691" max="5691" width="11.109375" style="46" customWidth="1"/>
    <col min="5692" max="5692" width="15.21875" style="46" customWidth="1"/>
    <col min="5693" max="5693" width="9.6640625" style="46"/>
    <col min="5694" max="5694" width="11" style="46" customWidth="1"/>
    <col min="5695" max="5695" width="10.77734375" style="46" customWidth="1"/>
    <col min="5696" max="5696" width="11.44140625" style="46" customWidth="1"/>
    <col min="5697" max="5697" width="4" style="46" customWidth="1"/>
    <col min="5698" max="5888" width="9.6640625" style="46"/>
    <col min="5889" max="5889" width="6.44140625" style="46" customWidth="1"/>
    <col min="5890" max="5890" width="13.88671875" style="46" customWidth="1"/>
    <col min="5891" max="5891" width="11.88671875" style="46" customWidth="1"/>
    <col min="5892" max="5894" width="9.6640625" style="46"/>
    <col min="5895" max="5895" width="15.44140625" style="46" customWidth="1"/>
    <col min="5896" max="5896" width="16.21875" style="46" customWidth="1"/>
    <col min="5897" max="5908" width="9.6640625" style="46"/>
    <col min="5909" max="5909" width="12" style="46" customWidth="1"/>
    <col min="5910" max="5910" width="12.77734375" style="46" customWidth="1"/>
    <col min="5911" max="5911" width="11.109375" style="46" customWidth="1"/>
    <col min="5912" max="5912" width="12" style="46" customWidth="1"/>
    <col min="5913" max="5913" width="9.6640625" style="46"/>
    <col min="5914" max="5914" width="15.33203125" style="46" customWidth="1"/>
    <col min="5915" max="5915" width="15.21875" style="46" customWidth="1"/>
    <col min="5916" max="5916" width="21.44140625" style="46" customWidth="1"/>
    <col min="5917" max="5932" width="9.6640625" style="46"/>
    <col min="5933" max="5934" width="13.44140625" style="46" customWidth="1"/>
    <col min="5935" max="5935" width="9.6640625" style="46"/>
    <col min="5936" max="5936" width="13.88671875" style="46" customWidth="1"/>
    <col min="5937" max="5937" width="10.6640625" style="46" customWidth="1"/>
    <col min="5938" max="5938" width="17.33203125" style="46" customWidth="1"/>
    <col min="5939" max="5940" width="12.6640625" style="46" customWidth="1"/>
    <col min="5941" max="5941" width="11.21875" style="46" customWidth="1"/>
    <col min="5942" max="5942" width="18.33203125" style="46" customWidth="1"/>
    <col min="5943" max="5943" width="12.88671875" style="46" customWidth="1"/>
    <col min="5944" max="5945" width="13.21875" style="46" customWidth="1"/>
    <col min="5946" max="5946" width="10.88671875" style="46" customWidth="1"/>
    <col min="5947" max="5947" width="11.109375" style="46" customWidth="1"/>
    <col min="5948" max="5948" width="15.21875" style="46" customWidth="1"/>
    <col min="5949" max="5949" width="9.6640625" style="46"/>
    <col min="5950" max="5950" width="11" style="46" customWidth="1"/>
    <col min="5951" max="5951" width="10.77734375" style="46" customWidth="1"/>
    <col min="5952" max="5952" width="11.44140625" style="46" customWidth="1"/>
    <col min="5953" max="5953" width="4" style="46" customWidth="1"/>
    <col min="5954" max="6144" width="9.6640625" style="46"/>
    <col min="6145" max="6145" width="6.44140625" style="46" customWidth="1"/>
    <col min="6146" max="6146" width="13.88671875" style="46" customWidth="1"/>
    <col min="6147" max="6147" width="11.88671875" style="46" customWidth="1"/>
    <col min="6148" max="6150" width="9.6640625" style="46"/>
    <col min="6151" max="6151" width="15.44140625" style="46" customWidth="1"/>
    <col min="6152" max="6152" width="16.21875" style="46" customWidth="1"/>
    <col min="6153" max="6164" width="9.6640625" style="46"/>
    <col min="6165" max="6165" width="12" style="46" customWidth="1"/>
    <col min="6166" max="6166" width="12.77734375" style="46" customWidth="1"/>
    <col min="6167" max="6167" width="11.109375" style="46" customWidth="1"/>
    <col min="6168" max="6168" width="12" style="46" customWidth="1"/>
    <col min="6169" max="6169" width="9.6640625" style="46"/>
    <col min="6170" max="6170" width="15.33203125" style="46" customWidth="1"/>
    <col min="6171" max="6171" width="15.21875" style="46" customWidth="1"/>
    <col min="6172" max="6172" width="21.44140625" style="46" customWidth="1"/>
    <col min="6173" max="6188" width="9.6640625" style="46"/>
    <col min="6189" max="6190" width="13.44140625" style="46" customWidth="1"/>
    <col min="6191" max="6191" width="9.6640625" style="46"/>
    <col min="6192" max="6192" width="13.88671875" style="46" customWidth="1"/>
    <col min="6193" max="6193" width="10.6640625" style="46" customWidth="1"/>
    <col min="6194" max="6194" width="17.33203125" style="46" customWidth="1"/>
    <col min="6195" max="6196" width="12.6640625" style="46" customWidth="1"/>
    <col min="6197" max="6197" width="11.21875" style="46" customWidth="1"/>
    <col min="6198" max="6198" width="18.33203125" style="46" customWidth="1"/>
    <col min="6199" max="6199" width="12.88671875" style="46" customWidth="1"/>
    <col min="6200" max="6201" width="13.21875" style="46" customWidth="1"/>
    <col min="6202" max="6202" width="10.88671875" style="46" customWidth="1"/>
    <col min="6203" max="6203" width="11.109375" style="46" customWidth="1"/>
    <col min="6204" max="6204" width="15.21875" style="46" customWidth="1"/>
    <col min="6205" max="6205" width="9.6640625" style="46"/>
    <col min="6206" max="6206" width="11" style="46" customWidth="1"/>
    <col min="6207" max="6207" width="10.77734375" style="46" customWidth="1"/>
    <col min="6208" max="6208" width="11.44140625" style="46" customWidth="1"/>
    <col min="6209" max="6209" width="4" style="46" customWidth="1"/>
    <col min="6210" max="6400" width="9.6640625" style="46"/>
    <col min="6401" max="6401" width="6.44140625" style="46" customWidth="1"/>
    <col min="6402" max="6402" width="13.88671875" style="46" customWidth="1"/>
    <col min="6403" max="6403" width="11.88671875" style="46" customWidth="1"/>
    <col min="6404" max="6406" width="9.6640625" style="46"/>
    <col min="6407" max="6407" width="15.44140625" style="46" customWidth="1"/>
    <col min="6408" max="6408" width="16.21875" style="46" customWidth="1"/>
    <col min="6409" max="6420" width="9.6640625" style="46"/>
    <col min="6421" max="6421" width="12" style="46" customWidth="1"/>
    <col min="6422" max="6422" width="12.77734375" style="46" customWidth="1"/>
    <col min="6423" max="6423" width="11.109375" style="46" customWidth="1"/>
    <col min="6424" max="6424" width="12" style="46" customWidth="1"/>
    <col min="6425" max="6425" width="9.6640625" style="46"/>
    <col min="6426" max="6426" width="15.33203125" style="46" customWidth="1"/>
    <col min="6427" max="6427" width="15.21875" style="46" customWidth="1"/>
    <col min="6428" max="6428" width="21.44140625" style="46" customWidth="1"/>
    <col min="6429" max="6444" width="9.6640625" style="46"/>
    <col min="6445" max="6446" width="13.44140625" style="46" customWidth="1"/>
    <col min="6447" max="6447" width="9.6640625" style="46"/>
    <col min="6448" max="6448" width="13.88671875" style="46" customWidth="1"/>
    <col min="6449" max="6449" width="10.6640625" style="46" customWidth="1"/>
    <col min="6450" max="6450" width="17.33203125" style="46" customWidth="1"/>
    <col min="6451" max="6452" width="12.6640625" style="46" customWidth="1"/>
    <col min="6453" max="6453" width="11.21875" style="46" customWidth="1"/>
    <col min="6454" max="6454" width="18.33203125" style="46" customWidth="1"/>
    <col min="6455" max="6455" width="12.88671875" style="46" customWidth="1"/>
    <col min="6456" max="6457" width="13.21875" style="46" customWidth="1"/>
    <col min="6458" max="6458" width="10.88671875" style="46" customWidth="1"/>
    <col min="6459" max="6459" width="11.109375" style="46" customWidth="1"/>
    <col min="6460" max="6460" width="15.21875" style="46" customWidth="1"/>
    <col min="6461" max="6461" width="9.6640625" style="46"/>
    <col min="6462" max="6462" width="11" style="46" customWidth="1"/>
    <col min="6463" max="6463" width="10.77734375" style="46" customWidth="1"/>
    <col min="6464" max="6464" width="11.44140625" style="46" customWidth="1"/>
    <col min="6465" max="6465" width="4" style="46" customWidth="1"/>
    <col min="6466" max="6656" width="9.6640625" style="46"/>
    <col min="6657" max="6657" width="6.44140625" style="46" customWidth="1"/>
    <col min="6658" max="6658" width="13.88671875" style="46" customWidth="1"/>
    <col min="6659" max="6659" width="11.88671875" style="46" customWidth="1"/>
    <col min="6660" max="6662" width="9.6640625" style="46"/>
    <col min="6663" max="6663" width="15.44140625" style="46" customWidth="1"/>
    <col min="6664" max="6664" width="16.21875" style="46" customWidth="1"/>
    <col min="6665" max="6676" width="9.6640625" style="46"/>
    <col min="6677" max="6677" width="12" style="46" customWidth="1"/>
    <col min="6678" max="6678" width="12.77734375" style="46" customWidth="1"/>
    <col min="6679" max="6679" width="11.109375" style="46" customWidth="1"/>
    <col min="6680" max="6680" width="12" style="46" customWidth="1"/>
    <col min="6681" max="6681" width="9.6640625" style="46"/>
    <col min="6682" max="6682" width="15.33203125" style="46" customWidth="1"/>
    <col min="6683" max="6683" width="15.21875" style="46" customWidth="1"/>
    <col min="6684" max="6684" width="21.44140625" style="46" customWidth="1"/>
    <col min="6685" max="6700" width="9.6640625" style="46"/>
    <col min="6701" max="6702" width="13.44140625" style="46" customWidth="1"/>
    <col min="6703" max="6703" width="9.6640625" style="46"/>
    <col min="6704" max="6704" width="13.88671875" style="46" customWidth="1"/>
    <col min="6705" max="6705" width="10.6640625" style="46" customWidth="1"/>
    <col min="6706" max="6706" width="17.33203125" style="46" customWidth="1"/>
    <col min="6707" max="6708" width="12.6640625" style="46" customWidth="1"/>
    <col min="6709" max="6709" width="11.21875" style="46" customWidth="1"/>
    <col min="6710" max="6710" width="18.33203125" style="46" customWidth="1"/>
    <col min="6711" max="6711" width="12.88671875" style="46" customWidth="1"/>
    <col min="6712" max="6713" width="13.21875" style="46" customWidth="1"/>
    <col min="6714" max="6714" width="10.88671875" style="46" customWidth="1"/>
    <col min="6715" max="6715" width="11.109375" style="46" customWidth="1"/>
    <col min="6716" max="6716" width="15.21875" style="46" customWidth="1"/>
    <col min="6717" max="6717" width="9.6640625" style="46"/>
    <col min="6718" max="6718" width="11" style="46" customWidth="1"/>
    <col min="6719" max="6719" width="10.77734375" style="46" customWidth="1"/>
    <col min="6720" max="6720" width="11.44140625" style="46" customWidth="1"/>
    <col min="6721" max="6721" width="4" style="46" customWidth="1"/>
    <col min="6722" max="6912" width="9.6640625" style="46"/>
    <col min="6913" max="6913" width="6.44140625" style="46" customWidth="1"/>
    <col min="6914" max="6914" width="13.88671875" style="46" customWidth="1"/>
    <col min="6915" max="6915" width="11.88671875" style="46" customWidth="1"/>
    <col min="6916" max="6918" width="9.6640625" style="46"/>
    <col min="6919" max="6919" width="15.44140625" style="46" customWidth="1"/>
    <col min="6920" max="6920" width="16.21875" style="46" customWidth="1"/>
    <col min="6921" max="6932" width="9.6640625" style="46"/>
    <col min="6933" max="6933" width="12" style="46" customWidth="1"/>
    <col min="6934" max="6934" width="12.77734375" style="46" customWidth="1"/>
    <col min="6935" max="6935" width="11.109375" style="46" customWidth="1"/>
    <col min="6936" max="6936" width="12" style="46" customWidth="1"/>
    <col min="6937" max="6937" width="9.6640625" style="46"/>
    <col min="6938" max="6938" width="15.33203125" style="46" customWidth="1"/>
    <col min="6939" max="6939" width="15.21875" style="46" customWidth="1"/>
    <col min="6940" max="6940" width="21.44140625" style="46" customWidth="1"/>
    <col min="6941" max="6956" width="9.6640625" style="46"/>
    <col min="6957" max="6958" width="13.44140625" style="46" customWidth="1"/>
    <col min="6959" max="6959" width="9.6640625" style="46"/>
    <col min="6960" max="6960" width="13.88671875" style="46" customWidth="1"/>
    <col min="6961" max="6961" width="10.6640625" style="46" customWidth="1"/>
    <col min="6962" max="6962" width="17.33203125" style="46" customWidth="1"/>
    <col min="6963" max="6964" width="12.6640625" style="46" customWidth="1"/>
    <col min="6965" max="6965" width="11.21875" style="46" customWidth="1"/>
    <col min="6966" max="6966" width="18.33203125" style="46" customWidth="1"/>
    <col min="6967" max="6967" width="12.88671875" style="46" customWidth="1"/>
    <col min="6968" max="6969" width="13.21875" style="46" customWidth="1"/>
    <col min="6970" max="6970" width="10.88671875" style="46" customWidth="1"/>
    <col min="6971" max="6971" width="11.109375" style="46" customWidth="1"/>
    <col min="6972" max="6972" width="15.21875" style="46" customWidth="1"/>
    <col min="6973" max="6973" width="9.6640625" style="46"/>
    <col min="6974" max="6974" width="11" style="46" customWidth="1"/>
    <col min="6975" max="6975" width="10.77734375" style="46" customWidth="1"/>
    <col min="6976" max="6976" width="11.44140625" style="46" customWidth="1"/>
    <col min="6977" max="6977" width="4" style="46" customWidth="1"/>
    <col min="6978" max="7168" width="9.6640625" style="46"/>
    <col min="7169" max="7169" width="6.44140625" style="46" customWidth="1"/>
    <col min="7170" max="7170" width="13.88671875" style="46" customWidth="1"/>
    <col min="7171" max="7171" width="11.88671875" style="46" customWidth="1"/>
    <col min="7172" max="7174" width="9.6640625" style="46"/>
    <col min="7175" max="7175" width="15.44140625" style="46" customWidth="1"/>
    <col min="7176" max="7176" width="16.21875" style="46" customWidth="1"/>
    <col min="7177" max="7188" width="9.6640625" style="46"/>
    <col min="7189" max="7189" width="12" style="46" customWidth="1"/>
    <col min="7190" max="7190" width="12.77734375" style="46" customWidth="1"/>
    <col min="7191" max="7191" width="11.109375" style="46" customWidth="1"/>
    <col min="7192" max="7192" width="12" style="46" customWidth="1"/>
    <col min="7193" max="7193" width="9.6640625" style="46"/>
    <col min="7194" max="7194" width="15.33203125" style="46" customWidth="1"/>
    <col min="7195" max="7195" width="15.21875" style="46" customWidth="1"/>
    <col min="7196" max="7196" width="21.44140625" style="46" customWidth="1"/>
    <col min="7197" max="7212" width="9.6640625" style="46"/>
    <col min="7213" max="7214" width="13.44140625" style="46" customWidth="1"/>
    <col min="7215" max="7215" width="9.6640625" style="46"/>
    <col min="7216" max="7216" width="13.88671875" style="46" customWidth="1"/>
    <col min="7217" max="7217" width="10.6640625" style="46" customWidth="1"/>
    <col min="7218" max="7218" width="17.33203125" style="46" customWidth="1"/>
    <col min="7219" max="7220" width="12.6640625" style="46" customWidth="1"/>
    <col min="7221" max="7221" width="11.21875" style="46" customWidth="1"/>
    <col min="7222" max="7222" width="18.33203125" style="46" customWidth="1"/>
    <col min="7223" max="7223" width="12.88671875" style="46" customWidth="1"/>
    <col min="7224" max="7225" width="13.21875" style="46" customWidth="1"/>
    <col min="7226" max="7226" width="10.88671875" style="46" customWidth="1"/>
    <col min="7227" max="7227" width="11.109375" style="46" customWidth="1"/>
    <col min="7228" max="7228" width="15.21875" style="46" customWidth="1"/>
    <col min="7229" max="7229" width="9.6640625" style="46"/>
    <col min="7230" max="7230" width="11" style="46" customWidth="1"/>
    <col min="7231" max="7231" width="10.77734375" style="46" customWidth="1"/>
    <col min="7232" max="7232" width="11.44140625" style="46" customWidth="1"/>
    <col min="7233" max="7233" width="4" style="46" customWidth="1"/>
    <col min="7234" max="7424" width="9.6640625" style="46"/>
    <col min="7425" max="7425" width="6.44140625" style="46" customWidth="1"/>
    <col min="7426" max="7426" width="13.88671875" style="46" customWidth="1"/>
    <col min="7427" max="7427" width="11.88671875" style="46" customWidth="1"/>
    <col min="7428" max="7430" width="9.6640625" style="46"/>
    <col min="7431" max="7431" width="15.44140625" style="46" customWidth="1"/>
    <col min="7432" max="7432" width="16.21875" style="46" customWidth="1"/>
    <col min="7433" max="7444" width="9.6640625" style="46"/>
    <col min="7445" max="7445" width="12" style="46" customWidth="1"/>
    <col min="7446" max="7446" width="12.77734375" style="46" customWidth="1"/>
    <col min="7447" max="7447" width="11.109375" style="46" customWidth="1"/>
    <col min="7448" max="7448" width="12" style="46" customWidth="1"/>
    <col min="7449" max="7449" width="9.6640625" style="46"/>
    <col min="7450" max="7450" width="15.33203125" style="46" customWidth="1"/>
    <col min="7451" max="7451" width="15.21875" style="46" customWidth="1"/>
    <col min="7452" max="7452" width="21.44140625" style="46" customWidth="1"/>
    <col min="7453" max="7468" width="9.6640625" style="46"/>
    <col min="7469" max="7470" width="13.44140625" style="46" customWidth="1"/>
    <col min="7471" max="7471" width="9.6640625" style="46"/>
    <col min="7472" max="7472" width="13.88671875" style="46" customWidth="1"/>
    <col min="7473" max="7473" width="10.6640625" style="46" customWidth="1"/>
    <col min="7474" max="7474" width="17.33203125" style="46" customWidth="1"/>
    <col min="7475" max="7476" width="12.6640625" style="46" customWidth="1"/>
    <col min="7477" max="7477" width="11.21875" style="46" customWidth="1"/>
    <col min="7478" max="7478" width="18.33203125" style="46" customWidth="1"/>
    <col min="7479" max="7479" width="12.88671875" style="46" customWidth="1"/>
    <col min="7480" max="7481" width="13.21875" style="46" customWidth="1"/>
    <col min="7482" max="7482" width="10.88671875" style="46" customWidth="1"/>
    <col min="7483" max="7483" width="11.109375" style="46" customWidth="1"/>
    <col min="7484" max="7484" width="15.21875" style="46" customWidth="1"/>
    <col min="7485" max="7485" width="9.6640625" style="46"/>
    <col min="7486" max="7486" width="11" style="46" customWidth="1"/>
    <col min="7487" max="7487" width="10.77734375" style="46" customWidth="1"/>
    <col min="7488" max="7488" width="11.44140625" style="46" customWidth="1"/>
    <col min="7489" max="7489" width="4" style="46" customWidth="1"/>
    <col min="7490" max="7680" width="9.6640625" style="46"/>
    <col min="7681" max="7681" width="6.44140625" style="46" customWidth="1"/>
    <col min="7682" max="7682" width="13.88671875" style="46" customWidth="1"/>
    <col min="7683" max="7683" width="11.88671875" style="46" customWidth="1"/>
    <col min="7684" max="7686" width="9.6640625" style="46"/>
    <col min="7687" max="7687" width="15.44140625" style="46" customWidth="1"/>
    <col min="7688" max="7688" width="16.21875" style="46" customWidth="1"/>
    <col min="7689" max="7700" width="9.6640625" style="46"/>
    <col min="7701" max="7701" width="12" style="46" customWidth="1"/>
    <col min="7702" max="7702" width="12.77734375" style="46" customWidth="1"/>
    <col min="7703" max="7703" width="11.109375" style="46" customWidth="1"/>
    <col min="7704" max="7704" width="12" style="46" customWidth="1"/>
    <col min="7705" max="7705" width="9.6640625" style="46"/>
    <col min="7706" max="7706" width="15.33203125" style="46" customWidth="1"/>
    <col min="7707" max="7707" width="15.21875" style="46" customWidth="1"/>
    <col min="7708" max="7708" width="21.44140625" style="46" customWidth="1"/>
    <col min="7709" max="7724" width="9.6640625" style="46"/>
    <col min="7725" max="7726" width="13.44140625" style="46" customWidth="1"/>
    <col min="7727" max="7727" width="9.6640625" style="46"/>
    <col min="7728" max="7728" width="13.88671875" style="46" customWidth="1"/>
    <col min="7729" max="7729" width="10.6640625" style="46" customWidth="1"/>
    <col min="7730" max="7730" width="17.33203125" style="46" customWidth="1"/>
    <col min="7731" max="7732" width="12.6640625" style="46" customWidth="1"/>
    <col min="7733" max="7733" width="11.21875" style="46" customWidth="1"/>
    <col min="7734" max="7734" width="18.33203125" style="46" customWidth="1"/>
    <col min="7735" max="7735" width="12.88671875" style="46" customWidth="1"/>
    <col min="7736" max="7737" width="13.21875" style="46" customWidth="1"/>
    <col min="7738" max="7738" width="10.88671875" style="46" customWidth="1"/>
    <col min="7739" max="7739" width="11.109375" style="46" customWidth="1"/>
    <col min="7740" max="7740" width="15.21875" style="46" customWidth="1"/>
    <col min="7741" max="7741" width="9.6640625" style="46"/>
    <col min="7742" max="7742" width="11" style="46" customWidth="1"/>
    <col min="7743" max="7743" width="10.77734375" style="46" customWidth="1"/>
    <col min="7744" max="7744" width="11.44140625" style="46" customWidth="1"/>
    <col min="7745" max="7745" width="4" style="46" customWidth="1"/>
    <col min="7746" max="7936" width="9.6640625" style="46"/>
    <col min="7937" max="7937" width="6.44140625" style="46" customWidth="1"/>
    <col min="7938" max="7938" width="13.88671875" style="46" customWidth="1"/>
    <col min="7939" max="7939" width="11.88671875" style="46" customWidth="1"/>
    <col min="7940" max="7942" width="9.6640625" style="46"/>
    <col min="7943" max="7943" width="15.44140625" style="46" customWidth="1"/>
    <col min="7944" max="7944" width="16.21875" style="46" customWidth="1"/>
    <col min="7945" max="7956" width="9.6640625" style="46"/>
    <col min="7957" max="7957" width="12" style="46" customWidth="1"/>
    <col min="7958" max="7958" width="12.77734375" style="46" customWidth="1"/>
    <col min="7959" max="7959" width="11.109375" style="46" customWidth="1"/>
    <col min="7960" max="7960" width="12" style="46" customWidth="1"/>
    <col min="7961" max="7961" width="9.6640625" style="46"/>
    <col min="7962" max="7962" width="15.33203125" style="46" customWidth="1"/>
    <col min="7963" max="7963" width="15.21875" style="46" customWidth="1"/>
    <col min="7964" max="7964" width="21.44140625" style="46" customWidth="1"/>
    <col min="7965" max="7980" width="9.6640625" style="46"/>
    <col min="7981" max="7982" width="13.44140625" style="46" customWidth="1"/>
    <col min="7983" max="7983" width="9.6640625" style="46"/>
    <col min="7984" max="7984" width="13.88671875" style="46" customWidth="1"/>
    <col min="7985" max="7985" width="10.6640625" style="46" customWidth="1"/>
    <col min="7986" max="7986" width="17.33203125" style="46" customWidth="1"/>
    <col min="7987" max="7988" width="12.6640625" style="46" customWidth="1"/>
    <col min="7989" max="7989" width="11.21875" style="46" customWidth="1"/>
    <col min="7990" max="7990" width="18.33203125" style="46" customWidth="1"/>
    <col min="7991" max="7991" width="12.88671875" style="46" customWidth="1"/>
    <col min="7992" max="7993" width="13.21875" style="46" customWidth="1"/>
    <col min="7994" max="7994" width="10.88671875" style="46" customWidth="1"/>
    <col min="7995" max="7995" width="11.109375" style="46" customWidth="1"/>
    <col min="7996" max="7996" width="15.21875" style="46" customWidth="1"/>
    <col min="7997" max="7997" width="9.6640625" style="46"/>
    <col min="7998" max="7998" width="11" style="46" customWidth="1"/>
    <col min="7999" max="7999" width="10.77734375" style="46" customWidth="1"/>
    <col min="8000" max="8000" width="11.44140625" style="46" customWidth="1"/>
    <col min="8001" max="8001" width="4" style="46" customWidth="1"/>
    <col min="8002" max="8192" width="9.6640625" style="46"/>
    <col min="8193" max="8193" width="6.44140625" style="46" customWidth="1"/>
    <col min="8194" max="8194" width="13.88671875" style="46" customWidth="1"/>
    <col min="8195" max="8195" width="11.88671875" style="46" customWidth="1"/>
    <col min="8196" max="8198" width="9.6640625" style="46"/>
    <col min="8199" max="8199" width="15.44140625" style="46" customWidth="1"/>
    <col min="8200" max="8200" width="16.21875" style="46" customWidth="1"/>
    <col min="8201" max="8212" width="9.6640625" style="46"/>
    <col min="8213" max="8213" width="12" style="46" customWidth="1"/>
    <col min="8214" max="8214" width="12.77734375" style="46" customWidth="1"/>
    <col min="8215" max="8215" width="11.109375" style="46" customWidth="1"/>
    <col min="8216" max="8216" width="12" style="46" customWidth="1"/>
    <col min="8217" max="8217" width="9.6640625" style="46"/>
    <col min="8218" max="8218" width="15.33203125" style="46" customWidth="1"/>
    <col min="8219" max="8219" width="15.21875" style="46" customWidth="1"/>
    <col min="8220" max="8220" width="21.44140625" style="46" customWidth="1"/>
    <col min="8221" max="8236" width="9.6640625" style="46"/>
    <col min="8237" max="8238" width="13.44140625" style="46" customWidth="1"/>
    <col min="8239" max="8239" width="9.6640625" style="46"/>
    <col min="8240" max="8240" width="13.88671875" style="46" customWidth="1"/>
    <col min="8241" max="8241" width="10.6640625" style="46" customWidth="1"/>
    <col min="8242" max="8242" width="17.33203125" style="46" customWidth="1"/>
    <col min="8243" max="8244" width="12.6640625" style="46" customWidth="1"/>
    <col min="8245" max="8245" width="11.21875" style="46" customWidth="1"/>
    <col min="8246" max="8246" width="18.33203125" style="46" customWidth="1"/>
    <col min="8247" max="8247" width="12.88671875" style="46" customWidth="1"/>
    <col min="8248" max="8249" width="13.21875" style="46" customWidth="1"/>
    <col min="8250" max="8250" width="10.88671875" style="46" customWidth="1"/>
    <col min="8251" max="8251" width="11.109375" style="46" customWidth="1"/>
    <col min="8252" max="8252" width="15.21875" style="46" customWidth="1"/>
    <col min="8253" max="8253" width="9.6640625" style="46"/>
    <col min="8254" max="8254" width="11" style="46" customWidth="1"/>
    <col min="8255" max="8255" width="10.77734375" style="46" customWidth="1"/>
    <col min="8256" max="8256" width="11.44140625" style="46" customWidth="1"/>
    <col min="8257" max="8257" width="4" style="46" customWidth="1"/>
    <col min="8258" max="8448" width="9.6640625" style="46"/>
    <col min="8449" max="8449" width="6.44140625" style="46" customWidth="1"/>
    <col min="8450" max="8450" width="13.88671875" style="46" customWidth="1"/>
    <col min="8451" max="8451" width="11.88671875" style="46" customWidth="1"/>
    <col min="8452" max="8454" width="9.6640625" style="46"/>
    <col min="8455" max="8455" width="15.44140625" style="46" customWidth="1"/>
    <col min="8456" max="8456" width="16.21875" style="46" customWidth="1"/>
    <col min="8457" max="8468" width="9.6640625" style="46"/>
    <col min="8469" max="8469" width="12" style="46" customWidth="1"/>
    <col min="8470" max="8470" width="12.77734375" style="46" customWidth="1"/>
    <col min="8471" max="8471" width="11.109375" style="46" customWidth="1"/>
    <col min="8472" max="8472" width="12" style="46" customWidth="1"/>
    <col min="8473" max="8473" width="9.6640625" style="46"/>
    <col min="8474" max="8474" width="15.33203125" style="46" customWidth="1"/>
    <col min="8475" max="8475" width="15.21875" style="46" customWidth="1"/>
    <col min="8476" max="8476" width="21.44140625" style="46" customWidth="1"/>
    <col min="8477" max="8492" width="9.6640625" style="46"/>
    <col min="8493" max="8494" width="13.44140625" style="46" customWidth="1"/>
    <col min="8495" max="8495" width="9.6640625" style="46"/>
    <col min="8496" max="8496" width="13.88671875" style="46" customWidth="1"/>
    <col min="8497" max="8497" width="10.6640625" style="46" customWidth="1"/>
    <col min="8498" max="8498" width="17.33203125" style="46" customWidth="1"/>
    <col min="8499" max="8500" width="12.6640625" style="46" customWidth="1"/>
    <col min="8501" max="8501" width="11.21875" style="46" customWidth="1"/>
    <col min="8502" max="8502" width="18.33203125" style="46" customWidth="1"/>
    <col min="8503" max="8503" width="12.88671875" style="46" customWidth="1"/>
    <col min="8504" max="8505" width="13.21875" style="46" customWidth="1"/>
    <col min="8506" max="8506" width="10.88671875" style="46" customWidth="1"/>
    <col min="8507" max="8507" width="11.109375" style="46" customWidth="1"/>
    <col min="8508" max="8508" width="15.21875" style="46" customWidth="1"/>
    <col min="8509" max="8509" width="9.6640625" style="46"/>
    <col min="8510" max="8510" width="11" style="46" customWidth="1"/>
    <col min="8511" max="8511" width="10.77734375" style="46" customWidth="1"/>
    <col min="8512" max="8512" width="11.44140625" style="46" customWidth="1"/>
    <col min="8513" max="8513" width="4" style="46" customWidth="1"/>
    <col min="8514" max="8704" width="9.6640625" style="46"/>
    <col min="8705" max="8705" width="6.44140625" style="46" customWidth="1"/>
    <col min="8706" max="8706" width="13.88671875" style="46" customWidth="1"/>
    <col min="8707" max="8707" width="11.88671875" style="46" customWidth="1"/>
    <col min="8708" max="8710" width="9.6640625" style="46"/>
    <col min="8711" max="8711" width="15.44140625" style="46" customWidth="1"/>
    <col min="8712" max="8712" width="16.21875" style="46" customWidth="1"/>
    <col min="8713" max="8724" width="9.6640625" style="46"/>
    <col min="8725" max="8725" width="12" style="46" customWidth="1"/>
    <col min="8726" max="8726" width="12.77734375" style="46" customWidth="1"/>
    <col min="8727" max="8727" width="11.109375" style="46" customWidth="1"/>
    <col min="8728" max="8728" width="12" style="46" customWidth="1"/>
    <col min="8729" max="8729" width="9.6640625" style="46"/>
    <col min="8730" max="8730" width="15.33203125" style="46" customWidth="1"/>
    <col min="8731" max="8731" width="15.21875" style="46" customWidth="1"/>
    <col min="8732" max="8732" width="21.44140625" style="46" customWidth="1"/>
    <col min="8733" max="8748" width="9.6640625" style="46"/>
    <col min="8749" max="8750" width="13.44140625" style="46" customWidth="1"/>
    <col min="8751" max="8751" width="9.6640625" style="46"/>
    <col min="8752" max="8752" width="13.88671875" style="46" customWidth="1"/>
    <col min="8753" max="8753" width="10.6640625" style="46" customWidth="1"/>
    <col min="8754" max="8754" width="17.33203125" style="46" customWidth="1"/>
    <col min="8755" max="8756" width="12.6640625" style="46" customWidth="1"/>
    <col min="8757" max="8757" width="11.21875" style="46" customWidth="1"/>
    <col min="8758" max="8758" width="18.33203125" style="46" customWidth="1"/>
    <col min="8759" max="8759" width="12.88671875" style="46" customWidth="1"/>
    <col min="8760" max="8761" width="13.21875" style="46" customWidth="1"/>
    <col min="8762" max="8762" width="10.88671875" style="46" customWidth="1"/>
    <col min="8763" max="8763" width="11.109375" style="46" customWidth="1"/>
    <col min="8764" max="8764" width="15.21875" style="46" customWidth="1"/>
    <col min="8765" max="8765" width="9.6640625" style="46"/>
    <col min="8766" max="8766" width="11" style="46" customWidth="1"/>
    <col min="8767" max="8767" width="10.77734375" style="46" customWidth="1"/>
    <col min="8768" max="8768" width="11.44140625" style="46" customWidth="1"/>
    <col min="8769" max="8769" width="4" style="46" customWidth="1"/>
    <col min="8770" max="8960" width="9.6640625" style="46"/>
    <col min="8961" max="8961" width="6.44140625" style="46" customWidth="1"/>
    <col min="8962" max="8962" width="13.88671875" style="46" customWidth="1"/>
    <col min="8963" max="8963" width="11.88671875" style="46" customWidth="1"/>
    <col min="8964" max="8966" width="9.6640625" style="46"/>
    <col min="8967" max="8967" width="15.44140625" style="46" customWidth="1"/>
    <col min="8968" max="8968" width="16.21875" style="46" customWidth="1"/>
    <col min="8969" max="8980" width="9.6640625" style="46"/>
    <col min="8981" max="8981" width="12" style="46" customWidth="1"/>
    <col min="8982" max="8982" width="12.77734375" style="46" customWidth="1"/>
    <col min="8983" max="8983" width="11.109375" style="46" customWidth="1"/>
    <col min="8984" max="8984" width="12" style="46" customWidth="1"/>
    <col min="8985" max="8985" width="9.6640625" style="46"/>
    <col min="8986" max="8986" width="15.33203125" style="46" customWidth="1"/>
    <col min="8987" max="8987" width="15.21875" style="46" customWidth="1"/>
    <col min="8988" max="8988" width="21.44140625" style="46" customWidth="1"/>
    <col min="8989" max="9004" width="9.6640625" style="46"/>
    <col min="9005" max="9006" width="13.44140625" style="46" customWidth="1"/>
    <col min="9007" max="9007" width="9.6640625" style="46"/>
    <col min="9008" max="9008" width="13.88671875" style="46" customWidth="1"/>
    <col min="9009" max="9009" width="10.6640625" style="46" customWidth="1"/>
    <col min="9010" max="9010" width="17.33203125" style="46" customWidth="1"/>
    <col min="9011" max="9012" width="12.6640625" style="46" customWidth="1"/>
    <col min="9013" max="9013" width="11.21875" style="46" customWidth="1"/>
    <col min="9014" max="9014" width="18.33203125" style="46" customWidth="1"/>
    <col min="9015" max="9015" width="12.88671875" style="46" customWidth="1"/>
    <col min="9016" max="9017" width="13.21875" style="46" customWidth="1"/>
    <col min="9018" max="9018" width="10.88671875" style="46" customWidth="1"/>
    <col min="9019" max="9019" width="11.109375" style="46" customWidth="1"/>
    <col min="9020" max="9020" width="15.21875" style="46" customWidth="1"/>
    <col min="9021" max="9021" width="9.6640625" style="46"/>
    <col min="9022" max="9022" width="11" style="46" customWidth="1"/>
    <col min="9023" max="9023" width="10.77734375" style="46" customWidth="1"/>
    <col min="9024" max="9024" width="11.44140625" style="46" customWidth="1"/>
    <col min="9025" max="9025" width="4" style="46" customWidth="1"/>
    <col min="9026" max="9216" width="9.6640625" style="46"/>
    <col min="9217" max="9217" width="6.44140625" style="46" customWidth="1"/>
    <col min="9218" max="9218" width="13.88671875" style="46" customWidth="1"/>
    <col min="9219" max="9219" width="11.88671875" style="46" customWidth="1"/>
    <col min="9220" max="9222" width="9.6640625" style="46"/>
    <col min="9223" max="9223" width="15.44140625" style="46" customWidth="1"/>
    <col min="9224" max="9224" width="16.21875" style="46" customWidth="1"/>
    <col min="9225" max="9236" width="9.6640625" style="46"/>
    <col min="9237" max="9237" width="12" style="46" customWidth="1"/>
    <col min="9238" max="9238" width="12.77734375" style="46" customWidth="1"/>
    <col min="9239" max="9239" width="11.109375" style="46" customWidth="1"/>
    <col min="9240" max="9240" width="12" style="46" customWidth="1"/>
    <col min="9241" max="9241" width="9.6640625" style="46"/>
    <col min="9242" max="9242" width="15.33203125" style="46" customWidth="1"/>
    <col min="9243" max="9243" width="15.21875" style="46" customWidth="1"/>
    <col min="9244" max="9244" width="21.44140625" style="46" customWidth="1"/>
    <col min="9245" max="9260" width="9.6640625" style="46"/>
    <col min="9261" max="9262" width="13.44140625" style="46" customWidth="1"/>
    <col min="9263" max="9263" width="9.6640625" style="46"/>
    <col min="9264" max="9264" width="13.88671875" style="46" customWidth="1"/>
    <col min="9265" max="9265" width="10.6640625" style="46" customWidth="1"/>
    <col min="9266" max="9266" width="17.33203125" style="46" customWidth="1"/>
    <col min="9267" max="9268" width="12.6640625" style="46" customWidth="1"/>
    <col min="9269" max="9269" width="11.21875" style="46" customWidth="1"/>
    <col min="9270" max="9270" width="18.33203125" style="46" customWidth="1"/>
    <col min="9271" max="9271" width="12.88671875" style="46" customWidth="1"/>
    <col min="9272" max="9273" width="13.21875" style="46" customWidth="1"/>
    <col min="9274" max="9274" width="10.88671875" style="46" customWidth="1"/>
    <col min="9275" max="9275" width="11.109375" style="46" customWidth="1"/>
    <col min="9276" max="9276" width="15.21875" style="46" customWidth="1"/>
    <col min="9277" max="9277" width="9.6640625" style="46"/>
    <col min="9278" max="9278" width="11" style="46" customWidth="1"/>
    <col min="9279" max="9279" width="10.77734375" style="46" customWidth="1"/>
    <col min="9280" max="9280" width="11.44140625" style="46" customWidth="1"/>
    <col min="9281" max="9281" width="4" style="46" customWidth="1"/>
    <col min="9282" max="9472" width="9.6640625" style="46"/>
    <col min="9473" max="9473" width="6.44140625" style="46" customWidth="1"/>
    <col min="9474" max="9474" width="13.88671875" style="46" customWidth="1"/>
    <col min="9475" max="9475" width="11.88671875" style="46" customWidth="1"/>
    <col min="9476" max="9478" width="9.6640625" style="46"/>
    <col min="9479" max="9479" width="15.44140625" style="46" customWidth="1"/>
    <col min="9480" max="9480" width="16.21875" style="46" customWidth="1"/>
    <col min="9481" max="9492" width="9.6640625" style="46"/>
    <col min="9493" max="9493" width="12" style="46" customWidth="1"/>
    <col min="9494" max="9494" width="12.77734375" style="46" customWidth="1"/>
    <col min="9495" max="9495" width="11.109375" style="46" customWidth="1"/>
    <col min="9496" max="9496" width="12" style="46" customWidth="1"/>
    <col min="9497" max="9497" width="9.6640625" style="46"/>
    <col min="9498" max="9498" width="15.33203125" style="46" customWidth="1"/>
    <col min="9499" max="9499" width="15.21875" style="46" customWidth="1"/>
    <col min="9500" max="9500" width="21.44140625" style="46" customWidth="1"/>
    <col min="9501" max="9516" width="9.6640625" style="46"/>
    <col min="9517" max="9518" width="13.44140625" style="46" customWidth="1"/>
    <col min="9519" max="9519" width="9.6640625" style="46"/>
    <col min="9520" max="9520" width="13.88671875" style="46" customWidth="1"/>
    <col min="9521" max="9521" width="10.6640625" style="46" customWidth="1"/>
    <col min="9522" max="9522" width="17.33203125" style="46" customWidth="1"/>
    <col min="9523" max="9524" width="12.6640625" style="46" customWidth="1"/>
    <col min="9525" max="9525" width="11.21875" style="46" customWidth="1"/>
    <col min="9526" max="9526" width="18.33203125" style="46" customWidth="1"/>
    <col min="9527" max="9527" width="12.88671875" style="46" customWidth="1"/>
    <col min="9528" max="9529" width="13.21875" style="46" customWidth="1"/>
    <col min="9530" max="9530" width="10.88671875" style="46" customWidth="1"/>
    <col min="9531" max="9531" width="11.109375" style="46" customWidth="1"/>
    <col min="9532" max="9532" width="15.21875" style="46" customWidth="1"/>
    <col min="9533" max="9533" width="9.6640625" style="46"/>
    <col min="9534" max="9534" width="11" style="46" customWidth="1"/>
    <col min="9535" max="9535" width="10.77734375" style="46" customWidth="1"/>
    <col min="9536" max="9536" width="11.44140625" style="46" customWidth="1"/>
    <col min="9537" max="9537" width="4" style="46" customWidth="1"/>
    <col min="9538" max="9728" width="9.6640625" style="46"/>
    <col min="9729" max="9729" width="6.44140625" style="46" customWidth="1"/>
    <col min="9730" max="9730" width="13.88671875" style="46" customWidth="1"/>
    <col min="9731" max="9731" width="11.88671875" style="46" customWidth="1"/>
    <col min="9732" max="9734" width="9.6640625" style="46"/>
    <col min="9735" max="9735" width="15.44140625" style="46" customWidth="1"/>
    <col min="9736" max="9736" width="16.21875" style="46" customWidth="1"/>
    <col min="9737" max="9748" width="9.6640625" style="46"/>
    <col min="9749" max="9749" width="12" style="46" customWidth="1"/>
    <col min="9750" max="9750" width="12.77734375" style="46" customWidth="1"/>
    <col min="9751" max="9751" width="11.109375" style="46" customWidth="1"/>
    <col min="9752" max="9752" width="12" style="46" customWidth="1"/>
    <col min="9753" max="9753" width="9.6640625" style="46"/>
    <col min="9754" max="9754" width="15.33203125" style="46" customWidth="1"/>
    <col min="9755" max="9755" width="15.21875" style="46" customWidth="1"/>
    <col min="9756" max="9756" width="21.44140625" style="46" customWidth="1"/>
    <col min="9757" max="9772" width="9.6640625" style="46"/>
    <col min="9773" max="9774" width="13.44140625" style="46" customWidth="1"/>
    <col min="9775" max="9775" width="9.6640625" style="46"/>
    <col min="9776" max="9776" width="13.88671875" style="46" customWidth="1"/>
    <col min="9777" max="9777" width="10.6640625" style="46" customWidth="1"/>
    <col min="9778" max="9778" width="17.33203125" style="46" customWidth="1"/>
    <col min="9779" max="9780" width="12.6640625" style="46" customWidth="1"/>
    <col min="9781" max="9781" width="11.21875" style="46" customWidth="1"/>
    <col min="9782" max="9782" width="18.33203125" style="46" customWidth="1"/>
    <col min="9783" max="9783" width="12.88671875" style="46" customWidth="1"/>
    <col min="9784" max="9785" width="13.21875" style="46" customWidth="1"/>
    <col min="9786" max="9786" width="10.88671875" style="46" customWidth="1"/>
    <col min="9787" max="9787" width="11.109375" style="46" customWidth="1"/>
    <col min="9788" max="9788" width="15.21875" style="46" customWidth="1"/>
    <col min="9789" max="9789" width="9.6640625" style="46"/>
    <col min="9790" max="9790" width="11" style="46" customWidth="1"/>
    <col min="9791" max="9791" width="10.77734375" style="46" customWidth="1"/>
    <col min="9792" max="9792" width="11.44140625" style="46" customWidth="1"/>
    <col min="9793" max="9793" width="4" style="46" customWidth="1"/>
    <col min="9794" max="9984" width="9.6640625" style="46"/>
    <col min="9985" max="9985" width="6.44140625" style="46" customWidth="1"/>
    <col min="9986" max="9986" width="13.88671875" style="46" customWidth="1"/>
    <col min="9987" max="9987" width="11.88671875" style="46" customWidth="1"/>
    <col min="9988" max="9990" width="9.6640625" style="46"/>
    <col min="9991" max="9991" width="15.44140625" style="46" customWidth="1"/>
    <col min="9992" max="9992" width="16.21875" style="46" customWidth="1"/>
    <col min="9993" max="10004" width="9.6640625" style="46"/>
    <col min="10005" max="10005" width="12" style="46" customWidth="1"/>
    <col min="10006" max="10006" width="12.77734375" style="46" customWidth="1"/>
    <col min="10007" max="10007" width="11.109375" style="46" customWidth="1"/>
    <col min="10008" max="10008" width="12" style="46" customWidth="1"/>
    <col min="10009" max="10009" width="9.6640625" style="46"/>
    <col min="10010" max="10010" width="15.33203125" style="46" customWidth="1"/>
    <col min="10011" max="10011" width="15.21875" style="46" customWidth="1"/>
    <col min="10012" max="10012" width="21.44140625" style="46" customWidth="1"/>
    <col min="10013" max="10028" width="9.6640625" style="46"/>
    <col min="10029" max="10030" width="13.44140625" style="46" customWidth="1"/>
    <col min="10031" max="10031" width="9.6640625" style="46"/>
    <col min="10032" max="10032" width="13.88671875" style="46" customWidth="1"/>
    <col min="10033" max="10033" width="10.6640625" style="46" customWidth="1"/>
    <col min="10034" max="10034" width="17.33203125" style="46" customWidth="1"/>
    <col min="10035" max="10036" width="12.6640625" style="46" customWidth="1"/>
    <col min="10037" max="10037" width="11.21875" style="46" customWidth="1"/>
    <col min="10038" max="10038" width="18.33203125" style="46" customWidth="1"/>
    <col min="10039" max="10039" width="12.88671875" style="46" customWidth="1"/>
    <col min="10040" max="10041" width="13.21875" style="46" customWidth="1"/>
    <col min="10042" max="10042" width="10.88671875" style="46" customWidth="1"/>
    <col min="10043" max="10043" width="11.109375" style="46" customWidth="1"/>
    <col min="10044" max="10044" width="15.21875" style="46" customWidth="1"/>
    <col min="10045" max="10045" width="9.6640625" style="46"/>
    <col min="10046" max="10046" width="11" style="46" customWidth="1"/>
    <col min="10047" max="10047" width="10.77734375" style="46" customWidth="1"/>
    <col min="10048" max="10048" width="11.44140625" style="46" customWidth="1"/>
    <col min="10049" max="10049" width="4" style="46" customWidth="1"/>
    <col min="10050" max="10240" width="9.6640625" style="46"/>
    <col min="10241" max="10241" width="6.44140625" style="46" customWidth="1"/>
    <col min="10242" max="10242" width="13.88671875" style="46" customWidth="1"/>
    <col min="10243" max="10243" width="11.88671875" style="46" customWidth="1"/>
    <col min="10244" max="10246" width="9.6640625" style="46"/>
    <col min="10247" max="10247" width="15.44140625" style="46" customWidth="1"/>
    <col min="10248" max="10248" width="16.21875" style="46" customWidth="1"/>
    <col min="10249" max="10260" width="9.6640625" style="46"/>
    <col min="10261" max="10261" width="12" style="46" customWidth="1"/>
    <col min="10262" max="10262" width="12.77734375" style="46" customWidth="1"/>
    <col min="10263" max="10263" width="11.109375" style="46" customWidth="1"/>
    <col min="10264" max="10264" width="12" style="46" customWidth="1"/>
    <col min="10265" max="10265" width="9.6640625" style="46"/>
    <col min="10266" max="10266" width="15.33203125" style="46" customWidth="1"/>
    <col min="10267" max="10267" width="15.21875" style="46" customWidth="1"/>
    <col min="10268" max="10268" width="21.44140625" style="46" customWidth="1"/>
    <col min="10269" max="10284" width="9.6640625" style="46"/>
    <col min="10285" max="10286" width="13.44140625" style="46" customWidth="1"/>
    <col min="10287" max="10287" width="9.6640625" style="46"/>
    <col min="10288" max="10288" width="13.88671875" style="46" customWidth="1"/>
    <col min="10289" max="10289" width="10.6640625" style="46" customWidth="1"/>
    <col min="10290" max="10290" width="17.33203125" style="46" customWidth="1"/>
    <col min="10291" max="10292" width="12.6640625" style="46" customWidth="1"/>
    <col min="10293" max="10293" width="11.21875" style="46" customWidth="1"/>
    <col min="10294" max="10294" width="18.33203125" style="46" customWidth="1"/>
    <col min="10295" max="10295" width="12.88671875" style="46" customWidth="1"/>
    <col min="10296" max="10297" width="13.21875" style="46" customWidth="1"/>
    <col min="10298" max="10298" width="10.88671875" style="46" customWidth="1"/>
    <col min="10299" max="10299" width="11.109375" style="46" customWidth="1"/>
    <col min="10300" max="10300" width="15.21875" style="46" customWidth="1"/>
    <col min="10301" max="10301" width="9.6640625" style="46"/>
    <col min="10302" max="10302" width="11" style="46" customWidth="1"/>
    <col min="10303" max="10303" width="10.77734375" style="46" customWidth="1"/>
    <col min="10304" max="10304" width="11.44140625" style="46" customWidth="1"/>
    <col min="10305" max="10305" width="4" style="46" customWidth="1"/>
    <col min="10306" max="10496" width="9.6640625" style="46"/>
    <col min="10497" max="10497" width="6.44140625" style="46" customWidth="1"/>
    <col min="10498" max="10498" width="13.88671875" style="46" customWidth="1"/>
    <col min="10499" max="10499" width="11.88671875" style="46" customWidth="1"/>
    <col min="10500" max="10502" width="9.6640625" style="46"/>
    <col min="10503" max="10503" width="15.44140625" style="46" customWidth="1"/>
    <col min="10504" max="10504" width="16.21875" style="46" customWidth="1"/>
    <col min="10505" max="10516" width="9.6640625" style="46"/>
    <col min="10517" max="10517" width="12" style="46" customWidth="1"/>
    <col min="10518" max="10518" width="12.77734375" style="46" customWidth="1"/>
    <col min="10519" max="10519" width="11.109375" style="46" customWidth="1"/>
    <col min="10520" max="10520" width="12" style="46" customWidth="1"/>
    <col min="10521" max="10521" width="9.6640625" style="46"/>
    <col min="10522" max="10522" width="15.33203125" style="46" customWidth="1"/>
    <col min="10523" max="10523" width="15.21875" style="46" customWidth="1"/>
    <col min="10524" max="10524" width="21.44140625" style="46" customWidth="1"/>
    <col min="10525" max="10540" width="9.6640625" style="46"/>
    <col min="10541" max="10542" width="13.44140625" style="46" customWidth="1"/>
    <col min="10543" max="10543" width="9.6640625" style="46"/>
    <col min="10544" max="10544" width="13.88671875" style="46" customWidth="1"/>
    <col min="10545" max="10545" width="10.6640625" style="46" customWidth="1"/>
    <col min="10546" max="10546" width="17.33203125" style="46" customWidth="1"/>
    <col min="10547" max="10548" width="12.6640625" style="46" customWidth="1"/>
    <col min="10549" max="10549" width="11.21875" style="46" customWidth="1"/>
    <col min="10550" max="10550" width="18.33203125" style="46" customWidth="1"/>
    <col min="10551" max="10551" width="12.88671875" style="46" customWidth="1"/>
    <col min="10552" max="10553" width="13.21875" style="46" customWidth="1"/>
    <col min="10554" max="10554" width="10.88671875" style="46" customWidth="1"/>
    <col min="10555" max="10555" width="11.109375" style="46" customWidth="1"/>
    <col min="10556" max="10556" width="15.21875" style="46" customWidth="1"/>
    <col min="10557" max="10557" width="9.6640625" style="46"/>
    <col min="10558" max="10558" width="11" style="46" customWidth="1"/>
    <col min="10559" max="10559" width="10.77734375" style="46" customWidth="1"/>
    <col min="10560" max="10560" width="11.44140625" style="46" customWidth="1"/>
    <col min="10561" max="10561" width="4" style="46" customWidth="1"/>
    <col min="10562" max="10752" width="9.6640625" style="46"/>
    <col min="10753" max="10753" width="6.44140625" style="46" customWidth="1"/>
    <col min="10754" max="10754" width="13.88671875" style="46" customWidth="1"/>
    <col min="10755" max="10755" width="11.88671875" style="46" customWidth="1"/>
    <col min="10756" max="10758" width="9.6640625" style="46"/>
    <col min="10759" max="10759" width="15.44140625" style="46" customWidth="1"/>
    <col min="10760" max="10760" width="16.21875" style="46" customWidth="1"/>
    <col min="10761" max="10772" width="9.6640625" style="46"/>
    <col min="10773" max="10773" width="12" style="46" customWidth="1"/>
    <col min="10774" max="10774" width="12.77734375" style="46" customWidth="1"/>
    <col min="10775" max="10775" width="11.109375" style="46" customWidth="1"/>
    <col min="10776" max="10776" width="12" style="46" customWidth="1"/>
    <col min="10777" max="10777" width="9.6640625" style="46"/>
    <col min="10778" max="10778" width="15.33203125" style="46" customWidth="1"/>
    <col min="10779" max="10779" width="15.21875" style="46" customWidth="1"/>
    <col min="10780" max="10780" width="21.44140625" style="46" customWidth="1"/>
    <col min="10781" max="10796" width="9.6640625" style="46"/>
    <col min="10797" max="10798" width="13.44140625" style="46" customWidth="1"/>
    <col min="10799" max="10799" width="9.6640625" style="46"/>
    <col min="10800" max="10800" width="13.88671875" style="46" customWidth="1"/>
    <col min="10801" max="10801" width="10.6640625" style="46" customWidth="1"/>
    <col min="10802" max="10802" width="17.33203125" style="46" customWidth="1"/>
    <col min="10803" max="10804" width="12.6640625" style="46" customWidth="1"/>
    <col min="10805" max="10805" width="11.21875" style="46" customWidth="1"/>
    <col min="10806" max="10806" width="18.33203125" style="46" customWidth="1"/>
    <col min="10807" max="10807" width="12.88671875" style="46" customWidth="1"/>
    <col min="10808" max="10809" width="13.21875" style="46" customWidth="1"/>
    <col min="10810" max="10810" width="10.88671875" style="46" customWidth="1"/>
    <col min="10811" max="10811" width="11.109375" style="46" customWidth="1"/>
    <col min="10812" max="10812" width="15.21875" style="46" customWidth="1"/>
    <col min="10813" max="10813" width="9.6640625" style="46"/>
    <col min="10814" max="10814" width="11" style="46" customWidth="1"/>
    <col min="10815" max="10815" width="10.77734375" style="46" customWidth="1"/>
    <col min="10816" max="10816" width="11.44140625" style="46" customWidth="1"/>
    <col min="10817" max="10817" width="4" style="46" customWidth="1"/>
    <col min="10818" max="11008" width="9.6640625" style="46"/>
    <col min="11009" max="11009" width="6.44140625" style="46" customWidth="1"/>
    <col min="11010" max="11010" width="13.88671875" style="46" customWidth="1"/>
    <col min="11011" max="11011" width="11.88671875" style="46" customWidth="1"/>
    <col min="11012" max="11014" width="9.6640625" style="46"/>
    <col min="11015" max="11015" width="15.44140625" style="46" customWidth="1"/>
    <col min="11016" max="11016" width="16.21875" style="46" customWidth="1"/>
    <col min="11017" max="11028" width="9.6640625" style="46"/>
    <col min="11029" max="11029" width="12" style="46" customWidth="1"/>
    <col min="11030" max="11030" width="12.77734375" style="46" customWidth="1"/>
    <col min="11031" max="11031" width="11.109375" style="46" customWidth="1"/>
    <col min="11032" max="11032" width="12" style="46" customWidth="1"/>
    <col min="11033" max="11033" width="9.6640625" style="46"/>
    <col min="11034" max="11034" width="15.33203125" style="46" customWidth="1"/>
    <col min="11035" max="11035" width="15.21875" style="46" customWidth="1"/>
    <col min="11036" max="11036" width="21.44140625" style="46" customWidth="1"/>
    <col min="11037" max="11052" width="9.6640625" style="46"/>
    <col min="11053" max="11054" width="13.44140625" style="46" customWidth="1"/>
    <col min="11055" max="11055" width="9.6640625" style="46"/>
    <col min="11056" max="11056" width="13.88671875" style="46" customWidth="1"/>
    <col min="11057" max="11057" width="10.6640625" style="46" customWidth="1"/>
    <col min="11058" max="11058" width="17.33203125" style="46" customWidth="1"/>
    <col min="11059" max="11060" width="12.6640625" style="46" customWidth="1"/>
    <col min="11061" max="11061" width="11.21875" style="46" customWidth="1"/>
    <col min="11062" max="11062" width="18.33203125" style="46" customWidth="1"/>
    <col min="11063" max="11063" width="12.88671875" style="46" customWidth="1"/>
    <col min="11064" max="11065" width="13.21875" style="46" customWidth="1"/>
    <col min="11066" max="11066" width="10.88671875" style="46" customWidth="1"/>
    <col min="11067" max="11067" width="11.109375" style="46" customWidth="1"/>
    <col min="11068" max="11068" width="15.21875" style="46" customWidth="1"/>
    <col min="11069" max="11069" width="9.6640625" style="46"/>
    <col min="11070" max="11070" width="11" style="46" customWidth="1"/>
    <col min="11071" max="11071" width="10.77734375" style="46" customWidth="1"/>
    <col min="11072" max="11072" width="11.44140625" style="46" customWidth="1"/>
    <col min="11073" max="11073" width="4" style="46" customWidth="1"/>
    <col min="11074" max="11264" width="9.6640625" style="46"/>
    <col min="11265" max="11265" width="6.44140625" style="46" customWidth="1"/>
    <col min="11266" max="11266" width="13.88671875" style="46" customWidth="1"/>
    <col min="11267" max="11267" width="11.88671875" style="46" customWidth="1"/>
    <col min="11268" max="11270" width="9.6640625" style="46"/>
    <col min="11271" max="11271" width="15.44140625" style="46" customWidth="1"/>
    <col min="11272" max="11272" width="16.21875" style="46" customWidth="1"/>
    <col min="11273" max="11284" width="9.6640625" style="46"/>
    <col min="11285" max="11285" width="12" style="46" customWidth="1"/>
    <col min="11286" max="11286" width="12.77734375" style="46" customWidth="1"/>
    <col min="11287" max="11287" width="11.109375" style="46" customWidth="1"/>
    <col min="11288" max="11288" width="12" style="46" customWidth="1"/>
    <col min="11289" max="11289" width="9.6640625" style="46"/>
    <col min="11290" max="11290" width="15.33203125" style="46" customWidth="1"/>
    <col min="11291" max="11291" width="15.21875" style="46" customWidth="1"/>
    <col min="11292" max="11292" width="21.44140625" style="46" customWidth="1"/>
    <col min="11293" max="11308" width="9.6640625" style="46"/>
    <col min="11309" max="11310" width="13.44140625" style="46" customWidth="1"/>
    <col min="11311" max="11311" width="9.6640625" style="46"/>
    <col min="11312" max="11312" width="13.88671875" style="46" customWidth="1"/>
    <col min="11313" max="11313" width="10.6640625" style="46" customWidth="1"/>
    <col min="11314" max="11314" width="17.33203125" style="46" customWidth="1"/>
    <col min="11315" max="11316" width="12.6640625" style="46" customWidth="1"/>
    <col min="11317" max="11317" width="11.21875" style="46" customWidth="1"/>
    <col min="11318" max="11318" width="18.33203125" style="46" customWidth="1"/>
    <col min="11319" max="11319" width="12.88671875" style="46" customWidth="1"/>
    <col min="11320" max="11321" width="13.21875" style="46" customWidth="1"/>
    <col min="11322" max="11322" width="10.88671875" style="46" customWidth="1"/>
    <col min="11323" max="11323" width="11.109375" style="46" customWidth="1"/>
    <col min="11324" max="11324" width="15.21875" style="46" customWidth="1"/>
    <col min="11325" max="11325" width="9.6640625" style="46"/>
    <col min="11326" max="11326" width="11" style="46" customWidth="1"/>
    <col min="11327" max="11327" width="10.77734375" style="46" customWidth="1"/>
    <col min="11328" max="11328" width="11.44140625" style="46" customWidth="1"/>
    <col min="11329" max="11329" width="4" style="46" customWidth="1"/>
    <col min="11330" max="11520" width="9.6640625" style="46"/>
    <col min="11521" max="11521" width="6.44140625" style="46" customWidth="1"/>
    <col min="11522" max="11522" width="13.88671875" style="46" customWidth="1"/>
    <col min="11523" max="11523" width="11.88671875" style="46" customWidth="1"/>
    <col min="11524" max="11526" width="9.6640625" style="46"/>
    <col min="11527" max="11527" width="15.44140625" style="46" customWidth="1"/>
    <col min="11528" max="11528" width="16.21875" style="46" customWidth="1"/>
    <col min="11529" max="11540" width="9.6640625" style="46"/>
    <col min="11541" max="11541" width="12" style="46" customWidth="1"/>
    <col min="11542" max="11542" width="12.77734375" style="46" customWidth="1"/>
    <col min="11543" max="11543" width="11.109375" style="46" customWidth="1"/>
    <col min="11544" max="11544" width="12" style="46" customWidth="1"/>
    <col min="11545" max="11545" width="9.6640625" style="46"/>
    <col min="11546" max="11546" width="15.33203125" style="46" customWidth="1"/>
    <col min="11547" max="11547" width="15.21875" style="46" customWidth="1"/>
    <col min="11548" max="11548" width="21.44140625" style="46" customWidth="1"/>
    <col min="11549" max="11564" width="9.6640625" style="46"/>
    <col min="11565" max="11566" width="13.44140625" style="46" customWidth="1"/>
    <col min="11567" max="11567" width="9.6640625" style="46"/>
    <col min="11568" max="11568" width="13.88671875" style="46" customWidth="1"/>
    <col min="11569" max="11569" width="10.6640625" style="46" customWidth="1"/>
    <col min="11570" max="11570" width="17.33203125" style="46" customWidth="1"/>
    <col min="11571" max="11572" width="12.6640625" style="46" customWidth="1"/>
    <col min="11573" max="11573" width="11.21875" style="46" customWidth="1"/>
    <col min="11574" max="11574" width="18.33203125" style="46" customWidth="1"/>
    <col min="11575" max="11575" width="12.88671875" style="46" customWidth="1"/>
    <col min="11576" max="11577" width="13.21875" style="46" customWidth="1"/>
    <col min="11578" max="11578" width="10.88671875" style="46" customWidth="1"/>
    <col min="11579" max="11579" width="11.109375" style="46" customWidth="1"/>
    <col min="11580" max="11580" width="15.21875" style="46" customWidth="1"/>
    <col min="11581" max="11581" width="9.6640625" style="46"/>
    <col min="11582" max="11582" width="11" style="46" customWidth="1"/>
    <col min="11583" max="11583" width="10.77734375" style="46" customWidth="1"/>
    <col min="11584" max="11584" width="11.44140625" style="46" customWidth="1"/>
    <col min="11585" max="11585" width="4" style="46" customWidth="1"/>
    <col min="11586" max="11776" width="9.6640625" style="46"/>
    <col min="11777" max="11777" width="6.44140625" style="46" customWidth="1"/>
    <col min="11778" max="11778" width="13.88671875" style="46" customWidth="1"/>
    <col min="11779" max="11779" width="11.88671875" style="46" customWidth="1"/>
    <col min="11780" max="11782" width="9.6640625" style="46"/>
    <col min="11783" max="11783" width="15.44140625" style="46" customWidth="1"/>
    <col min="11784" max="11784" width="16.21875" style="46" customWidth="1"/>
    <col min="11785" max="11796" width="9.6640625" style="46"/>
    <col min="11797" max="11797" width="12" style="46" customWidth="1"/>
    <col min="11798" max="11798" width="12.77734375" style="46" customWidth="1"/>
    <col min="11799" max="11799" width="11.109375" style="46" customWidth="1"/>
    <col min="11800" max="11800" width="12" style="46" customWidth="1"/>
    <col min="11801" max="11801" width="9.6640625" style="46"/>
    <col min="11802" max="11802" width="15.33203125" style="46" customWidth="1"/>
    <col min="11803" max="11803" width="15.21875" style="46" customWidth="1"/>
    <col min="11804" max="11804" width="21.44140625" style="46" customWidth="1"/>
    <col min="11805" max="11820" width="9.6640625" style="46"/>
    <col min="11821" max="11822" width="13.44140625" style="46" customWidth="1"/>
    <col min="11823" max="11823" width="9.6640625" style="46"/>
    <col min="11824" max="11824" width="13.88671875" style="46" customWidth="1"/>
    <col min="11825" max="11825" width="10.6640625" style="46" customWidth="1"/>
    <col min="11826" max="11826" width="17.33203125" style="46" customWidth="1"/>
    <col min="11827" max="11828" width="12.6640625" style="46" customWidth="1"/>
    <col min="11829" max="11829" width="11.21875" style="46" customWidth="1"/>
    <col min="11830" max="11830" width="18.33203125" style="46" customWidth="1"/>
    <col min="11831" max="11831" width="12.88671875" style="46" customWidth="1"/>
    <col min="11832" max="11833" width="13.21875" style="46" customWidth="1"/>
    <col min="11834" max="11834" width="10.88671875" style="46" customWidth="1"/>
    <col min="11835" max="11835" width="11.109375" style="46" customWidth="1"/>
    <col min="11836" max="11836" width="15.21875" style="46" customWidth="1"/>
    <col min="11837" max="11837" width="9.6640625" style="46"/>
    <col min="11838" max="11838" width="11" style="46" customWidth="1"/>
    <col min="11839" max="11839" width="10.77734375" style="46" customWidth="1"/>
    <col min="11840" max="11840" width="11.44140625" style="46" customWidth="1"/>
    <col min="11841" max="11841" width="4" style="46" customWidth="1"/>
    <col min="11842" max="12032" width="9.6640625" style="46"/>
    <col min="12033" max="12033" width="6.44140625" style="46" customWidth="1"/>
    <col min="12034" max="12034" width="13.88671875" style="46" customWidth="1"/>
    <col min="12035" max="12035" width="11.88671875" style="46" customWidth="1"/>
    <col min="12036" max="12038" width="9.6640625" style="46"/>
    <col min="12039" max="12039" width="15.44140625" style="46" customWidth="1"/>
    <col min="12040" max="12040" width="16.21875" style="46" customWidth="1"/>
    <col min="12041" max="12052" width="9.6640625" style="46"/>
    <col min="12053" max="12053" width="12" style="46" customWidth="1"/>
    <col min="12054" max="12054" width="12.77734375" style="46" customWidth="1"/>
    <col min="12055" max="12055" width="11.109375" style="46" customWidth="1"/>
    <col min="12056" max="12056" width="12" style="46" customWidth="1"/>
    <col min="12057" max="12057" width="9.6640625" style="46"/>
    <col min="12058" max="12058" width="15.33203125" style="46" customWidth="1"/>
    <col min="12059" max="12059" width="15.21875" style="46" customWidth="1"/>
    <col min="12060" max="12060" width="21.44140625" style="46" customWidth="1"/>
    <col min="12061" max="12076" width="9.6640625" style="46"/>
    <col min="12077" max="12078" width="13.44140625" style="46" customWidth="1"/>
    <col min="12079" max="12079" width="9.6640625" style="46"/>
    <col min="12080" max="12080" width="13.88671875" style="46" customWidth="1"/>
    <col min="12081" max="12081" width="10.6640625" style="46" customWidth="1"/>
    <col min="12082" max="12082" width="17.33203125" style="46" customWidth="1"/>
    <col min="12083" max="12084" width="12.6640625" style="46" customWidth="1"/>
    <col min="12085" max="12085" width="11.21875" style="46" customWidth="1"/>
    <col min="12086" max="12086" width="18.33203125" style="46" customWidth="1"/>
    <col min="12087" max="12087" width="12.88671875" style="46" customWidth="1"/>
    <col min="12088" max="12089" width="13.21875" style="46" customWidth="1"/>
    <col min="12090" max="12090" width="10.88671875" style="46" customWidth="1"/>
    <col min="12091" max="12091" width="11.109375" style="46" customWidth="1"/>
    <col min="12092" max="12092" width="15.21875" style="46" customWidth="1"/>
    <col min="12093" max="12093" width="9.6640625" style="46"/>
    <col min="12094" max="12094" width="11" style="46" customWidth="1"/>
    <col min="12095" max="12095" width="10.77734375" style="46" customWidth="1"/>
    <col min="12096" max="12096" width="11.44140625" style="46" customWidth="1"/>
    <col min="12097" max="12097" width="4" style="46" customWidth="1"/>
    <col min="12098" max="12288" width="9.6640625" style="46"/>
    <col min="12289" max="12289" width="6.44140625" style="46" customWidth="1"/>
    <col min="12290" max="12290" width="13.88671875" style="46" customWidth="1"/>
    <col min="12291" max="12291" width="11.88671875" style="46" customWidth="1"/>
    <col min="12292" max="12294" width="9.6640625" style="46"/>
    <col min="12295" max="12295" width="15.44140625" style="46" customWidth="1"/>
    <col min="12296" max="12296" width="16.21875" style="46" customWidth="1"/>
    <col min="12297" max="12308" width="9.6640625" style="46"/>
    <col min="12309" max="12309" width="12" style="46" customWidth="1"/>
    <col min="12310" max="12310" width="12.77734375" style="46" customWidth="1"/>
    <col min="12311" max="12311" width="11.109375" style="46" customWidth="1"/>
    <col min="12312" max="12312" width="12" style="46" customWidth="1"/>
    <col min="12313" max="12313" width="9.6640625" style="46"/>
    <col min="12314" max="12314" width="15.33203125" style="46" customWidth="1"/>
    <col min="12315" max="12315" width="15.21875" style="46" customWidth="1"/>
    <col min="12316" max="12316" width="21.44140625" style="46" customWidth="1"/>
    <col min="12317" max="12332" width="9.6640625" style="46"/>
    <col min="12333" max="12334" width="13.44140625" style="46" customWidth="1"/>
    <col min="12335" max="12335" width="9.6640625" style="46"/>
    <col min="12336" max="12336" width="13.88671875" style="46" customWidth="1"/>
    <col min="12337" max="12337" width="10.6640625" style="46" customWidth="1"/>
    <col min="12338" max="12338" width="17.33203125" style="46" customWidth="1"/>
    <col min="12339" max="12340" width="12.6640625" style="46" customWidth="1"/>
    <col min="12341" max="12341" width="11.21875" style="46" customWidth="1"/>
    <col min="12342" max="12342" width="18.33203125" style="46" customWidth="1"/>
    <col min="12343" max="12343" width="12.88671875" style="46" customWidth="1"/>
    <col min="12344" max="12345" width="13.21875" style="46" customWidth="1"/>
    <col min="12346" max="12346" width="10.88671875" style="46" customWidth="1"/>
    <col min="12347" max="12347" width="11.109375" style="46" customWidth="1"/>
    <col min="12348" max="12348" width="15.21875" style="46" customWidth="1"/>
    <col min="12349" max="12349" width="9.6640625" style="46"/>
    <col min="12350" max="12350" width="11" style="46" customWidth="1"/>
    <col min="12351" max="12351" width="10.77734375" style="46" customWidth="1"/>
    <col min="12352" max="12352" width="11.44140625" style="46" customWidth="1"/>
    <col min="12353" max="12353" width="4" style="46" customWidth="1"/>
    <col min="12354" max="12544" width="9.6640625" style="46"/>
    <col min="12545" max="12545" width="6.44140625" style="46" customWidth="1"/>
    <col min="12546" max="12546" width="13.88671875" style="46" customWidth="1"/>
    <col min="12547" max="12547" width="11.88671875" style="46" customWidth="1"/>
    <col min="12548" max="12550" width="9.6640625" style="46"/>
    <col min="12551" max="12551" width="15.44140625" style="46" customWidth="1"/>
    <col min="12552" max="12552" width="16.21875" style="46" customWidth="1"/>
    <col min="12553" max="12564" width="9.6640625" style="46"/>
    <col min="12565" max="12565" width="12" style="46" customWidth="1"/>
    <col min="12566" max="12566" width="12.77734375" style="46" customWidth="1"/>
    <col min="12567" max="12567" width="11.109375" style="46" customWidth="1"/>
    <col min="12568" max="12568" width="12" style="46" customWidth="1"/>
    <col min="12569" max="12569" width="9.6640625" style="46"/>
    <col min="12570" max="12570" width="15.33203125" style="46" customWidth="1"/>
    <col min="12571" max="12571" width="15.21875" style="46" customWidth="1"/>
    <col min="12572" max="12572" width="21.44140625" style="46" customWidth="1"/>
    <col min="12573" max="12588" width="9.6640625" style="46"/>
    <col min="12589" max="12590" width="13.44140625" style="46" customWidth="1"/>
    <col min="12591" max="12591" width="9.6640625" style="46"/>
    <col min="12592" max="12592" width="13.88671875" style="46" customWidth="1"/>
    <col min="12593" max="12593" width="10.6640625" style="46" customWidth="1"/>
    <col min="12594" max="12594" width="17.33203125" style="46" customWidth="1"/>
    <col min="12595" max="12596" width="12.6640625" style="46" customWidth="1"/>
    <col min="12597" max="12597" width="11.21875" style="46" customWidth="1"/>
    <col min="12598" max="12598" width="18.33203125" style="46" customWidth="1"/>
    <col min="12599" max="12599" width="12.88671875" style="46" customWidth="1"/>
    <col min="12600" max="12601" width="13.21875" style="46" customWidth="1"/>
    <col min="12602" max="12602" width="10.88671875" style="46" customWidth="1"/>
    <col min="12603" max="12603" width="11.109375" style="46" customWidth="1"/>
    <col min="12604" max="12604" width="15.21875" style="46" customWidth="1"/>
    <col min="12605" max="12605" width="9.6640625" style="46"/>
    <col min="12606" max="12606" width="11" style="46" customWidth="1"/>
    <col min="12607" max="12607" width="10.77734375" style="46" customWidth="1"/>
    <col min="12608" max="12608" width="11.44140625" style="46" customWidth="1"/>
    <col min="12609" max="12609" width="4" style="46" customWidth="1"/>
    <col min="12610" max="12800" width="9.6640625" style="46"/>
    <col min="12801" max="12801" width="6.44140625" style="46" customWidth="1"/>
    <col min="12802" max="12802" width="13.88671875" style="46" customWidth="1"/>
    <col min="12803" max="12803" width="11.88671875" style="46" customWidth="1"/>
    <col min="12804" max="12806" width="9.6640625" style="46"/>
    <col min="12807" max="12807" width="15.44140625" style="46" customWidth="1"/>
    <col min="12808" max="12808" width="16.21875" style="46" customWidth="1"/>
    <col min="12809" max="12820" width="9.6640625" style="46"/>
    <col min="12821" max="12821" width="12" style="46" customWidth="1"/>
    <col min="12822" max="12822" width="12.77734375" style="46" customWidth="1"/>
    <col min="12823" max="12823" width="11.109375" style="46" customWidth="1"/>
    <col min="12824" max="12824" width="12" style="46" customWidth="1"/>
    <col min="12825" max="12825" width="9.6640625" style="46"/>
    <col min="12826" max="12826" width="15.33203125" style="46" customWidth="1"/>
    <col min="12827" max="12827" width="15.21875" style="46" customWidth="1"/>
    <col min="12828" max="12828" width="21.44140625" style="46" customWidth="1"/>
    <col min="12829" max="12844" width="9.6640625" style="46"/>
    <col min="12845" max="12846" width="13.44140625" style="46" customWidth="1"/>
    <col min="12847" max="12847" width="9.6640625" style="46"/>
    <col min="12848" max="12848" width="13.88671875" style="46" customWidth="1"/>
    <col min="12849" max="12849" width="10.6640625" style="46" customWidth="1"/>
    <col min="12850" max="12850" width="17.33203125" style="46" customWidth="1"/>
    <col min="12851" max="12852" width="12.6640625" style="46" customWidth="1"/>
    <col min="12853" max="12853" width="11.21875" style="46" customWidth="1"/>
    <col min="12854" max="12854" width="18.33203125" style="46" customWidth="1"/>
    <col min="12855" max="12855" width="12.88671875" style="46" customWidth="1"/>
    <col min="12856" max="12857" width="13.21875" style="46" customWidth="1"/>
    <col min="12858" max="12858" width="10.88671875" style="46" customWidth="1"/>
    <col min="12859" max="12859" width="11.109375" style="46" customWidth="1"/>
    <col min="12860" max="12860" width="15.21875" style="46" customWidth="1"/>
    <col min="12861" max="12861" width="9.6640625" style="46"/>
    <col min="12862" max="12862" width="11" style="46" customWidth="1"/>
    <col min="12863" max="12863" width="10.77734375" style="46" customWidth="1"/>
    <col min="12864" max="12864" width="11.44140625" style="46" customWidth="1"/>
    <col min="12865" max="12865" width="4" style="46" customWidth="1"/>
    <col min="12866" max="13056" width="9.6640625" style="46"/>
    <col min="13057" max="13057" width="6.44140625" style="46" customWidth="1"/>
    <col min="13058" max="13058" width="13.88671875" style="46" customWidth="1"/>
    <col min="13059" max="13059" width="11.88671875" style="46" customWidth="1"/>
    <col min="13060" max="13062" width="9.6640625" style="46"/>
    <col min="13063" max="13063" width="15.44140625" style="46" customWidth="1"/>
    <col min="13064" max="13064" width="16.21875" style="46" customWidth="1"/>
    <col min="13065" max="13076" width="9.6640625" style="46"/>
    <col min="13077" max="13077" width="12" style="46" customWidth="1"/>
    <col min="13078" max="13078" width="12.77734375" style="46" customWidth="1"/>
    <col min="13079" max="13079" width="11.109375" style="46" customWidth="1"/>
    <col min="13080" max="13080" width="12" style="46" customWidth="1"/>
    <col min="13081" max="13081" width="9.6640625" style="46"/>
    <col min="13082" max="13082" width="15.33203125" style="46" customWidth="1"/>
    <col min="13083" max="13083" width="15.21875" style="46" customWidth="1"/>
    <col min="13084" max="13084" width="21.44140625" style="46" customWidth="1"/>
    <col min="13085" max="13100" width="9.6640625" style="46"/>
    <col min="13101" max="13102" width="13.44140625" style="46" customWidth="1"/>
    <col min="13103" max="13103" width="9.6640625" style="46"/>
    <col min="13104" max="13104" width="13.88671875" style="46" customWidth="1"/>
    <col min="13105" max="13105" width="10.6640625" style="46" customWidth="1"/>
    <col min="13106" max="13106" width="17.33203125" style="46" customWidth="1"/>
    <col min="13107" max="13108" width="12.6640625" style="46" customWidth="1"/>
    <col min="13109" max="13109" width="11.21875" style="46" customWidth="1"/>
    <col min="13110" max="13110" width="18.33203125" style="46" customWidth="1"/>
    <col min="13111" max="13111" width="12.88671875" style="46" customWidth="1"/>
    <col min="13112" max="13113" width="13.21875" style="46" customWidth="1"/>
    <col min="13114" max="13114" width="10.88671875" style="46" customWidth="1"/>
    <col min="13115" max="13115" width="11.109375" style="46" customWidth="1"/>
    <col min="13116" max="13116" width="15.21875" style="46" customWidth="1"/>
    <col min="13117" max="13117" width="9.6640625" style="46"/>
    <col min="13118" max="13118" width="11" style="46" customWidth="1"/>
    <col min="13119" max="13119" width="10.77734375" style="46" customWidth="1"/>
    <col min="13120" max="13120" width="11.44140625" style="46" customWidth="1"/>
    <col min="13121" max="13121" width="4" style="46" customWidth="1"/>
    <col min="13122" max="13312" width="9.6640625" style="46"/>
    <col min="13313" max="13313" width="6.44140625" style="46" customWidth="1"/>
    <col min="13314" max="13314" width="13.88671875" style="46" customWidth="1"/>
    <col min="13315" max="13315" width="11.88671875" style="46" customWidth="1"/>
    <col min="13316" max="13318" width="9.6640625" style="46"/>
    <col min="13319" max="13319" width="15.44140625" style="46" customWidth="1"/>
    <col min="13320" max="13320" width="16.21875" style="46" customWidth="1"/>
    <col min="13321" max="13332" width="9.6640625" style="46"/>
    <col min="13333" max="13333" width="12" style="46" customWidth="1"/>
    <col min="13334" max="13334" width="12.77734375" style="46" customWidth="1"/>
    <col min="13335" max="13335" width="11.109375" style="46" customWidth="1"/>
    <col min="13336" max="13336" width="12" style="46" customWidth="1"/>
    <col min="13337" max="13337" width="9.6640625" style="46"/>
    <col min="13338" max="13338" width="15.33203125" style="46" customWidth="1"/>
    <col min="13339" max="13339" width="15.21875" style="46" customWidth="1"/>
    <col min="13340" max="13340" width="21.44140625" style="46" customWidth="1"/>
    <col min="13341" max="13356" width="9.6640625" style="46"/>
    <col min="13357" max="13358" width="13.44140625" style="46" customWidth="1"/>
    <col min="13359" max="13359" width="9.6640625" style="46"/>
    <col min="13360" max="13360" width="13.88671875" style="46" customWidth="1"/>
    <col min="13361" max="13361" width="10.6640625" style="46" customWidth="1"/>
    <col min="13362" max="13362" width="17.33203125" style="46" customWidth="1"/>
    <col min="13363" max="13364" width="12.6640625" style="46" customWidth="1"/>
    <col min="13365" max="13365" width="11.21875" style="46" customWidth="1"/>
    <col min="13366" max="13366" width="18.33203125" style="46" customWidth="1"/>
    <col min="13367" max="13367" width="12.88671875" style="46" customWidth="1"/>
    <col min="13368" max="13369" width="13.21875" style="46" customWidth="1"/>
    <col min="13370" max="13370" width="10.88671875" style="46" customWidth="1"/>
    <col min="13371" max="13371" width="11.109375" style="46" customWidth="1"/>
    <col min="13372" max="13372" width="15.21875" style="46" customWidth="1"/>
    <col min="13373" max="13373" width="9.6640625" style="46"/>
    <col min="13374" max="13374" width="11" style="46" customWidth="1"/>
    <col min="13375" max="13375" width="10.77734375" style="46" customWidth="1"/>
    <col min="13376" max="13376" width="11.44140625" style="46" customWidth="1"/>
    <col min="13377" max="13377" width="4" style="46" customWidth="1"/>
    <col min="13378" max="13568" width="9.6640625" style="46"/>
    <col min="13569" max="13569" width="6.44140625" style="46" customWidth="1"/>
    <col min="13570" max="13570" width="13.88671875" style="46" customWidth="1"/>
    <col min="13571" max="13571" width="11.88671875" style="46" customWidth="1"/>
    <col min="13572" max="13574" width="9.6640625" style="46"/>
    <col min="13575" max="13575" width="15.44140625" style="46" customWidth="1"/>
    <col min="13576" max="13576" width="16.21875" style="46" customWidth="1"/>
    <col min="13577" max="13588" width="9.6640625" style="46"/>
    <col min="13589" max="13589" width="12" style="46" customWidth="1"/>
    <col min="13590" max="13590" width="12.77734375" style="46" customWidth="1"/>
    <col min="13591" max="13591" width="11.109375" style="46" customWidth="1"/>
    <col min="13592" max="13592" width="12" style="46" customWidth="1"/>
    <col min="13593" max="13593" width="9.6640625" style="46"/>
    <col min="13594" max="13594" width="15.33203125" style="46" customWidth="1"/>
    <col min="13595" max="13595" width="15.21875" style="46" customWidth="1"/>
    <col min="13596" max="13596" width="21.44140625" style="46" customWidth="1"/>
    <col min="13597" max="13612" width="9.6640625" style="46"/>
    <col min="13613" max="13614" width="13.44140625" style="46" customWidth="1"/>
    <col min="13615" max="13615" width="9.6640625" style="46"/>
    <col min="13616" max="13616" width="13.88671875" style="46" customWidth="1"/>
    <col min="13617" max="13617" width="10.6640625" style="46" customWidth="1"/>
    <col min="13618" max="13618" width="17.33203125" style="46" customWidth="1"/>
    <col min="13619" max="13620" width="12.6640625" style="46" customWidth="1"/>
    <col min="13621" max="13621" width="11.21875" style="46" customWidth="1"/>
    <col min="13622" max="13622" width="18.33203125" style="46" customWidth="1"/>
    <col min="13623" max="13623" width="12.88671875" style="46" customWidth="1"/>
    <col min="13624" max="13625" width="13.21875" style="46" customWidth="1"/>
    <col min="13626" max="13626" width="10.88671875" style="46" customWidth="1"/>
    <col min="13627" max="13627" width="11.109375" style="46" customWidth="1"/>
    <col min="13628" max="13628" width="15.21875" style="46" customWidth="1"/>
    <col min="13629" max="13629" width="9.6640625" style="46"/>
    <col min="13630" max="13630" width="11" style="46" customWidth="1"/>
    <col min="13631" max="13631" width="10.77734375" style="46" customWidth="1"/>
    <col min="13632" max="13632" width="11.44140625" style="46" customWidth="1"/>
    <col min="13633" max="13633" width="4" style="46" customWidth="1"/>
    <col min="13634" max="13824" width="9.6640625" style="46"/>
    <col min="13825" max="13825" width="6.44140625" style="46" customWidth="1"/>
    <col min="13826" max="13826" width="13.88671875" style="46" customWidth="1"/>
    <col min="13827" max="13827" width="11.88671875" style="46" customWidth="1"/>
    <col min="13828" max="13830" width="9.6640625" style="46"/>
    <col min="13831" max="13831" width="15.44140625" style="46" customWidth="1"/>
    <col min="13832" max="13832" width="16.21875" style="46" customWidth="1"/>
    <col min="13833" max="13844" width="9.6640625" style="46"/>
    <col min="13845" max="13845" width="12" style="46" customWidth="1"/>
    <col min="13846" max="13846" width="12.77734375" style="46" customWidth="1"/>
    <col min="13847" max="13847" width="11.109375" style="46" customWidth="1"/>
    <col min="13848" max="13848" width="12" style="46" customWidth="1"/>
    <col min="13849" max="13849" width="9.6640625" style="46"/>
    <col min="13850" max="13850" width="15.33203125" style="46" customWidth="1"/>
    <col min="13851" max="13851" width="15.21875" style="46" customWidth="1"/>
    <col min="13852" max="13852" width="21.44140625" style="46" customWidth="1"/>
    <col min="13853" max="13868" width="9.6640625" style="46"/>
    <col min="13869" max="13870" width="13.44140625" style="46" customWidth="1"/>
    <col min="13871" max="13871" width="9.6640625" style="46"/>
    <col min="13872" max="13872" width="13.88671875" style="46" customWidth="1"/>
    <col min="13873" max="13873" width="10.6640625" style="46" customWidth="1"/>
    <col min="13874" max="13874" width="17.33203125" style="46" customWidth="1"/>
    <col min="13875" max="13876" width="12.6640625" style="46" customWidth="1"/>
    <col min="13877" max="13877" width="11.21875" style="46" customWidth="1"/>
    <col min="13878" max="13878" width="18.33203125" style="46" customWidth="1"/>
    <col min="13879" max="13879" width="12.88671875" style="46" customWidth="1"/>
    <col min="13880" max="13881" width="13.21875" style="46" customWidth="1"/>
    <col min="13882" max="13882" width="10.88671875" style="46" customWidth="1"/>
    <col min="13883" max="13883" width="11.109375" style="46" customWidth="1"/>
    <col min="13884" max="13884" width="15.21875" style="46" customWidth="1"/>
    <col min="13885" max="13885" width="9.6640625" style="46"/>
    <col min="13886" max="13886" width="11" style="46" customWidth="1"/>
    <col min="13887" max="13887" width="10.77734375" style="46" customWidth="1"/>
    <col min="13888" max="13888" width="11.44140625" style="46" customWidth="1"/>
    <col min="13889" max="13889" width="4" style="46" customWidth="1"/>
    <col min="13890" max="14080" width="9.6640625" style="46"/>
    <col min="14081" max="14081" width="6.44140625" style="46" customWidth="1"/>
    <col min="14082" max="14082" width="13.88671875" style="46" customWidth="1"/>
    <col min="14083" max="14083" width="11.88671875" style="46" customWidth="1"/>
    <col min="14084" max="14086" width="9.6640625" style="46"/>
    <col min="14087" max="14087" width="15.44140625" style="46" customWidth="1"/>
    <col min="14088" max="14088" width="16.21875" style="46" customWidth="1"/>
    <col min="14089" max="14100" width="9.6640625" style="46"/>
    <col min="14101" max="14101" width="12" style="46" customWidth="1"/>
    <col min="14102" max="14102" width="12.77734375" style="46" customWidth="1"/>
    <col min="14103" max="14103" width="11.109375" style="46" customWidth="1"/>
    <col min="14104" max="14104" width="12" style="46" customWidth="1"/>
    <col min="14105" max="14105" width="9.6640625" style="46"/>
    <col min="14106" max="14106" width="15.33203125" style="46" customWidth="1"/>
    <col min="14107" max="14107" width="15.21875" style="46" customWidth="1"/>
    <col min="14108" max="14108" width="21.44140625" style="46" customWidth="1"/>
    <col min="14109" max="14124" width="9.6640625" style="46"/>
    <col min="14125" max="14126" width="13.44140625" style="46" customWidth="1"/>
    <col min="14127" max="14127" width="9.6640625" style="46"/>
    <col min="14128" max="14128" width="13.88671875" style="46" customWidth="1"/>
    <col min="14129" max="14129" width="10.6640625" style="46" customWidth="1"/>
    <col min="14130" max="14130" width="17.33203125" style="46" customWidth="1"/>
    <col min="14131" max="14132" width="12.6640625" style="46" customWidth="1"/>
    <col min="14133" max="14133" width="11.21875" style="46" customWidth="1"/>
    <col min="14134" max="14134" width="18.33203125" style="46" customWidth="1"/>
    <col min="14135" max="14135" width="12.88671875" style="46" customWidth="1"/>
    <col min="14136" max="14137" width="13.21875" style="46" customWidth="1"/>
    <col min="14138" max="14138" width="10.88671875" style="46" customWidth="1"/>
    <col min="14139" max="14139" width="11.109375" style="46" customWidth="1"/>
    <col min="14140" max="14140" width="15.21875" style="46" customWidth="1"/>
    <col min="14141" max="14141" width="9.6640625" style="46"/>
    <col min="14142" max="14142" width="11" style="46" customWidth="1"/>
    <col min="14143" max="14143" width="10.77734375" style="46" customWidth="1"/>
    <col min="14144" max="14144" width="11.44140625" style="46" customWidth="1"/>
    <col min="14145" max="14145" width="4" style="46" customWidth="1"/>
    <col min="14146" max="14336" width="9.6640625" style="46"/>
    <col min="14337" max="14337" width="6.44140625" style="46" customWidth="1"/>
    <col min="14338" max="14338" width="13.88671875" style="46" customWidth="1"/>
    <col min="14339" max="14339" width="11.88671875" style="46" customWidth="1"/>
    <col min="14340" max="14342" width="9.6640625" style="46"/>
    <col min="14343" max="14343" width="15.44140625" style="46" customWidth="1"/>
    <col min="14344" max="14344" width="16.21875" style="46" customWidth="1"/>
    <col min="14345" max="14356" width="9.6640625" style="46"/>
    <col min="14357" max="14357" width="12" style="46" customWidth="1"/>
    <col min="14358" max="14358" width="12.77734375" style="46" customWidth="1"/>
    <col min="14359" max="14359" width="11.109375" style="46" customWidth="1"/>
    <col min="14360" max="14360" width="12" style="46" customWidth="1"/>
    <col min="14361" max="14361" width="9.6640625" style="46"/>
    <col min="14362" max="14362" width="15.33203125" style="46" customWidth="1"/>
    <col min="14363" max="14363" width="15.21875" style="46" customWidth="1"/>
    <col min="14364" max="14364" width="21.44140625" style="46" customWidth="1"/>
    <col min="14365" max="14380" width="9.6640625" style="46"/>
    <col min="14381" max="14382" width="13.44140625" style="46" customWidth="1"/>
    <col min="14383" max="14383" width="9.6640625" style="46"/>
    <col min="14384" max="14384" width="13.88671875" style="46" customWidth="1"/>
    <col min="14385" max="14385" width="10.6640625" style="46" customWidth="1"/>
    <col min="14386" max="14386" width="17.33203125" style="46" customWidth="1"/>
    <col min="14387" max="14388" width="12.6640625" style="46" customWidth="1"/>
    <col min="14389" max="14389" width="11.21875" style="46" customWidth="1"/>
    <col min="14390" max="14390" width="18.33203125" style="46" customWidth="1"/>
    <col min="14391" max="14391" width="12.88671875" style="46" customWidth="1"/>
    <col min="14392" max="14393" width="13.21875" style="46" customWidth="1"/>
    <col min="14394" max="14394" width="10.88671875" style="46" customWidth="1"/>
    <col min="14395" max="14395" width="11.109375" style="46" customWidth="1"/>
    <col min="14396" max="14396" width="15.21875" style="46" customWidth="1"/>
    <col min="14397" max="14397" width="9.6640625" style="46"/>
    <col min="14398" max="14398" width="11" style="46" customWidth="1"/>
    <col min="14399" max="14399" width="10.77734375" style="46" customWidth="1"/>
    <col min="14400" max="14400" width="11.44140625" style="46" customWidth="1"/>
    <col min="14401" max="14401" width="4" style="46" customWidth="1"/>
    <col min="14402" max="14592" width="9.6640625" style="46"/>
    <col min="14593" max="14593" width="6.44140625" style="46" customWidth="1"/>
    <col min="14594" max="14594" width="13.88671875" style="46" customWidth="1"/>
    <col min="14595" max="14595" width="11.88671875" style="46" customWidth="1"/>
    <col min="14596" max="14598" width="9.6640625" style="46"/>
    <col min="14599" max="14599" width="15.44140625" style="46" customWidth="1"/>
    <col min="14600" max="14600" width="16.21875" style="46" customWidth="1"/>
    <col min="14601" max="14612" width="9.6640625" style="46"/>
    <col min="14613" max="14613" width="12" style="46" customWidth="1"/>
    <col min="14614" max="14614" width="12.77734375" style="46" customWidth="1"/>
    <col min="14615" max="14615" width="11.109375" style="46" customWidth="1"/>
    <col min="14616" max="14616" width="12" style="46" customWidth="1"/>
    <col min="14617" max="14617" width="9.6640625" style="46"/>
    <col min="14618" max="14618" width="15.33203125" style="46" customWidth="1"/>
    <col min="14619" max="14619" width="15.21875" style="46" customWidth="1"/>
    <col min="14620" max="14620" width="21.44140625" style="46" customWidth="1"/>
    <col min="14621" max="14636" width="9.6640625" style="46"/>
    <col min="14637" max="14638" width="13.44140625" style="46" customWidth="1"/>
    <col min="14639" max="14639" width="9.6640625" style="46"/>
    <col min="14640" max="14640" width="13.88671875" style="46" customWidth="1"/>
    <col min="14641" max="14641" width="10.6640625" style="46" customWidth="1"/>
    <col min="14642" max="14642" width="17.33203125" style="46" customWidth="1"/>
    <col min="14643" max="14644" width="12.6640625" style="46" customWidth="1"/>
    <col min="14645" max="14645" width="11.21875" style="46" customWidth="1"/>
    <col min="14646" max="14646" width="18.33203125" style="46" customWidth="1"/>
    <col min="14647" max="14647" width="12.88671875" style="46" customWidth="1"/>
    <col min="14648" max="14649" width="13.21875" style="46" customWidth="1"/>
    <col min="14650" max="14650" width="10.88671875" style="46" customWidth="1"/>
    <col min="14651" max="14651" width="11.109375" style="46" customWidth="1"/>
    <col min="14652" max="14652" width="15.21875" style="46" customWidth="1"/>
    <col min="14653" max="14653" width="9.6640625" style="46"/>
    <col min="14654" max="14654" width="11" style="46" customWidth="1"/>
    <col min="14655" max="14655" width="10.77734375" style="46" customWidth="1"/>
    <col min="14656" max="14656" width="11.44140625" style="46" customWidth="1"/>
    <col min="14657" max="14657" width="4" style="46" customWidth="1"/>
    <col min="14658" max="14848" width="9.6640625" style="46"/>
    <col min="14849" max="14849" width="6.44140625" style="46" customWidth="1"/>
    <col min="14850" max="14850" width="13.88671875" style="46" customWidth="1"/>
    <col min="14851" max="14851" width="11.88671875" style="46" customWidth="1"/>
    <col min="14852" max="14854" width="9.6640625" style="46"/>
    <col min="14855" max="14855" width="15.44140625" style="46" customWidth="1"/>
    <col min="14856" max="14856" width="16.21875" style="46" customWidth="1"/>
    <col min="14857" max="14868" width="9.6640625" style="46"/>
    <col min="14869" max="14869" width="12" style="46" customWidth="1"/>
    <col min="14870" max="14870" width="12.77734375" style="46" customWidth="1"/>
    <col min="14871" max="14871" width="11.109375" style="46" customWidth="1"/>
    <col min="14872" max="14872" width="12" style="46" customWidth="1"/>
    <col min="14873" max="14873" width="9.6640625" style="46"/>
    <col min="14874" max="14874" width="15.33203125" style="46" customWidth="1"/>
    <col min="14875" max="14875" width="15.21875" style="46" customWidth="1"/>
    <col min="14876" max="14876" width="21.44140625" style="46" customWidth="1"/>
    <col min="14877" max="14892" width="9.6640625" style="46"/>
    <col min="14893" max="14894" width="13.44140625" style="46" customWidth="1"/>
    <col min="14895" max="14895" width="9.6640625" style="46"/>
    <col min="14896" max="14896" width="13.88671875" style="46" customWidth="1"/>
    <col min="14897" max="14897" width="10.6640625" style="46" customWidth="1"/>
    <col min="14898" max="14898" width="17.33203125" style="46" customWidth="1"/>
    <col min="14899" max="14900" width="12.6640625" style="46" customWidth="1"/>
    <col min="14901" max="14901" width="11.21875" style="46" customWidth="1"/>
    <col min="14902" max="14902" width="18.33203125" style="46" customWidth="1"/>
    <col min="14903" max="14903" width="12.88671875" style="46" customWidth="1"/>
    <col min="14904" max="14905" width="13.21875" style="46" customWidth="1"/>
    <col min="14906" max="14906" width="10.88671875" style="46" customWidth="1"/>
    <col min="14907" max="14907" width="11.109375" style="46" customWidth="1"/>
    <col min="14908" max="14908" width="15.21875" style="46" customWidth="1"/>
    <col min="14909" max="14909" width="9.6640625" style="46"/>
    <col min="14910" max="14910" width="11" style="46" customWidth="1"/>
    <col min="14911" max="14911" width="10.77734375" style="46" customWidth="1"/>
    <col min="14912" max="14912" width="11.44140625" style="46" customWidth="1"/>
    <col min="14913" max="14913" width="4" style="46" customWidth="1"/>
    <col min="14914" max="15104" width="9.6640625" style="46"/>
    <col min="15105" max="15105" width="6.44140625" style="46" customWidth="1"/>
    <col min="15106" max="15106" width="13.88671875" style="46" customWidth="1"/>
    <col min="15107" max="15107" width="11.88671875" style="46" customWidth="1"/>
    <col min="15108" max="15110" width="9.6640625" style="46"/>
    <col min="15111" max="15111" width="15.44140625" style="46" customWidth="1"/>
    <col min="15112" max="15112" width="16.21875" style="46" customWidth="1"/>
    <col min="15113" max="15124" width="9.6640625" style="46"/>
    <col min="15125" max="15125" width="12" style="46" customWidth="1"/>
    <col min="15126" max="15126" width="12.77734375" style="46" customWidth="1"/>
    <col min="15127" max="15127" width="11.109375" style="46" customWidth="1"/>
    <col min="15128" max="15128" width="12" style="46" customWidth="1"/>
    <col min="15129" max="15129" width="9.6640625" style="46"/>
    <col min="15130" max="15130" width="15.33203125" style="46" customWidth="1"/>
    <col min="15131" max="15131" width="15.21875" style="46" customWidth="1"/>
    <col min="15132" max="15132" width="21.44140625" style="46" customWidth="1"/>
    <col min="15133" max="15148" width="9.6640625" style="46"/>
    <col min="15149" max="15150" width="13.44140625" style="46" customWidth="1"/>
    <col min="15151" max="15151" width="9.6640625" style="46"/>
    <col min="15152" max="15152" width="13.88671875" style="46" customWidth="1"/>
    <col min="15153" max="15153" width="10.6640625" style="46" customWidth="1"/>
    <col min="15154" max="15154" width="17.33203125" style="46" customWidth="1"/>
    <col min="15155" max="15156" width="12.6640625" style="46" customWidth="1"/>
    <col min="15157" max="15157" width="11.21875" style="46" customWidth="1"/>
    <col min="15158" max="15158" width="18.33203125" style="46" customWidth="1"/>
    <col min="15159" max="15159" width="12.88671875" style="46" customWidth="1"/>
    <col min="15160" max="15161" width="13.21875" style="46" customWidth="1"/>
    <col min="15162" max="15162" width="10.88671875" style="46" customWidth="1"/>
    <col min="15163" max="15163" width="11.109375" style="46" customWidth="1"/>
    <col min="15164" max="15164" width="15.21875" style="46" customWidth="1"/>
    <col min="15165" max="15165" width="9.6640625" style="46"/>
    <col min="15166" max="15166" width="11" style="46" customWidth="1"/>
    <col min="15167" max="15167" width="10.77734375" style="46" customWidth="1"/>
    <col min="15168" max="15168" width="11.44140625" style="46" customWidth="1"/>
    <col min="15169" max="15169" width="4" style="46" customWidth="1"/>
    <col min="15170" max="15360" width="9.6640625" style="46"/>
    <col min="15361" max="15361" width="6.44140625" style="46" customWidth="1"/>
    <col min="15362" max="15362" width="13.88671875" style="46" customWidth="1"/>
    <col min="15363" max="15363" width="11.88671875" style="46" customWidth="1"/>
    <col min="15364" max="15366" width="9.6640625" style="46"/>
    <col min="15367" max="15367" width="15.44140625" style="46" customWidth="1"/>
    <col min="15368" max="15368" width="16.21875" style="46" customWidth="1"/>
    <col min="15369" max="15380" width="9.6640625" style="46"/>
    <col min="15381" max="15381" width="12" style="46" customWidth="1"/>
    <col min="15382" max="15382" width="12.77734375" style="46" customWidth="1"/>
    <col min="15383" max="15383" width="11.109375" style="46" customWidth="1"/>
    <col min="15384" max="15384" width="12" style="46" customWidth="1"/>
    <col min="15385" max="15385" width="9.6640625" style="46"/>
    <col min="15386" max="15386" width="15.33203125" style="46" customWidth="1"/>
    <col min="15387" max="15387" width="15.21875" style="46" customWidth="1"/>
    <col min="15388" max="15388" width="21.44140625" style="46" customWidth="1"/>
    <col min="15389" max="15404" width="9.6640625" style="46"/>
    <col min="15405" max="15406" width="13.44140625" style="46" customWidth="1"/>
    <col min="15407" max="15407" width="9.6640625" style="46"/>
    <col min="15408" max="15408" width="13.88671875" style="46" customWidth="1"/>
    <col min="15409" max="15409" width="10.6640625" style="46" customWidth="1"/>
    <col min="15410" max="15410" width="17.33203125" style="46" customWidth="1"/>
    <col min="15411" max="15412" width="12.6640625" style="46" customWidth="1"/>
    <col min="15413" max="15413" width="11.21875" style="46" customWidth="1"/>
    <col min="15414" max="15414" width="18.33203125" style="46" customWidth="1"/>
    <col min="15415" max="15415" width="12.88671875" style="46" customWidth="1"/>
    <col min="15416" max="15417" width="13.21875" style="46" customWidth="1"/>
    <col min="15418" max="15418" width="10.88671875" style="46" customWidth="1"/>
    <col min="15419" max="15419" width="11.109375" style="46" customWidth="1"/>
    <col min="15420" max="15420" width="15.21875" style="46" customWidth="1"/>
    <col min="15421" max="15421" width="9.6640625" style="46"/>
    <col min="15422" max="15422" width="11" style="46" customWidth="1"/>
    <col min="15423" max="15423" width="10.77734375" style="46" customWidth="1"/>
    <col min="15424" max="15424" width="11.44140625" style="46" customWidth="1"/>
    <col min="15425" max="15425" width="4" style="46" customWidth="1"/>
    <col min="15426" max="15616" width="9.6640625" style="46"/>
    <col min="15617" max="15617" width="6.44140625" style="46" customWidth="1"/>
    <col min="15618" max="15618" width="13.88671875" style="46" customWidth="1"/>
    <col min="15619" max="15619" width="11.88671875" style="46" customWidth="1"/>
    <col min="15620" max="15622" width="9.6640625" style="46"/>
    <col min="15623" max="15623" width="15.44140625" style="46" customWidth="1"/>
    <col min="15624" max="15624" width="16.21875" style="46" customWidth="1"/>
    <col min="15625" max="15636" width="9.6640625" style="46"/>
    <col min="15637" max="15637" width="12" style="46" customWidth="1"/>
    <col min="15638" max="15638" width="12.77734375" style="46" customWidth="1"/>
    <col min="15639" max="15639" width="11.109375" style="46" customWidth="1"/>
    <col min="15640" max="15640" width="12" style="46" customWidth="1"/>
    <col min="15641" max="15641" width="9.6640625" style="46"/>
    <col min="15642" max="15642" width="15.33203125" style="46" customWidth="1"/>
    <col min="15643" max="15643" width="15.21875" style="46" customWidth="1"/>
    <col min="15644" max="15644" width="21.44140625" style="46" customWidth="1"/>
    <col min="15645" max="15660" width="9.6640625" style="46"/>
    <col min="15661" max="15662" width="13.44140625" style="46" customWidth="1"/>
    <col min="15663" max="15663" width="9.6640625" style="46"/>
    <col min="15664" max="15664" width="13.88671875" style="46" customWidth="1"/>
    <col min="15665" max="15665" width="10.6640625" style="46" customWidth="1"/>
    <col min="15666" max="15666" width="17.33203125" style="46" customWidth="1"/>
    <col min="15667" max="15668" width="12.6640625" style="46" customWidth="1"/>
    <col min="15669" max="15669" width="11.21875" style="46" customWidth="1"/>
    <col min="15670" max="15670" width="18.33203125" style="46" customWidth="1"/>
    <col min="15671" max="15671" width="12.88671875" style="46" customWidth="1"/>
    <col min="15672" max="15673" width="13.21875" style="46" customWidth="1"/>
    <col min="15674" max="15674" width="10.88671875" style="46" customWidth="1"/>
    <col min="15675" max="15675" width="11.109375" style="46" customWidth="1"/>
    <col min="15676" max="15676" width="15.21875" style="46" customWidth="1"/>
    <col min="15677" max="15677" width="9.6640625" style="46"/>
    <col min="15678" max="15678" width="11" style="46" customWidth="1"/>
    <col min="15679" max="15679" width="10.77734375" style="46" customWidth="1"/>
    <col min="15680" max="15680" width="11.44140625" style="46" customWidth="1"/>
    <col min="15681" max="15681" width="4" style="46" customWidth="1"/>
    <col min="15682" max="15872" width="9.6640625" style="46"/>
    <col min="15873" max="15873" width="6.44140625" style="46" customWidth="1"/>
    <col min="15874" max="15874" width="13.88671875" style="46" customWidth="1"/>
    <col min="15875" max="15875" width="11.88671875" style="46" customWidth="1"/>
    <col min="15876" max="15878" width="9.6640625" style="46"/>
    <col min="15879" max="15879" width="15.44140625" style="46" customWidth="1"/>
    <col min="15880" max="15880" width="16.21875" style="46" customWidth="1"/>
    <col min="15881" max="15892" width="9.6640625" style="46"/>
    <col min="15893" max="15893" width="12" style="46" customWidth="1"/>
    <col min="15894" max="15894" width="12.77734375" style="46" customWidth="1"/>
    <col min="15895" max="15895" width="11.109375" style="46" customWidth="1"/>
    <col min="15896" max="15896" width="12" style="46" customWidth="1"/>
    <col min="15897" max="15897" width="9.6640625" style="46"/>
    <col min="15898" max="15898" width="15.33203125" style="46" customWidth="1"/>
    <col min="15899" max="15899" width="15.21875" style="46" customWidth="1"/>
    <col min="15900" max="15900" width="21.44140625" style="46" customWidth="1"/>
    <col min="15901" max="15916" width="9.6640625" style="46"/>
    <col min="15917" max="15918" width="13.44140625" style="46" customWidth="1"/>
    <col min="15919" max="15919" width="9.6640625" style="46"/>
    <col min="15920" max="15920" width="13.88671875" style="46" customWidth="1"/>
    <col min="15921" max="15921" width="10.6640625" style="46" customWidth="1"/>
    <col min="15922" max="15922" width="17.33203125" style="46" customWidth="1"/>
    <col min="15923" max="15924" width="12.6640625" style="46" customWidth="1"/>
    <col min="15925" max="15925" width="11.21875" style="46" customWidth="1"/>
    <col min="15926" max="15926" width="18.33203125" style="46" customWidth="1"/>
    <col min="15927" max="15927" width="12.88671875" style="46" customWidth="1"/>
    <col min="15928" max="15929" width="13.21875" style="46" customWidth="1"/>
    <col min="15930" max="15930" width="10.88671875" style="46" customWidth="1"/>
    <col min="15931" max="15931" width="11.109375" style="46" customWidth="1"/>
    <col min="15932" max="15932" width="15.21875" style="46" customWidth="1"/>
    <col min="15933" max="15933" width="9.6640625" style="46"/>
    <col min="15934" max="15934" width="11" style="46" customWidth="1"/>
    <col min="15935" max="15935" width="10.77734375" style="46" customWidth="1"/>
    <col min="15936" max="15936" width="11.44140625" style="46" customWidth="1"/>
    <col min="15937" max="15937" width="4" style="46" customWidth="1"/>
    <col min="15938" max="16128" width="9.6640625" style="46"/>
    <col min="16129" max="16129" width="6.44140625" style="46" customWidth="1"/>
    <col min="16130" max="16130" width="13.88671875" style="46" customWidth="1"/>
    <col min="16131" max="16131" width="11.88671875" style="46" customWidth="1"/>
    <col min="16132" max="16134" width="9.6640625" style="46"/>
    <col min="16135" max="16135" width="15.44140625" style="46" customWidth="1"/>
    <col min="16136" max="16136" width="16.21875" style="46" customWidth="1"/>
    <col min="16137" max="16148" width="9.6640625" style="46"/>
    <col min="16149" max="16149" width="12" style="46" customWidth="1"/>
    <col min="16150" max="16150" width="12.77734375" style="46" customWidth="1"/>
    <col min="16151" max="16151" width="11.109375" style="46" customWidth="1"/>
    <col min="16152" max="16152" width="12" style="46" customWidth="1"/>
    <col min="16153" max="16153" width="9.6640625" style="46"/>
    <col min="16154" max="16154" width="15.33203125" style="46" customWidth="1"/>
    <col min="16155" max="16155" width="15.21875" style="46" customWidth="1"/>
    <col min="16156" max="16156" width="21.44140625" style="46" customWidth="1"/>
    <col min="16157" max="16172" width="9.6640625" style="46"/>
    <col min="16173" max="16174" width="13.44140625" style="46" customWidth="1"/>
    <col min="16175" max="16175" width="9.6640625" style="46"/>
    <col min="16176" max="16176" width="13.88671875" style="46" customWidth="1"/>
    <col min="16177" max="16177" width="10.6640625" style="46" customWidth="1"/>
    <col min="16178" max="16178" width="17.33203125" style="46" customWidth="1"/>
    <col min="16179" max="16180" width="12.6640625" style="46" customWidth="1"/>
    <col min="16181" max="16181" width="11.21875" style="46" customWidth="1"/>
    <col min="16182" max="16182" width="18.33203125" style="46" customWidth="1"/>
    <col min="16183" max="16183" width="12.88671875" style="46" customWidth="1"/>
    <col min="16184" max="16185" width="13.21875" style="46" customWidth="1"/>
    <col min="16186" max="16186" width="10.88671875" style="46" customWidth="1"/>
    <col min="16187" max="16187" width="11.109375" style="46" customWidth="1"/>
    <col min="16188" max="16188" width="15.21875" style="46" customWidth="1"/>
    <col min="16189" max="16189" width="9.6640625" style="46"/>
    <col min="16190" max="16190" width="11" style="46" customWidth="1"/>
    <col min="16191" max="16191" width="10.77734375" style="46" customWidth="1"/>
    <col min="16192" max="16192" width="11.44140625" style="46" customWidth="1"/>
    <col min="16193" max="16193" width="4" style="46" customWidth="1"/>
    <col min="16194" max="16384" width="9.6640625" style="46"/>
  </cols>
  <sheetData>
    <row r="1" spans="1:80" ht="13.2" x14ac:dyDescent="0.2">
      <c r="A1" s="45" t="s">
        <v>180</v>
      </c>
    </row>
    <row r="2" spans="1:80" x14ac:dyDescent="0.2">
      <c r="C2" s="48" t="s">
        <v>181</v>
      </c>
      <c r="G2" s="48"/>
    </row>
    <row r="3" spans="1:80" s="47" customFormat="1" x14ac:dyDescent="0.2">
      <c r="A3" s="49"/>
      <c r="B3" s="50" t="s">
        <v>182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</row>
    <row r="4" spans="1:80" s="47" customFormat="1" x14ac:dyDescent="0.2">
      <c r="A4" s="49"/>
      <c r="B4" s="53" t="s">
        <v>183</v>
      </c>
      <c r="C4" s="51" t="s">
        <v>79</v>
      </c>
      <c r="D4" s="51" t="s">
        <v>79</v>
      </c>
      <c r="E4" s="51" t="s">
        <v>79</v>
      </c>
      <c r="F4" s="51" t="s">
        <v>79</v>
      </c>
      <c r="G4" s="51" t="s">
        <v>79</v>
      </c>
      <c r="H4" s="51" t="s">
        <v>79</v>
      </c>
      <c r="I4" s="51" t="s">
        <v>79</v>
      </c>
      <c r="J4" s="51" t="s">
        <v>184</v>
      </c>
      <c r="K4" s="51" t="s">
        <v>79</v>
      </c>
      <c r="L4" s="51" t="s">
        <v>184</v>
      </c>
      <c r="M4" s="51" t="s">
        <v>79</v>
      </c>
      <c r="N4" s="51" t="s">
        <v>79</v>
      </c>
      <c r="O4" s="51" t="s">
        <v>79</v>
      </c>
      <c r="P4" s="51" t="s">
        <v>79</v>
      </c>
      <c r="Q4" s="51" t="s">
        <v>79</v>
      </c>
      <c r="R4" s="51" t="s">
        <v>79</v>
      </c>
      <c r="S4" s="51" t="s">
        <v>79</v>
      </c>
      <c r="T4" s="51" t="s">
        <v>79</v>
      </c>
      <c r="U4" s="51" t="s">
        <v>79</v>
      </c>
      <c r="V4" s="51" t="s">
        <v>79</v>
      </c>
      <c r="W4" s="51" t="s">
        <v>79</v>
      </c>
      <c r="X4" s="51" t="s">
        <v>79</v>
      </c>
      <c r="Y4" s="51" t="s">
        <v>79</v>
      </c>
      <c r="Z4" s="51" t="s">
        <v>79</v>
      </c>
      <c r="AA4" s="51" t="s">
        <v>79</v>
      </c>
      <c r="AB4" s="51" t="s">
        <v>79</v>
      </c>
      <c r="AC4" s="51" t="s">
        <v>79</v>
      </c>
      <c r="AD4" s="51" t="s">
        <v>79</v>
      </c>
      <c r="AE4" s="51" t="s">
        <v>79</v>
      </c>
      <c r="AF4" s="51" t="s">
        <v>79</v>
      </c>
      <c r="AG4" s="51" t="s">
        <v>79</v>
      </c>
      <c r="AH4" s="51" t="s">
        <v>79</v>
      </c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</row>
    <row r="5" spans="1:80" s="47" customFormat="1" x14ac:dyDescent="0.2">
      <c r="A5" s="49"/>
      <c r="B5" s="50" t="s">
        <v>185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0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</row>
    <row r="6" spans="1:80" s="61" customFormat="1" ht="29.4" customHeight="1" x14ac:dyDescent="0.2">
      <c r="A6" s="57"/>
      <c r="B6" s="72" t="s">
        <v>187</v>
      </c>
      <c r="C6" s="71" t="s">
        <v>38</v>
      </c>
      <c r="D6" s="71" t="s">
        <v>233</v>
      </c>
      <c r="E6" s="71" t="s">
        <v>52</v>
      </c>
      <c r="F6" s="71" t="s">
        <v>39</v>
      </c>
      <c r="G6" s="71" t="s">
        <v>40</v>
      </c>
      <c r="H6" s="71" t="s">
        <v>41</v>
      </c>
      <c r="I6" s="71" t="s">
        <v>234</v>
      </c>
      <c r="J6" s="71" t="s">
        <v>152</v>
      </c>
      <c r="K6" s="71" t="s">
        <v>46</v>
      </c>
      <c r="L6" s="71" t="s">
        <v>96</v>
      </c>
      <c r="M6" s="71" t="s">
        <v>95</v>
      </c>
      <c r="N6" s="71" t="s">
        <v>78</v>
      </c>
      <c r="O6" s="71" t="s">
        <v>43</v>
      </c>
      <c r="P6" s="71" t="s">
        <v>28</v>
      </c>
      <c r="Q6" s="71" t="s">
        <v>44</v>
      </c>
      <c r="R6" s="71" t="s">
        <v>243</v>
      </c>
      <c r="S6" s="71" t="s">
        <v>57</v>
      </c>
      <c r="T6" s="71" t="s">
        <v>56</v>
      </c>
      <c r="U6" s="71" t="s">
        <v>45</v>
      </c>
      <c r="V6" s="71" t="s">
        <v>36</v>
      </c>
      <c r="W6" s="71" t="s">
        <v>47</v>
      </c>
      <c r="X6" s="71" t="s">
        <v>173</v>
      </c>
      <c r="Y6" s="71" t="s">
        <v>82</v>
      </c>
      <c r="Z6" s="71" t="s">
        <v>170</v>
      </c>
      <c r="AA6" s="71" t="s">
        <v>174</v>
      </c>
      <c r="AB6" s="71" t="s">
        <v>48</v>
      </c>
      <c r="AC6" s="71" t="s">
        <v>49</v>
      </c>
      <c r="AD6" s="71" t="s">
        <v>175</v>
      </c>
      <c r="AE6" s="71" t="s">
        <v>50</v>
      </c>
      <c r="AF6" s="71" t="s">
        <v>11</v>
      </c>
      <c r="AG6" s="71" t="s">
        <v>37</v>
      </c>
      <c r="AH6" s="71" t="s">
        <v>51</v>
      </c>
      <c r="AI6" s="50"/>
      <c r="AJ6" s="50"/>
      <c r="AK6" s="50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9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</row>
    <row r="7" spans="1:80" x14ac:dyDescent="0.2">
      <c r="A7" s="62" t="s">
        <v>16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</row>
    <row r="8" spans="1:80" x14ac:dyDescent="0.2">
      <c r="A8" s="65" t="s">
        <v>101</v>
      </c>
      <c r="B8" s="63"/>
      <c r="C8" s="66"/>
      <c r="D8" s="66" t="s">
        <v>179</v>
      </c>
      <c r="E8" s="66" t="s">
        <v>179</v>
      </c>
      <c r="F8" s="66" t="s">
        <v>179</v>
      </c>
      <c r="G8" s="66" t="s">
        <v>179</v>
      </c>
      <c r="H8" s="66" t="s">
        <v>179</v>
      </c>
      <c r="I8" s="66" t="s">
        <v>179</v>
      </c>
      <c r="J8" s="66" t="s">
        <v>179</v>
      </c>
      <c r="K8" s="66" t="s">
        <v>179</v>
      </c>
      <c r="L8" s="66" t="s">
        <v>179</v>
      </c>
      <c r="M8" s="66" t="s">
        <v>179</v>
      </c>
      <c r="N8" s="66" t="s">
        <v>179</v>
      </c>
      <c r="O8" s="66" t="s">
        <v>179</v>
      </c>
      <c r="P8" s="66" t="s">
        <v>179</v>
      </c>
      <c r="Q8" s="66" t="s">
        <v>179</v>
      </c>
      <c r="R8" s="66" t="s">
        <v>179</v>
      </c>
      <c r="S8" s="66" t="s">
        <v>179</v>
      </c>
      <c r="T8" s="66" t="s">
        <v>179</v>
      </c>
      <c r="U8" s="66" t="s">
        <v>179</v>
      </c>
      <c r="V8" s="66" t="s">
        <v>179</v>
      </c>
      <c r="W8" s="66" t="s">
        <v>179</v>
      </c>
      <c r="X8" s="66" t="s">
        <v>179</v>
      </c>
      <c r="Y8" s="66">
        <v>0.76190093055386243</v>
      </c>
      <c r="Z8" s="66" t="s">
        <v>179</v>
      </c>
      <c r="AA8" s="66">
        <v>0.15238148843026891</v>
      </c>
      <c r="AB8" s="66" t="s">
        <v>179</v>
      </c>
      <c r="AC8" s="66" t="s">
        <v>179</v>
      </c>
      <c r="AD8" s="66" t="s">
        <v>179</v>
      </c>
      <c r="AE8" s="66" t="s">
        <v>179</v>
      </c>
      <c r="AF8" s="66" t="s">
        <v>179</v>
      </c>
      <c r="AG8" s="66" t="s">
        <v>179</v>
      </c>
      <c r="AH8" s="66" t="s">
        <v>179</v>
      </c>
      <c r="AI8" s="66"/>
      <c r="AJ8" s="66"/>
      <c r="AK8" s="66"/>
      <c r="AL8" s="66"/>
      <c r="AM8" s="66"/>
      <c r="AN8" s="66"/>
      <c r="AO8" s="66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</row>
    <row r="9" spans="1:80" x14ac:dyDescent="0.2">
      <c r="A9" s="65" t="s">
        <v>100</v>
      </c>
      <c r="B9" s="63"/>
      <c r="C9" s="66" t="s">
        <v>179</v>
      </c>
      <c r="D9" s="66" t="s">
        <v>179</v>
      </c>
      <c r="E9" s="66" t="s">
        <v>179</v>
      </c>
      <c r="F9" s="66" t="s">
        <v>179</v>
      </c>
      <c r="G9" s="66" t="s">
        <v>179</v>
      </c>
      <c r="H9" s="66" t="s">
        <v>179</v>
      </c>
      <c r="I9" s="66" t="s">
        <v>179</v>
      </c>
      <c r="J9" s="66" t="s">
        <v>179</v>
      </c>
      <c r="K9" s="66" t="s">
        <v>179</v>
      </c>
      <c r="L9" s="66" t="s">
        <v>179</v>
      </c>
      <c r="M9" s="66" t="s">
        <v>179</v>
      </c>
      <c r="N9" s="66" t="s">
        <v>179</v>
      </c>
      <c r="O9" s="66" t="s">
        <v>179</v>
      </c>
      <c r="P9" s="66" t="s">
        <v>179</v>
      </c>
      <c r="Q9" s="66" t="s">
        <v>179</v>
      </c>
      <c r="R9" s="66" t="s">
        <v>179</v>
      </c>
      <c r="S9" s="66" t="s">
        <v>179</v>
      </c>
      <c r="T9" s="66" t="s">
        <v>179</v>
      </c>
      <c r="U9" s="66" t="s">
        <v>179</v>
      </c>
      <c r="V9" s="66" t="s">
        <v>179</v>
      </c>
      <c r="W9" s="66" t="s">
        <v>179</v>
      </c>
      <c r="X9" s="66">
        <v>0.12509448223733938</v>
      </c>
      <c r="Y9" s="66">
        <v>0.80562881591253677</v>
      </c>
      <c r="Z9" s="66" t="s">
        <v>179</v>
      </c>
      <c r="AA9" s="66">
        <v>0.21661910706854526</v>
      </c>
      <c r="AB9" s="66" t="s">
        <v>179</v>
      </c>
      <c r="AC9" s="66" t="s">
        <v>179</v>
      </c>
      <c r="AD9" s="66" t="s">
        <v>179</v>
      </c>
      <c r="AE9" s="66" t="s">
        <v>179</v>
      </c>
      <c r="AF9" s="66" t="s">
        <v>179</v>
      </c>
      <c r="AG9" s="66" t="s">
        <v>179</v>
      </c>
      <c r="AH9" s="66" t="s">
        <v>179</v>
      </c>
      <c r="AI9" s="66"/>
      <c r="AJ9" s="66"/>
      <c r="AK9" s="66"/>
      <c r="AL9" s="66"/>
      <c r="AM9" s="66"/>
      <c r="AN9" s="66"/>
      <c r="AO9" s="66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</row>
    <row r="10" spans="1:80" x14ac:dyDescent="0.2">
      <c r="A10" s="65" t="s">
        <v>103</v>
      </c>
      <c r="B10" s="63"/>
      <c r="C10" s="66" t="s">
        <v>179</v>
      </c>
      <c r="D10" s="66">
        <v>2.6153846153846153E-3</v>
      </c>
      <c r="E10" s="66">
        <v>3.1746031746031746E-3</v>
      </c>
      <c r="F10" s="66" t="s">
        <v>179</v>
      </c>
      <c r="G10" s="66" t="s">
        <v>179</v>
      </c>
      <c r="H10" s="66" t="s">
        <v>179</v>
      </c>
      <c r="I10" s="66" t="s">
        <v>179</v>
      </c>
      <c r="J10" s="66" t="s">
        <v>179</v>
      </c>
      <c r="K10" s="66" t="s">
        <v>179</v>
      </c>
      <c r="L10" s="66">
        <v>2</v>
      </c>
      <c r="M10" s="66" t="s">
        <v>179</v>
      </c>
      <c r="N10" s="66">
        <v>0.02</v>
      </c>
      <c r="O10" s="66" t="s">
        <v>179</v>
      </c>
      <c r="P10" s="66">
        <v>0.62766195920197265</v>
      </c>
      <c r="Q10" s="66">
        <v>2.1945945945945945E-2</v>
      </c>
      <c r="R10" s="66" t="s">
        <v>179</v>
      </c>
      <c r="S10" s="66" t="s">
        <v>179</v>
      </c>
      <c r="T10" s="66" t="s">
        <v>179</v>
      </c>
      <c r="U10" s="66" t="s">
        <v>179</v>
      </c>
      <c r="V10" s="66" t="s">
        <v>179</v>
      </c>
      <c r="W10" s="66" t="s">
        <v>179</v>
      </c>
      <c r="X10" s="66">
        <v>0.15789473684210525</v>
      </c>
      <c r="Y10" s="66">
        <v>0.24742268041237114</v>
      </c>
      <c r="Z10" s="66" t="s">
        <v>179</v>
      </c>
      <c r="AA10" s="66">
        <v>6.2857142857142861E-2</v>
      </c>
      <c r="AB10" s="66" t="s">
        <v>179</v>
      </c>
      <c r="AC10" s="66" t="s">
        <v>179</v>
      </c>
      <c r="AD10" s="66" t="s">
        <v>179</v>
      </c>
      <c r="AE10" s="66" t="s">
        <v>179</v>
      </c>
      <c r="AF10" s="66" t="s">
        <v>179</v>
      </c>
      <c r="AG10" s="66" t="s">
        <v>179</v>
      </c>
      <c r="AH10" s="66" t="s">
        <v>179</v>
      </c>
      <c r="AI10" s="66"/>
      <c r="AJ10" s="66"/>
      <c r="AK10" s="66"/>
      <c r="AL10" s="66"/>
      <c r="AM10" s="66"/>
      <c r="AN10" s="66"/>
      <c r="AO10" s="66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</row>
    <row r="11" spans="1:80" x14ac:dyDescent="0.2">
      <c r="A11" s="65" t="s">
        <v>104</v>
      </c>
      <c r="B11" s="63"/>
      <c r="C11" s="66" t="s">
        <v>179</v>
      </c>
      <c r="D11" s="66">
        <v>2.6165167620605069E-3</v>
      </c>
      <c r="E11" s="66">
        <v>2.0915640250987683E-3</v>
      </c>
      <c r="F11" s="66" t="s">
        <v>179</v>
      </c>
      <c r="G11" s="66" t="s">
        <v>179</v>
      </c>
      <c r="H11" s="66" t="s">
        <v>179</v>
      </c>
      <c r="I11" s="66" t="s">
        <v>179</v>
      </c>
      <c r="J11" s="66" t="s">
        <v>179</v>
      </c>
      <c r="K11" s="66" t="s">
        <v>179</v>
      </c>
      <c r="L11" s="66">
        <v>2</v>
      </c>
      <c r="M11" s="66" t="s">
        <v>179</v>
      </c>
      <c r="N11" s="66" t="s">
        <v>179</v>
      </c>
      <c r="O11" s="66" t="s">
        <v>179</v>
      </c>
      <c r="P11" s="66">
        <v>0.47072668431891734</v>
      </c>
      <c r="Q11" s="66">
        <v>1.7334360554699536E-2</v>
      </c>
      <c r="R11" s="66" t="s">
        <v>179</v>
      </c>
      <c r="S11" s="66" t="s">
        <v>179</v>
      </c>
      <c r="T11" s="66">
        <v>1.5686274509803921E-2</v>
      </c>
      <c r="U11" s="66" t="s">
        <v>179</v>
      </c>
      <c r="V11" s="66" t="s">
        <v>179</v>
      </c>
      <c r="W11" s="66" t="s">
        <v>179</v>
      </c>
      <c r="X11" s="66" t="s">
        <v>179</v>
      </c>
      <c r="Y11" s="66">
        <v>0.30403172504957038</v>
      </c>
      <c r="Z11" s="66" t="s">
        <v>179</v>
      </c>
      <c r="AA11" s="66">
        <v>6.2745098039215685E-2</v>
      </c>
      <c r="AB11" s="66" t="s">
        <v>179</v>
      </c>
      <c r="AC11" s="66" t="s">
        <v>179</v>
      </c>
      <c r="AD11" s="66" t="s">
        <v>179</v>
      </c>
      <c r="AE11" s="66" t="s">
        <v>179</v>
      </c>
      <c r="AF11" s="66" t="s">
        <v>179</v>
      </c>
      <c r="AG11" s="66" t="s">
        <v>179</v>
      </c>
      <c r="AH11" s="66" t="s">
        <v>179</v>
      </c>
      <c r="AI11" s="66"/>
      <c r="AJ11" s="66"/>
      <c r="AK11" s="66"/>
      <c r="AL11" s="66"/>
      <c r="AM11" s="66"/>
      <c r="AN11" s="66"/>
      <c r="AO11" s="66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</row>
    <row r="12" spans="1:80" x14ac:dyDescent="0.2">
      <c r="A12" s="65" t="s">
        <v>92</v>
      </c>
      <c r="B12" s="63"/>
      <c r="C12" s="66" t="s">
        <v>179</v>
      </c>
      <c r="D12" s="66">
        <v>3.019607843137255E-3</v>
      </c>
      <c r="E12" s="66">
        <v>2.0069565217391305E-3</v>
      </c>
      <c r="F12" s="66" t="s">
        <v>179</v>
      </c>
      <c r="G12" s="66" t="s">
        <v>179</v>
      </c>
      <c r="H12" s="66" t="s">
        <v>179</v>
      </c>
      <c r="I12" s="66" t="s">
        <v>179</v>
      </c>
      <c r="J12" s="66" t="s">
        <v>179</v>
      </c>
      <c r="K12" s="66" t="s">
        <v>179</v>
      </c>
      <c r="L12" s="66">
        <v>1.6514285714285715</v>
      </c>
      <c r="M12" s="66" t="s">
        <v>179</v>
      </c>
      <c r="N12" s="66">
        <v>2.1149999999999999E-2</v>
      </c>
      <c r="O12" s="66" t="s">
        <v>179</v>
      </c>
      <c r="P12" s="66" t="s">
        <v>179</v>
      </c>
      <c r="Q12" s="66">
        <v>1.8100840336134454E-2</v>
      </c>
      <c r="R12" s="66" t="s">
        <v>179</v>
      </c>
      <c r="S12" s="66" t="s">
        <v>179</v>
      </c>
      <c r="T12" s="66">
        <v>3.5714285714285712E-2</v>
      </c>
      <c r="U12" s="66" t="s">
        <v>179</v>
      </c>
      <c r="V12" s="66">
        <v>1.3664596273291925E-2</v>
      </c>
      <c r="W12" s="66" t="s">
        <v>179</v>
      </c>
      <c r="X12" s="66">
        <v>0.26944444444444443</v>
      </c>
      <c r="Y12" s="66">
        <v>0.60575000000000001</v>
      </c>
      <c r="Z12" s="66" t="s">
        <v>179</v>
      </c>
      <c r="AA12" s="66">
        <v>0.18109118086696563</v>
      </c>
      <c r="AB12" s="66" t="s">
        <v>179</v>
      </c>
      <c r="AC12" s="66" t="s">
        <v>179</v>
      </c>
      <c r="AD12" s="66" t="s">
        <v>179</v>
      </c>
      <c r="AE12" s="66" t="s">
        <v>179</v>
      </c>
      <c r="AF12" s="66" t="s">
        <v>179</v>
      </c>
      <c r="AG12" s="66" t="s">
        <v>179</v>
      </c>
      <c r="AH12" s="66" t="s">
        <v>179</v>
      </c>
      <c r="AI12" s="66"/>
      <c r="AJ12" s="66"/>
      <c r="AK12" s="66"/>
      <c r="AL12" s="66"/>
      <c r="AM12" s="66"/>
      <c r="AN12" s="66"/>
      <c r="AO12" s="66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</row>
    <row r="13" spans="1:80" x14ac:dyDescent="0.2">
      <c r="A13" s="65" t="s">
        <v>166</v>
      </c>
      <c r="B13" s="63"/>
      <c r="C13" s="66" t="s">
        <v>179</v>
      </c>
      <c r="D13" s="66" t="s">
        <v>179</v>
      </c>
      <c r="E13" s="66">
        <v>2.513081619109844E-3</v>
      </c>
      <c r="F13" s="66" t="s">
        <v>179</v>
      </c>
      <c r="G13" s="66" t="s">
        <v>179</v>
      </c>
      <c r="H13" s="66" t="s">
        <v>179</v>
      </c>
      <c r="I13" s="66">
        <v>4.9528347250730213E-3</v>
      </c>
      <c r="J13" s="66" t="s">
        <v>179</v>
      </c>
      <c r="K13" s="66" t="s">
        <v>179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  <c r="S13" s="66" t="s">
        <v>179</v>
      </c>
      <c r="T13" s="66" t="s">
        <v>179</v>
      </c>
      <c r="U13" s="66" t="s">
        <v>179</v>
      </c>
      <c r="V13" s="66" t="s">
        <v>179</v>
      </c>
      <c r="W13" s="66" t="s">
        <v>179</v>
      </c>
      <c r="X13" s="66" t="s">
        <v>179</v>
      </c>
      <c r="Y13" s="66" t="s">
        <v>179</v>
      </c>
      <c r="Z13" s="66" t="s">
        <v>179</v>
      </c>
      <c r="AA13" s="66" t="s">
        <v>179</v>
      </c>
      <c r="AB13" s="66" t="s">
        <v>179</v>
      </c>
      <c r="AC13" s="66" t="s">
        <v>179</v>
      </c>
      <c r="AD13" s="66" t="s">
        <v>179</v>
      </c>
      <c r="AE13" s="66" t="s">
        <v>179</v>
      </c>
      <c r="AF13" s="66" t="s">
        <v>179</v>
      </c>
      <c r="AG13" s="66" t="s">
        <v>179</v>
      </c>
      <c r="AH13" s="66" t="s">
        <v>179</v>
      </c>
      <c r="AI13" s="66"/>
      <c r="AJ13" s="66"/>
      <c r="AK13" s="66"/>
      <c r="AL13" s="66"/>
      <c r="AM13" s="66"/>
      <c r="AN13" s="66"/>
      <c r="AO13" s="66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</row>
    <row r="14" spans="1:80" x14ac:dyDescent="0.2">
      <c r="A14" s="65" t="s">
        <v>145</v>
      </c>
      <c r="B14" s="63"/>
      <c r="C14" s="66" t="s">
        <v>179</v>
      </c>
      <c r="D14" s="66">
        <v>1.7404622667780562E-3</v>
      </c>
      <c r="E14" s="66">
        <v>2.2370472387321463E-3</v>
      </c>
      <c r="F14" s="66">
        <v>1.2917512456172725E-2</v>
      </c>
      <c r="G14" s="66">
        <v>1.7884792536406577E-3</v>
      </c>
      <c r="H14" s="66">
        <v>2.4627306757732973E-3</v>
      </c>
      <c r="I14" s="66">
        <v>3.5677679213408251E-3</v>
      </c>
      <c r="J14" s="66" t="s">
        <v>179</v>
      </c>
      <c r="K14" s="66">
        <v>3.1382995009338354E-3</v>
      </c>
      <c r="L14" s="66" t="s">
        <v>179</v>
      </c>
      <c r="M14" s="66">
        <v>4.3476217334085354E-2</v>
      </c>
      <c r="N14" s="66">
        <v>1.5649452269170579E-2</v>
      </c>
      <c r="O14" s="66" t="s">
        <v>179</v>
      </c>
      <c r="P14" s="66" t="s">
        <v>179</v>
      </c>
      <c r="Q14" s="66" t="s">
        <v>179</v>
      </c>
      <c r="R14" s="66" t="s">
        <v>179</v>
      </c>
      <c r="S14" s="66" t="s">
        <v>179</v>
      </c>
      <c r="T14" s="66">
        <v>1.4408176722716782E-2</v>
      </c>
      <c r="U14" s="66">
        <v>7.2878970647366301E-2</v>
      </c>
      <c r="V14" s="66" t="s">
        <v>179</v>
      </c>
      <c r="W14" s="66">
        <v>4.7474116851360494E-3</v>
      </c>
      <c r="X14" s="66">
        <v>8.501838235294118E-2</v>
      </c>
      <c r="Y14" s="66">
        <v>0.14190821256038647</v>
      </c>
      <c r="Z14" s="66">
        <v>0.25228880565959216</v>
      </c>
      <c r="AA14" s="66" t="s">
        <v>179</v>
      </c>
      <c r="AB14" s="66" t="s">
        <v>179</v>
      </c>
      <c r="AC14" s="66">
        <v>2.1278564159496714E-2</v>
      </c>
      <c r="AD14" s="66">
        <v>4.7537227949599081E-2</v>
      </c>
      <c r="AE14" s="66" t="s">
        <v>179</v>
      </c>
      <c r="AF14" s="66" t="s">
        <v>179</v>
      </c>
      <c r="AG14" s="66">
        <v>8.499824745881528E-3</v>
      </c>
      <c r="AH14" s="66">
        <v>1.0312510312510313E-2</v>
      </c>
      <c r="AI14" s="66"/>
      <c r="AJ14" s="66"/>
      <c r="AK14" s="66"/>
      <c r="AL14" s="66"/>
      <c r="AM14" s="66"/>
      <c r="AN14" s="66"/>
      <c r="AO14" s="66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</row>
    <row r="15" spans="1:80" x14ac:dyDescent="0.2">
      <c r="A15" s="65" t="s">
        <v>144</v>
      </c>
      <c r="B15" s="70"/>
      <c r="C15" s="66" t="s">
        <v>179</v>
      </c>
      <c r="D15" s="66" t="s">
        <v>179</v>
      </c>
      <c r="E15" s="66">
        <v>1.7835856950266778E-3</v>
      </c>
      <c r="F15" s="66" t="s">
        <v>179</v>
      </c>
      <c r="G15" s="66" t="s">
        <v>179</v>
      </c>
      <c r="H15" s="66" t="s">
        <v>179</v>
      </c>
      <c r="I15" s="66" t="s">
        <v>179</v>
      </c>
      <c r="J15" s="66" t="s">
        <v>179</v>
      </c>
      <c r="K15" s="66" t="s">
        <v>179</v>
      </c>
      <c r="L15" s="66" t="s">
        <v>179</v>
      </c>
      <c r="M15" s="66" t="s">
        <v>179</v>
      </c>
      <c r="N15" s="66" t="s">
        <v>179</v>
      </c>
      <c r="O15" s="66" t="s">
        <v>179</v>
      </c>
      <c r="P15" s="66" t="s">
        <v>179</v>
      </c>
      <c r="Q15" s="66">
        <v>8.5276240587861749E-3</v>
      </c>
      <c r="R15" s="66" t="s">
        <v>179</v>
      </c>
      <c r="S15" s="66" t="s">
        <v>179</v>
      </c>
      <c r="T15" s="66" t="s">
        <v>179</v>
      </c>
      <c r="U15" s="66" t="s">
        <v>179</v>
      </c>
      <c r="V15" s="66" t="s">
        <v>179</v>
      </c>
      <c r="W15" s="66" t="s">
        <v>179</v>
      </c>
      <c r="X15" s="66">
        <v>7.0306531703590525E-2</v>
      </c>
      <c r="Y15" s="66" t="s">
        <v>179</v>
      </c>
      <c r="Z15" s="66" t="s">
        <v>179</v>
      </c>
      <c r="AA15" s="66" t="s">
        <v>179</v>
      </c>
      <c r="AB15" s="66" t="s">
        <v>179</v>
      </c>
      <c r="AC15" s="66" t="s">
        <v>179</v>
      </c>
      <c r="AD15" s="66" t="s">
        <v>179</v>
      </c>
      <c r="AE15" s="66" t="s">
        <v>179</v>
      </c>
      <c r="AF15" s="66" t="s">
        <v>179</v>
      </c>
      <c r="AG15" s="66" t="s">
        <v>179</v>
      </c>
      <c r="AH15" s="66" t="s">
        <v>179</v>
      </c>
      <c r="AI15" s="66"/>
      <c r="AJ15" s="66"/>
      <c r="AK15" s="66"/>
      <c r="AL15" s="66"/>
      <c r="AM15" s="66"/>
      <c r="AN15" s="66"/>
      <c r="AO15" s="66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</row>
    <row r="16" spans="1:80" x14ac:dyDescent="0.2">
      <c r="A16" s="65" t="s">
        <v>189</v>
      </c>
      <c r="B16" s="64"/>
      <c r="C16" s="66" t="s">
        <v>179</v>
      </c>
      <c r="D16" s="66" t="s">
        <v>179</v>
      </c>
      <c r="E16" s="66">
        <v>1.8500912466005016E-3</v>
      </c>
      <c r="F16" s="66" t="s">
        <v>179</v>
      </c>
      <c r="G16" s="66" t="s">
        <v>179</v>
      </c>
      <c r="H16" s="66" t="s">
        <v>179</v>
      </c>
      <c r="I16" s="66" t="s">
        <v>179</v>
      </c>
      <c r="J16" s="66" t="s">
        <v>179</v>
      </c>
      <c r="K16" s="66" t="s">
        <v>179</v>
      </c>
      <c r="L16" s="66" t="s">
        <v>179</v>
      </c>
      <c r="M16" s="66" t="s">
        <v>179</v>
      </c>
      <c r="N16" s="66" t="s">
        <v>179</v>
      </c>
      <c r="O16" s="66" t="s">
        <v>179</v>
      </c>
      <c r="P16" s="66" t="s">
        <v>179</v>
      </c>
      <c r="Q16" s="66">
        <v>8.3241183667564864E-3</v>
      </c>
      <c r="R16" s="66" t="s">
        <v>179</v>
      </c>
      <c r="S16" s="66" t="s">
        <v>179</v>
      </c>
      <c r="T16" s="66" t="s">
        <v>179</v>
      </c>
      <c r="U16" s="66" t="s">
        <v>179</v>
      </c>
      <c r="V16" s="66" t="s">
        <v>179</v>
      </c>
      <c r="W16" s="66" t="s">
        <v>179</v>
      </c>
      <c r="X16" s="66">
        <v>6.5766033254156767E-2</v>
      </c>
      <c r="Y16" s="66" t="s">
        <v>179</v>
      </c>
      <c r="Z16" s="66" t="s">
        <v>179</v>
      </c>
      <c r="AA16" s="66" t="s">
        <v>179</v>
      </c>
      <c r="AB16" s="66" t="s">
        <v>179</v>
      </c>
      <c r="AC16" s="66" t="s">
        <v>179</v>
      </c>
      <c r="AD16" s="66" t="s">
        <v>179</v>
      </c>
      <c r="AE16" s="66" t="s">
        <v>179</v>
      </c>
      <c r="AF16" s="66" t="s">
        <v>179</v>
      </c>
      <c r="AG16" s="66" t="s">
        <v>179</v>
      </c>
      <c r="AH16" s="66" t="s">
        <v>179</v>
      </c>
      <c r="AI16" s="66"/>
      <c r="AJ16" s="66"/>
      <c r="AK16" s="66"/>
      <c r="AL16" s="66"/>
      <c r="AM16" s="66"/>
      <c r="AN16" s="66"/>
      <c r="AO16" s="66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7"/>
      <c r="BK16" s="67"/>
      <c r="BL16" s="67"/>
      <c r="BM16" s="67"/>
      <c r="BN16" s="64"/>
      <c r="BO16" s="64"/>
      <c r="BP16" s="64"/>
    </row>
    <row r="17" spans="1:68" x14ac:dyDescent="0.2">
      <c r="A17" s="65" t="s">
        <v>196</v>
      </c>
      <c r="B17" s="64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>
        <v>6.1299336360461053E-2</v>
      </c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7"/>
      <c r="BK17" s="67"/>
      <c r="BL17" s="67"/>
      <c r="BM17" s="67"/>
      <c r="BN17" s="64"/>
      <c r="BO17" s="64"/>
      <c r="BP17" s="64"/>
    </row>
    <row r="18" spans="1:68" x14ac:dyDescent="0.2">
      <c r="A18" s="65" t="s">
        <v>197</v>
      </c>
      <c r="B18" s="64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>
        <v>6.804785020804438E-2</v>
      </c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7"/>
      <c r="BK18" s="67"/>
      <c r="BL18" s="67"/>
      <c r="BM18" s="67"/>
      <c r="BN18" s="64"/>
      <c r="BO18" s="64"/>
      <c r="BP18" s="64"/>
    </row>
    <row r="19" spans="1:68" x14ac:dyDescent="0.2">
      <c r="A19" s="65" t="s">
        <v>198</v>
      </c>
      <c r="B19" s="64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>
        <v>9.0749414519906327E-2</v>
      </c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7"/>
      <c r="BK19" s="67"/>
      <c r="BL19" s="67"/>
      <c r="BM19" s="67"/>
      <c r="BN19" s="64"/>
      <c r="BO19" s="64"/>
      <c r="BP19" s="64"/>
    </row>
    <row r="20" spans="1:68" x14ac:dyDescent="0.2">
      <c r="A20" s="65" t="s">
        <v>199</v>
      </c>
      <c r="B20" s="64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>
        <v>9.5317844925883688E-2</v>
      </c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7"/>
      <c r="BK20" s="67"/>
      <c r="BL20" s="67"/>
      <c r="BM20" s="67"/>
      <c r="BN20" s="64"/>
      <c r="BO20" s="64"/>
      <c r="BP20" s="64"/>
    </row>
    <row r="21" spans="1:68" x14ac:dyDescent="0.2">
      <c r="A21" s="65" t="s">
        <v>200</v>
      </c>
      <c r="B21" s="64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>
        <v>9.3015237500990416E-2</v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7"/>
      <c r="BK21" s="67"/>
      <c r="BL21" s="67"/>
      <c r="BM21" s="67"/>
      <c r="BN21" s="64"/>
      <c r="BO21" s="64"/>
      <c r="BP21" s="64"/>
    </row>
    <row r="22" spans="1:68" x14ac:dyDescent="0.2">
      <c r="A22" s="65" t="s">
        <v>201</v>
      </c>
      <c r="B22" s="64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>
        <v>8.4100336408537688E-2</v>
      </c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7"/>
      <c r="BK22" s="67"/>
      <c r="BL22" s="67"/>
      <c r="BM22" s="67"/>
      <c r="BN22" s="64"/>
      <c r="BO22" s="64"/>
      <c r="BP22" s="64"/>
    </row>
    <row r="23" spans="1:68" x14ac:dyDescent="0.2">
      <c r="A23" s="65" t="s">
        <v>188</v>
      </c>
      <c r="B23" s="64"/>
      <c r="C23" s="66">
        <v>5.3286003410304213E-4</v>
      </c>
      <c r="D23" s="66" t="s">
        <v>179</v>
      </c>
      <c r="E23" s="66">
        <v>3.2423905389263826E-3</v>
      </c>
      <c r="F23" s="66" t="s">
        <v>179</v>
      </c>
      <c r="G23" s="66" t="s">
        <v>179</v>
      </c>
      <c r="H23" s="66">
        <v>1.0580213809406203E-3</v>
      </c>
      <c r="I23" s="66">
        <v>5.529898796722158E-3</v>
      </c>
      <c r="J23" s="66" t="s">
        <v>179</v>
      </c>
      <c r="K23" s="66">
        <v>1.9327693373117996E-3</v>
      </c>
      <c r="L23" s="66" t="s">
        <v>179</v>
      </c>
      <c r="M23" s="66" t="s">
        <v>179</v>
      </c>
      <c r="N23" s="66" t="s">
        <v>179</v>
      </c>
      <c r="O23" s="66">
        <v>2.711285785500641E-2</v>
      </c>
      <c r="P23" s="66" t="s">
        <v>179</v>
      </c>
      <c r="Q23" s="66">
        <v>1.4632874288065301E-2</v>
      </c>
      <c r="R23" s="66">
        <v>2.5334136722173533E-2</v>
      </c>
      <c r="S23" s="66">
        <v>3.2997169143665961E-2</v>
      </c>
      <c r="T23" s="66">
        <v>7.7169752767145957E-3</v>
      </c>
      <c r="U23" s="66" t="s">
        <v>179</v>
      </c>
      <c r="V23" s="66" t="s">
        <v>179</v>
      </c>
      <c r="W23" s="66">
        <v>4.9818510141543849E-3</v>
      </c>
      <c r="X23" s="66">
        <v>0.10461237518470803</v>
      </c>
      <c r="Y23" s="66">
        <v>0.34195216548157725</v>
      </c>
      <c r="Z23" s="66">
        <v>0.20061030741410488</v>
      </c>
      <c r="AA23" s="66" t="s">
        <v>179</v>
      </c>
      <c r="AB23" s="66" t="s">
        <v>179</v>
      </c>
      <c r="AC23" s="66" t="s">
        <v>179</v>
      </c>
      <c r="AD23" s="66" t="s">
        <v>179</v>
      </c>
      <c r="AE23" s="66">
        <v>1.6721645724894738E-2</v>
      </c>
      <c r="AF23" s="66">
        <v>0.52368012422360244</v>
      </c>
      <c r="AG23" s="66">
        <v>1.1453484902733024E-2</v>
      </c>
      <c r="AH23" s="66" t="s">
        <v>179</v>
      </c>
      <c r="AI23" s="66"/>
      <c r="AJ23" s="66"/>
      <c r="AK23" s="66"/>
      <c r="AL23" s="66"/>
      <c r="AM23" s="66"/>
      <c r="AN23" s="66"/>
      <c r="AO23" s="66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7"/>
      <c r="BK23" s="67"/>
      <c r="BL23" s="67"/>
      <c r="BM23" s="67"/>
      <c r="BN23" s="64"/>
      <c r="BO23" s="64"/>
      <c r="BP23" s="64"/>
    </row>
    <row r="24" spans="1:68" x14ac:dyDescent="0.2"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</row>
    <row r="25" spans="1:68" x14ac:dyDescent="0.2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D13"/>
  <sheetViews>
    <sheetView zoomScaleNormal="100" workbookViewId="0">
      <pane xSplit="2" ySplit="7" topLeftCell="E8" activePane="bottomRight" state="frozenSplit"/>
      <selection activeCell="AK6" sqref="AK6"/>
      <selection pane="topRight" activeCell="AK6" sqref="AK6"/>
      <selection pane="bottomLeft" activeCell="AK6" sqref="AK6"/>
      <selection pane="bottomRight" activeCell="J8" sqref="J8"/>
    </sheetView>
  </sheetViews>
  <sheetFormatPr defaultColWidth="9.6640625" defaultRowHeight="12" x14ac:dyDescent="0.2"/>
  <cols>
    <col min="1" max="1" width="6.44140625" style="47" customWidth="1"/>
    <col min="2" max="2" width="13.88671875" style="46" customWidth="1"/>
    <col min="3" max="3" width="12" style="46" customWidth="1"/>
    <col min="4" max="4" width="11.33203125" style="46" customWidth="1"/>
    <col min="5" max="5" width="15.33203125" style="46" customWidth="1"/>
    <col min="6" max="6" width="11.33203125" style="46" customWidth="1"/>
    <col min="7" max="7" width="9.44140625" style="46" customWidth="1"/>
    <col min="8" max="8" width="13.21875" style="46" customWidth="1"/>
    <col min="9" max="9" width="9.6640625" style="46"/>
    <col min="10" max="10" width="7.77734375" style="46" customWidth="1"/>
    <col min="11" max="11" width="9.6640625" style="46"/>
    <col min="12" max="12" width="9" style="46" customWidth="1"/>
    <col min="13" max="16" width="9.6640625" style="46"/>
    <col min="17" max="17" width="12.5546875" style="46" customWidth="1"/>
    <col min="18" max="18" width="12.88671875" style="46" customWidth="1"/>
    <col min="19" max="19" width="12.5546875" style="46" customWidth="1"/>
    <col min="20" max="20" width="15.5546875" style="46" customWidth="1"/>
    <col min="21" max="23" width="9.6640625" style="46"/>
    <col min="24" max="25" width="13.44140625" style="46" customWidth="1"/>
    <col min="26" max="26" width="9.6640625" style="46"/>
    <col min="27" max="27" width="13.88671875" style="46" customWidth="1"/>
    <col min="28" max="28" width="10.6640625" style="46" customWidth="1"/>
    <col min="29" max="29" width="17.33203125" style="46" customWidth="1"/>
    <col min="30" max="31" width="12.6640625" style="46" customWidth="1"/>
    <col min="32" max="32" width="11.21875" style="46" customWidth="1"/>
    <col min="33" max="33" width="18.33203125" style="46" customWidth="1"/>
    <col min="34" max="34" width="12.88671875" style="46" customWidth="1"/>
    <col min="35" max="36" width="13.21875" style="46" customWidth="1"/>
    <col min="37" max="37" width="10.88671875" style="46" customWidth="1"/>
    <col min="38" max="38" width="11.109375" style="46" customWidth="1"/>
    <col min="39" max="39" width="15.21875" style="46" customWidth="1"/>
    <col min="40" max="40" width="9.6640625" style="46"/>
    <col min="41" max="41" width="11" style="46" customWidth="1"/>
    <col min="42" max="42" width="10.77734375" style="46" customWidth="1"/>
    <col min="43" max="43" width="11.44140625" style="46" customWidth="1"/>
    <col min="44" max="44" width="4" style="46" customWidth="1"/>
    <col min="45" max="235" width="9.6640625" style="46"/>
    <col min="236" max="236" width="6.44140625" style="46" customWidth="1"/>
    <col min="237" max="237" width="13.88671875" style="46" customWidth="1"/>
    <col min="238" max="238" width="11.88671875" style="46" customWidth="1"/>
    <col min="239" max="241" width="9.6640625" style="46"/>
    <col min="242" max="242" width="15.44140625" style="46" customWidth="1"/>
    <col min="243" max="243" width="16.21875" style="46" customWidth="1"/>
    <col min="244" max="255" width="9.6640625" style="46"/>
    <col min="256" max="256" width="12" style="46" customWidth="1"/>
    <col min="257" max="257" width="12.77734375" style="46" customWidth="1"/>
    <col min="258" max="258" width="11.109375" style="46" customWidth="1"/>
    <col min="259" max="259" width="12" style="46" customWidth="1"/>
    <col min="260" max="260" width="9.6640625" style="46"/>
    <col min="261" max="261" width="15.33203125" style="46" customWidth="1"/>
    <col min="262" max="262" width="15.21875" style="46" customWidth="1"/>
    <col min="263" max="263" width="21.44140625" style="46" customWidth="1"/>
    <col min="264" max="279" width="9.6640625" style="46"/>
    <col min="280" max="281" width="13.44140625" style="46" customWidth="1"/>
    <col min="282" max="282" width="9.6640625" style="46"/>
    <col min="283" max="283" width="13.88671875" style="46" customWidth="1"/>
    <col min="284" max="284" width="10.6640625" style="46" customWidth="1"/>
    <col min="285" max="285" width="17.33203125" style="46" customWidth="1"/>
    <col min="286" max="287" width="12.6640625" style="46" customWidth="1"/>
    <col min="288" max="288" width="11.21875" style="46" customWidth="1"/>
    <col min="289" max="289" width="18.33203125" style="46" customWidth="1"/>
    <col min="290" max="290" width="12.88671875" style="46" customWidth="1"/>
    <col min="291" max="292" width="13.21875" style="46" customWidth="1"/>
    <col min="293" max="293" width="10.88671875" style="46" customWidth="1"/>
    <col min="294" max="294" width="11.109375" style="46" customWidth="1"/>
    <col min="295" max="295" width="15.21875" style="46" customWidth="1"/>
    <col min="296" max="296" width="9.6640625" style="46"/>
    <col min="297" max="297" width="11" style="46" customWidth="1"/>
    <col min="298" max="298" width="10.77734375" style="46" customWidth="1"/>
    <col min="299" max="299" width="11.44140625" style="46" customWidth="1"/>
    <col min="300" max="300" width="4" style="46" customWidth="1"/>
    <col min="301" max="491" width="9.6640625" style="46"/>
    <col min="492" max="492" width="6.44140625" style="46" customWidth="1"/>
    <col min="493" max="493" width="13.88671875" style="46" customWidth="1"/>
    <col min="494" max="494" width="11.88671875" style="46" customWidth="1"/>
    <col min="495" max="497" width="9.6640625" style="46"/>
    <col min="498" max="498" width="15.44140625" style="46" customWidth="1"/>
    <col min="499" max="499" width="16.21875" style="46" customWidth="1"/>
    <col min="500" max="511" width="9.6640625" style="46"/>
    <col min="512" max="512" width="12" style="46" customWidth="1"/>
    <col min="513" max="513" width="12.77734375" style="46" customWidth="1"/>
    <col min="514" max="514" width="11.109375" style="46" customWidth="1"/>
    <col min="515" max="515" width="12" style="46" customWidth="1"/>
    <col min="516" max="516" width="9.6640625" style="46"/>
    <col min="517" max="517" width="15.33203125" style="46" customWidth="1"/>
    <col min="518" max="518" width="15.21875" style="46" customWidth="1"/>
    <col min="519" max="519" width="21.44140625" style="46" customWidth="1"/>
    <col min="520" max="535" width="9.6640625" style="46"/>
    <col min="536" max="537" width="13.44140625" style="46" customWidth="1"/>
    <col min="538" max="538" width="9.6640625" style="46"/>
    <col min="539" max="539" width="13.88671875" style="46" customWidth="1"/>
    <col min="540" max="540" width="10.6640625" style="46" customWidth="1"/>
    <col min="541" max="541" width="17.33203125" style="46" customWidth="1"/>
    <col min="542" max="543" width="12.6640625" style="46" customWidth="1"/>
    <col min="544" max="544" width="11.21875" style="46" customWidth="1"/>
    <col min="545" max="545" width="18.33203125" style="46" customWidth="1"/>
    <col min="546" max="546" width="12.88671875" style="46" customWidth="1"/>
    <col min="547" max="548" width="13.21875" style="46" customWidth="1"/>
    <col min="549" max="549" width="10.88671875" style="46" customWidth="1"/>
    <col min="550" max="550" width="11.109375" style="46" customWidth="1"/>
    <col min="551" max="551" width="15.21875" style="46" customWidth="1"/>
    <col min="552" max="552" width="9.6640625" style="46"/>
    <col min="553" max="553" width="11" style="46" customWidth="1"/>
    <col min="554" max="554" width="10.77734375" style="46" customWidth="1"/>
    <col min="555" max="555" width="11.44140625" style="46" customWidth="1"/>
    <col min="556" max="556" width="4" style="46" customWidth="1"/>
    <col min="557" max="747" width="9.6640625" style="46"/>
    <col min="748" max="748" width="6.44140625" style="46" customWidth="1"/>
    <col min="749" max="749" width="13.88671875" style="46" customWidth="1"/>
    <col min="750" max="750" width="11.88671875" style="46" customWidth="1"/>
    <col min="751" max="753" width="9.6640625" style="46"/>
    <col min="754" max="754" width="15.44140625" style="46" customWidth="1"/>
    <col min="755" max="755" width="16.21875" style="46" customWidth="1"/>
    <col min="756" max="767" width="9.6640625" style="46"/>
    <col min="768" max="768" width="12" style="46" customWidth="1"/>
    <col min="769" max="769" width="12.77734375" style="46" customWidth="1"/>
    <col min="770" max="770" width="11.109375" style="46" customWidth="1"/>
    <col min="771" max="771" width="12" style="46" customWidth="1"/>
    <col min="772" max="772" width="9.6640625" style="46"/>
    <col min="773" max="773" width="15.33203125" style="46" customWidth="1"/>
    <col min="774" max="774" width="15.21875" style="46" customWidth="1"/>
    <col min="775" max="775" width="21.44140625" style="46" customWidth="1"/>
    <col min="776" max="791" width="9.6640625" style="46"/>
    <col min="792" max="793" width="13.44140625" style="46" customWidth="1"/>
    <col min="794" max="794" width="9.6640625" style="46"/>
    <col min="795" max="795" width="13.88671875" style="46" customWidth="1"/>
    <col min="796" max="796" width="10.6640625" style="46" customWidth="1"/>
    <col min="797" max="797" width="17.33203125" style="46" customWidth="1"/>
    <col min="798" max="799" width="12.6640625" style="46" customWidth="1"/>
    <col min="800" max="800" width="11.21875" style="46" customWidth="1"/>
    <col min="801" max="801" width="18.33203125" style="46" customWidth="1"/>
    <col min="802" max="802" width="12.88671875" style="46" customWidth="1"/>
    <col min="803" max="804" width="13.21875" style="46" customWidth="1"/>
    <col min="805" max="805" width="10.88671875" style="46" customWidth="1"/>
    <col min="806" max="806" width="11.109375" style="46" customWidth="1"/>
    <col min="807" max="807" width="15.21875" style="46" customWidth="1"/>
    <col min="808" max="808" width="9.6640625" style="46"/>
    <col min="809" max="809" width="11" style="46" customWidth="1"/>
    <col min="810" max="810" width="10.77734375" style="46" customWidth="1"/>
    <col min="811" max="811" width="11.44140625" style="46" customWidth="1"/>
    <col min="812" max="812" width="4" style="46" customWidth="1"/>
    <col min="813" max="1003" width="9.6640625" style="46"/>
    <col min="1004" max="1004" width="6.44140625" style="46" customWidth="1"/>
    <col min="1005" max="1005" width="13.88671875" style="46" customWidth="1"/>
    <col min="1006" max="1006" width="11.88671875" style="46" customWidth="1"/>
    <col min="1007" max="1009" width="9.6640625" style="46"/>
    <col min="1010" max="1010" width="15.44140625" style="46" customWidth="1"/>
    <col min="1011" max="1011" width="16.21875" style="46" customWidth="1"/>
    <col min="1012" max="1023" width="9.6640625" style="46"/>
    <col min="1024" max="1024" width="12" style="46" customWidth="1"/>
    <col min="1025" max="1025" width="12.77734375" style="46" customWidth="1"/>
    <col min="1026" max="1026" width="11.109375" style="46" customWidth="1"/>
    <col min="1027" max="1027" width="12" style="46" customWidth="1"/>
    <col min="1028" max="1028" width="9.6640625" style="46"/>
    <col min="1029" max="1029" width="15.33203125" style="46" customWidth="1"/>
    <col min="1030" max="1030" width="15.21875" style="46" customWidth="1"/>
    <col min="1031" max="1031" width="21.44140625" style="46" customWidth="1"/>
    <col min="1032" max="1047" width="9.6640625" style="46"/>
    <col min="1048" max="1049" width="13.44140625" style="46" customWidth="1"/>
    <col min="1050" max="1050" width="9.6640625" style="46"/>
    <col min="1051" max="1051" width="13.88671875" style="46" customWidth="1"/>
    <col min="1052" max="1052" width="10.6640625" style="46" customWidth="1"/>
    <col min="1053" max="1053" width="17.33203125" style="46" customWidth="1"/>
    <col min="1054" max="1055" width="12.6640625" style="46" customWidth="1"/>
    <col min="1056" max="1056" width="11.21875" style="46" customWidth="1"/>
    <col min="1057" max="1057" width="18.33203125" style="46" customWidth="1"/>
    <col min="1058" max="1058" width="12.88671875" style="46" customWidth="1"/>
    <col min="1059" max="1060" width="13.21875" style="46" customWidth="1"/>
    <col min="1061" max="1061" width="10.88671875" style="46" customWidth="1"/>
    <col min="1062" max="1062" width="11.109375" style="46" customWidth="1"/>
    <col min="1063" max="1063" width="15.21875" style="46" customWidth="1"/>
    <col min="1064" max="1064" width="9.6640625" style="46"/>
    <col min="1065" max="1065" width="11" style="46" customWidth="1"/>
    <col min="1066" max="1066" width="10.77734375" style="46" customWidth="1"/>
    <col min="1067" max="1067" width="11.44140625" style="46" customWidth="1"/>
    <col min="1068" max="1068" width="4" style="46" customWidth="1"/>
    <col min="1069" max="1259" width="9.6640625" style="46"/>
    <col min="1260" max="1260" width="6.44140625" style="46" customWidth="1"/>
    <col min="1261" max="1261" width="13.88671875" style="46" customWidth="1"/>
    <col min="1262" max="1262" width="11.88671875" style="46" customWidth="1"/>
    <col min="1263" max="1265" width="9.6640625" style="46"/>
    <col min="1266" max="1266" width="15.44140625" style="46" customWidth="1"/>
    <col min="1267" max="1267" width="16.21875" style="46" customWidth="1"/>
    <col min="1268" max="1279" width="9.6640625" style="46"/>
    <col min="1280" max="1280" width="12" style="46" customWidth="1"/>
    <col min="1281" max="1281" width="12.77734375" style="46" customWidth="1"/>
    <col min="1282" max="1282" width="11.109375" style="46" customWidth="1"/>
    <col min="1283" max="1283" width="12" style="46" customWidth="1"/>
    <col min="1284" max="1284" width="9.6640625" style="46"/>
    <col min="1285" max="1285" width="15.33203125" style="46" customWidth="1"/>
    <col min="1286" max="1286" width="15.21875" style="46" customWidth="1"/>
    <col min="1287" max="1287" width="21.44140625" style="46" customWidth="1"/>
    <col min="1288" max="1303" width="9.6640625" style="46"/>
    <col min="1304" max="1305" width="13.44140625" style="46" customWidth="1"/>
    <col min="1306" max="1306" width="9.6640625" style="46"/>
    <col min="1307" max="1307" width="13.88671875" style="46" customWidth="1"/>
    <col min="1308" max="1308" width="10.6640625" style="46" customWidth="1"/>
    <col min="1309" max="1309" width="17.33203125" style="46" customWidth="1"/>
    <col min="1310" max="1311" width="12.6640625" style="46" customWidth="1"/>
    <col min="1312" max="1312" width="11.21875" style="46" customWidth="1"/>
    <col min="1313" max="1313" width="18.33203125" style="46" customWidth="1"/>
    <col min="1314" max="1314" width="12.88671875" style="46" customWidth="1"/>
    <col min="1315" max="1316" width="13.21875" style="46" customWidth="1"/>
    <col min="1317" max="1317" width="10.88671875" style="46" customWidth="1"/>
    <col min="1318" max="1318" width="11.109375" style="46" customWidth="1"/>
    <col min="1319" max="1319" width="15.21875" style="46" customWidth="1"/>
    <col min="1320" max="1320" width="9.6640625" style="46"/>
    <col min="1321" max="1321" width="11" style="46" customWidth="1"/>
    <col min="1322" max="1322" width="10.77734375" style="46" customWidth="1"/>
    <col min="1323" max="1323" width="11.44140625" style="46" customWidth="1"/>
    <col min="1324" max="1324" width="4" style="46" customWidth="1"/>
    <col min="1325" max="1515" width="9.6640625" style="46"/>
    <col min="1516" max="1516" width="6.44140625" style="46" customWidth="1"/>
    <col min="1517" max="1517" width="13.88671875" style="46" customWidth="1"/>
    <col min="1518" max="1518" width="11.88671875" style="46" customWidth="1"/>
    <col min="1519" max="1521" width="9.6640625" style="46"/>
    <col min="1522" max="1522" width="15.44140625" style="46" customWidth="1"/>
    <col min="1523" max="1523" width="16.21875" style="46" customWidth="1"/>
    <col min="1524" max="1535" width="9.6640625" style="46"/>
    <col min="1536" max="1536" width="12" style="46" customWidth="1"/>
    <col min="1537" max="1537" width="12.77734375" style="46" customWidth="1"/>
    <col min="1538" max="1538" width="11.109375" style="46" customWidth="1"/>
    <col min="1539" max="1539" width="12" style="46" customWidth="1"/>
    <col min="1540" max="1540" width="9.6640625" style="46"/>
    <col min="1541" max="1541" width="15.33203125" style="46" customWidth="1"/>
    <col min="1542" max="1542" width="15.21875" style="46" customWidth="1"/>
    <col min="1543" max="1543" width="21.44140625" style="46" customWidth="1"/>
    <col min="1544" max="1559" width="9.6640625" style="46"/>
    <col min="1560" max="1561" width="13.44140625" style="46" customWidth="1"/>
    <col min="1562" max="1562" width="9.6640625" style="46"/>
    <col min="1563" max="1563" width="13.88671875" style="46" customWidth="1"/>
    <col min="1564" max="1564" width="10.6640625" style="46" customWidth="1"/>
    <col min="1565" max="1565" width="17.33203125" style="46" customWidth="1"/>
    <col min="1566" max="1567" width="12.6640625" style="46" customWidth="1"/>
    <col min="1568" max="1568" width="11.21875" style="46" customWidth="1"/>
    <col min="1569" max="1569" width="18.33203125" style="46" customWidth="1"/>
    <col min="1570" max="1570" width="12.88671875" style="46" customWidth="1"/>
    <col min="1571" max="1572" width="13.21875" style="46" customWidth="1"/>
    <col min="1573" max="1573" width="10.88671875" style="46" customWidth="1"/>
    <col min="1574" max="1574" width="11.109375" style="46" customWidth="1"/>
    <col min="1575" max="1575" width="15.21875" style="46" customWidth="1"/>
    <col min="1576" max="1576" width="9.6640625" style="46"/>
    <col min="1577" max="1577" width="11" style="46" customWidth="1"/>
    <col min="1578" max="1578" width="10.77734375" style="46" customWidth="1"/>
    <col min="1579" max="1579" width="11.44140625" style="46" customWidth="1"/>
    <col min="1580" max="1580" width="4" style="46" customWidth="1"/>
    <col min="1581" max="1771" width="9.6640625" style="46"/>
    <col min="1772" max="1772" width="6.44140625" style="46" customWidth="1"/>
    <col min="1773" max="1773" width="13.88671875" style="46" customWidth="1"/>
    <col min="1774" max="1774" width="11.88671875" style="46" customWidth="1"/>
    <col min="1775" max="1777" width="9.6640625" style="46"/>
    <col min="1778" max="1778" width="15.44140625" style="46" customWidth="1"/>
    <col min="1779" max="1779" width="16.21875" style="46" customWidth="1"/>
    <col min="1780" max="1791" width="9.6640625" style="46"/>
    <col min="1792" max="1792" width="12" style="46" customWidth="1"/>
    <col min="1793" max="1793" width="12.77734375" style="46" customWidth="1"/>
    <col min="1794" max="1794" width="11.109375" style="46" customWidth="1"/>
    <col min="1795" max="1795" width="12" style="46" customWidth="1"/>
    <col min="1796" max="1796" width="9.6640625" style="46"/>
    <col min="1797" max="1797" width="15.33203125" style="46" customWidth="1"/>
    <col min="1798" max="1798" width="15.21875" style="46" customWidth="1"/>
    <col min="1799" max="1799" width="21.44140625" style="46" customWidth="1"/>
    <col min="1800" max="1815" width="9.6640625" style="46"/>
    <col min="1816" max="1817" width="13.44140625" style="46" customWidth="1"/>
    <col min="1818" max="1818" width="9.6640625" style="46"/>
    <col min="1819" max="1819" width="13.88671875" style="46" customWidth="1"/>
    <col min="1820" max="1820" width="10.6640625" style="46" customWidth="1"/>
    <col min="1821" max="1821" width="17.33203125" style="46" customWidth="1"/>
    <col min="1822" max="1823" width="12.6640625" style="46" customWidth="1"/>
    <col min="1824" max="1824" width="11.21875" style="46" customWidth="1"/>
    <col min="1825" max="1825" width="18.33203125" style="46" customWidth="1"/>
    <col min="1826" max="1826" width="12.88671875" style="46" customWidth="1"/>
    <col min="1827" max="1828" width="13.21875" style="46" customWidth="1"/>
    <col min="1829" max="1829" width="10.88671875" style="46" customWidth="1"/>
    <col min="1830" max="1830" width="11.109375" style="46" customWidth="1"/>
    <col min="1831" max="1831" width="15.21875" style="46" customWidth="1"/>
    <col min="1832" max="1832" width="9.6640625" style="46"/>
    <col min="1833" max="1833" width="11" style="46" customWidth="1"/>
    <col min="1834" max="1834" width="10.77734375" style="46" customWidth="1"/>
    <col min="1835" max="1835" width="11.44140625" style="46" customWidth="1"/>
    <col min="1836" max="1836" width="4" style="46" customWidth="1"/>
    <col min="1837" max="2027" width="9.6640625" style="46"/>
    <col min="2028" max="2028" width="6.44140625" style="46" customWidth="1"/>
    <col min="2029" max="2029" width="13.88671875" style="46" customWidth="1"/>
    <col min="2030" max="2030" width="11.88671875" style="46" customWidth="1"/>
    <col min="2031" max="2033" width="9.6640625" style="46"/>
    <col min="2034" max="2034" width="15.44140625" style="46" customWidth="1"/>
    <col min="2035" max="2035" width="16.21875" style="46" customWidth="1"/>
    <col min="2036" max="2047" width="9.6640625" style="46"/>
    <col min="2048" max="2048" width="12" style="46" customWidth="1"/>
    <col min="2049" max="2049" width="12.77734375" style="46" customWidth="1"/>
    <col min="2050" max="2050" width="11.109375" style="46" customWidth="1"/>
    <col min="2051" max="2051" width="12" style="46" customWidth="1"/>
    <col min="2052" max="2052" width="9.6640625" style="46"/>
    <col min="2053" max="2053" width="15.33203125" style="46" customWidth="1"/>
    <col min="2054" max="2054" width="15.21875" style="46" customWidth="1"/>
    <col min="2055" max="2055" width="21.44140625" style="46" customWidth="1"/>
    <col min="2056" max="2071" width="9.6640625" style="46"/>
    <col min="2072" max="2073" width="13.44140625" style="46" customWidth="1"/>
    <col min="2074" max="2074" width="9.6640625" style="46"/>
    <col min="2075" max="2075" width="13.88671875" style="46" customWidth="1"/>
    <col min="2076" max="2076" width="10.6640625" style="46" customWidth="1"/>
    <col min="2077" max="2077" width="17.33203125" style="46" customWidth="1"/>
    <col min="2078" max="2079" width="12.6640625" style="46" customWidth="1"/>
    <col min="2080" max="2080" width="11.21875" style="46" customWidth="1"/>
    <col min="2081" max="2081" width="18.33203125" style="46" customWidth="1"/>
    <col min="2082" max="2082" width="12.88671875" style="46" customWidth="1"/>
    <col min="2083" max="2084" width="13.21875" style="46" customWidth="1"/>
    <col min="2085" max="2085" width="10.88671875" style="46" customWidth="1"/>
    <col min="2086" max="2086" width="11.109375" style="46" customWidth="1"/>
    <col min="2087" max="2087" width="15.21875" style="46" customWidth="1"/>
    <col min="2088" max="2088" width="9.6640625" style="46"/>
    <col min="2089" max="2089" width="11" style="46" customWidth="1"/>
    <col min="2090" max="2090" width="10.77734375" style="46" customWidth="1"/>
    <col min="2091" max="2091" width="11.44140625" style="46" customWidth="1"/>
    <col min="2092" max="2092" width="4" style="46" customWidth="1"/>
    <col min="2093" max="2283" width="9.6640625" style="46"/>
    <col min="2284" max="2284" width="6.44140625" style="46" customWidth="1"/>
    <col min="2285" max="2285" width="13.88671875" style="46" customWidth="1"/>
    <col min="2286" max="2286" width="11.88671875" style="46" customWidth="1"/>
    <col min="2287" max="2289" width="9.6640625" style="46"/>
    <col min="2290" max="2290" width="15.44140625" style="46" customWidth="1"/>
    <col min="2291" max="2291" width="16.21875" style="46" customWidth="1"/>
    <col min="2292" max="2303" width="9.6640625" style="46"/>
    <col min="2304" max="2304" width="12" style="46" customWidth="1"/>
    <col min="2305" max="2305" width="12.77734375" style="46" customWidth="1"/>
    <col min="2306" max="2306" width="11.109375" style="46" customWidth="1"/>
    <col min="2307" max="2307" width="12" style="46" customWidth="1"/>
    <col min="2308" max="2308" width="9.6640625" style="46"/>
    <col min="2309" max="2309" width="15.33203125" style="46" customWidth="1"/>
    <col min="2310" max="2310" width="15.21875" style="46" customWidth="1"/>
    <col min="2311" max="2311" width="21.44140625" style="46" customWidth="1"/>
    <col min="2312" max="2327" width="9.6640625" style="46"/>
    <col min="2328" max="2329" width="13.44140625" style="46" customWidth="1"/>
    <col min="2330" max="2330" width="9.6640625" style="46"/>
    <col min="2331" max="2331" width="13.88671875" style="46" customWidth="1"/>
    <col min="2332" max="2332" width="10.6640625" style="46" customWidth="1"/>
    <col min="2333" max="2333" width="17.33203125" style="46" customWidth="1"/>
    <col min="2334" max="2335" width="12.6640625" style="46" customWidth="1"/>
    <col min="2336" max="2336" width="11.21875" style="46" customWidth="1"/>
    <col min="2337" max="2337" width="18.33203125" style="46" customWidth="1"/>
    <col min="2338" max="2338" width="12.88671875" style="46" customWidth="1"/>
    <col min="2339" max="2340" width="13.21875" style="46" customWidth="1"/>
    <col min="2341" max="2341" width="10.88671875" style="46" customWidth="1"/>
    <col min="2342" max="2342" width="11.109375" style="46" customWidth="1"/>
    <col min="2343" max="2343" width="15.21875" style="46" customWidth="1"/>
    <col min="2344" max="2344" width="9.6640625" style="46"/>
    <col min="2345" max="2345" width="11" style="46" customWidth="1"/>
    <col min="2346" max="2346" width="10.77734375" style="46" customWidth="1"/>
    <col min="2347" max="2347" width="11.44140625" style="46" customWidth="1"/>
    <col min="2348" max="2348" width="4" style="46" customWidth="1"/>
    <col min="2349" max="2539" width="9.6640625" style="46"/>
    <col min="2540" max="2540" width="6.44140625" style="46" customWidth="1"/>
    <col min="2541" max="2541" width="13.88671875" style="46" customWidth="1"/>
    <col min="2542" max="2542" width="11.88671875" style="46" customWidth="1"/>
    <col min="2543" max="2545" width="9.6640625" style="46"/>
    <col min="2546" max="2546" width="15.44140625" style="46" customWidth="1"/>
    <col min="2547" max="2547" width="16.21875" style="46" customWidth="1"/>
    <col min="2548" max="2559" width="9.6640625" style="46"/>
    <col min="2560" max="2560" width="12" style="46" customWidth="1"/>
    <col min="2561" max="2561" width="12.77734375" style="46" customWidth="1"/>
    <col min="2562" max="2562" width="11.109375" style="46" customWidth="1"/>
    <col min="2563" max="2563" width="12" style="46" customWidth="1"/>
    <col min="2564" max="2564" width="9.6640625" style="46"/>
    <col min="2565" max="2565" width="15.33203125" style="46" customWidth="1"/>
    <col min="2566" max="2566" width="15.21875" style="46" customWidth="1"/>
    <col min="2567" max="2567" width="21.44140625" style="46" customWidth="1"/>
    <col min="2568" max="2583" width="9.6640625" style="46"/>
    <col min="2584" max="2585" width="13.44140625" style="46" customWidth="1"/>
    <col min="2586" max="2586" width="9.6640625" style="46"/>
    <col min="2587" max="2587" width="13.88671875" style="46" customWidth="1"/>
    <col min="2588" max="2588" width="10.6640625" style="46" customWidth="1"/>
    <col min="2589" max="2589" width="17.33203125" style="46" customWidth="1"/>
    <col min="2590" max="2591" width="12.6640625" style="46" customWidth="1"/>
    <col min="2592" max="2592" width="11.21875" style="46" customWidth="1"/>
    <col min="2593" max="2593" width="18.33203125" style="46" customWidth="1"/>
    <col min="2594" max="2594" width="12.88671875" style="46" customWidth="1"/>
    <col min="2595" max="2596" width="13.21875" style="46" customWidth="1"/>
    <col min="2597" max="2597" width="10.88671875" style="46" customWidth="1"/>
    <col min="2598" max="2598" width="11.109375" style="46" customWidth="1"/>
    <col min="2599" max="2599" width="15.21875" style="46" customWidth="1"/>
    <col min="2600" max="2600" width="9.6640625" style="46"/>
    <col min="2601" max="2601" width="11" style="46" customWidth="1"/>
    <col min="2602" max="2602" width="10.77734375" style="46" customWidth="1"/>
    <col min="2603" max="2603" width="11.44140625" style="46" customWidth="1"/>
    <col min="2604" max="2604" width="4" style="46" customWidth="1"/>
    <col min="2605" max="2795" width="9.6640625" style="46"/>
    <col min="2796" max="2796" width="6.44140625" style="46" customWidth="1"/>
    <col min="2797" max="2797" width="13.88671875" style="46" customWidth="1"/>
    <col min="2798" max="2798" width="11.88671875" style="46" customWidth="1"/>
    <col min="2799" max="2801" width="9.6640625" style="46"/>
    <col min="2802" max="2802" width="15.44140625" style="46" customWidth="1"/>
    <col min="2803" max="2803" width="16.21875" style="46" customWidth="1"/>
    <col min="2804" max="2815" width="9.6640625" style="46"/>
    <col min="2816" max="2816" width="12" style="46" customWidth="1"/>
    <col min="2817" max="2817" width="12.77734375" style="46" customWidth="1"/>
    <col min="2818" max="2818" width="11.109375" style="46" customWidth="1"/>
    <col min="2819" max="2819" width="12" style="46" customWidth="1"/>
    <col min="2820" max="2820" width="9.6640625" style="46"/>
    <col min="2821" max="2821" width="15.33203125" style="46" customWidth="1"/>
    <col min="2822" max="2822" width="15.21875" style="46" customWidth="1"/>
    <col min="2823" max="2823" width="21.44140625" style="46" customWidth="1"/>
    <col min="2824" max="2839" width="9.6640625" style="46"/>
    <col min="2840" max="2841" width="13.44140625" style="46" customWidth="1"/>
    <col min="2842" max="2842" width="9.6640625" style="46"/>
    <col min="2843" max="2843" width="13.88671875" style="46" customWidth="1"/>
    <col min="2844" max="2844" width="10.6640625" style="46" customWidth="1"/>
    <col min="2845" max="2845" width="17.33203125" style="46" customWidth="1"/>
    <col min="2846" max="2847" width="12.6640625" style="46" customWidth="1"/>
    <col min="2848" max="2848" width="11.21875" style="46" customWidth="1"/>
    <col min="2849" max="2849" width="18.33203125" style="46" customWidth="1"/>
    <col min="2850" max="2850" width="12.88671875" style="46" customWidth="1"/>
    <col min="2851" max="2852" width="13.21875" style="46" customWidth="1"/>
    <col min="2853" max="2853" width="10.88671875" style="46" customWidth="1"/>
    <col min="2854" max="2854" width="11.109375" style="46" customWidth="1"/>
    <col min="2855" max="2855" width="15.21875" style="46" customWidth="1"/>
    <col min="2856" max="2856" width="9.6640625" style="46"/>
    <col min="2857" max="2857" width="11" style="46" customWidth="1"/>
    <col min="2858" max="2858" width="10.77734375" style="46" customWidth="1"/>
    <col min="2859" max="2859" width="11.44140625" style="46" customWidth="1"/>
    <col min="2860" max="2860" width="4" style="46" customWidth="1"/>
    <col min="2861" max="3051" width="9.6640625" style="46"/>
    <col min="3052" max="3052" width="6.44140625" style="46" customWidth="1"/>
    <col min="3053" max="3053" width="13.88671875" style="46" customWidth="1"/>
    <col min="3054" max="3054" width="11.88671875" style="46" customWidth="1"/>
    <col min="3055" max="3057" width="9.6640625" style="46"/>
    <col min="3058" max="3058" width="15.44140625" style="46" customWidth="1"/>
    <col min="3059" max="3059" width="16.21875" style="46" customWidth="1"/>
    <col min="3060" max="3071" width="9.6640625" style="46"/>
    <col min="3072" max="3072" width="12" style="46" customWidth="1"/>
    <col min="3073" max="3073" width="12.77734375" style="46" customWidth="1"/>
    <col min="3074" max="3074" width="11.109375" style="46" customWidth="1"/>
    <col min="3075" max="3075" width="12" style="46" customWidth="1"/>
    <col min="3076" max="3076" width="9.6640625" style="46"/>
    <col min="3077" max="3077" width="15.33203125" style="46" customWidth="1"/>
    <col min="3078" max="3078" width="15.21875" style="46" customWidth="1"/>
    <col min="3079" max="3079" width="21.44140625" style="46" customWidth="1"/>
    <col min="3080" max="3095" width="9.6640625" style="46"/>
    <col min="3096" max="3097" width="13.44140625" style="46" customWidth="1"/>
    <col min="3098" max="3098" width="9.6640625" style="46"/>
    <col min="3099" max="3099" width="13.88671875" style="46" customWidth="1"/>
    <col min="3100" max="3100" width="10.6640625" style="46" customWidth="1"/>
    <col min="3101" max="3101" width="17.33203125" style="46" customWidth="1"/>
    <col min="3102" max="3103" width="12.6640625" style="46" customWidth="1"/>
    <col min="3104" max="3104" width="11.21875" style="46" customWidth="1"/>
    <col min="3105" max="3105" width="18.33203125" style="46" customWidth="1"/>
    <col min="3106" max="3106" width="12.88671875" style="46" customWidth="1"/>
    <col min="3107" max="3108" width="13.21875" style="46" customWidth="1"/>
    <col min="3109" max="3109" width="10.88671875" style="46" customWidth="1"/>
    <col min="3110" max="3110" width="11.109375" style="46" customWidth="1"/>
    <col min="3111" max="3111" width="15.21875" style="46" customWidth="1"/>
    <col min="3112" max="3112" width="9.6640625" style="46"/>
    <col min="3113" max="3113" width="11" style="46" customWidth="1"/>
    <col min="3114" max="3114" width="10.77734375" style="46" customWidth="1"/>
    <col min="3115" max="3115" width="11.44140625" style="46" customWidth="1"/>
    <col min="3116" max="3116" width="4" style="46" customWidth="1"/>
    <col min="3117" max="3307" width="9.6640625" style="46"/>
    <col min="3308" max="3308" width="6.44140625" style="46" customWidth="1"/>
    <col min="3309" max="3309" width="13.88671875" style="46" customWidth="1"/>
    <col min="3310" max="3310" width="11.88671875" style="46" customWidth="1"/>
    <col min="3311" max="3313" width="9.6640625" style="46"/>
    <col min="3314" max="3314" width="15.44140625" style="46" customWidth="1"/>
    <col min="3315" max="3315" width="16.21875" style="46" customWidth="1"/>
    <col min="3316" max="3327" width="9.6640625" style="46"/>
    <col min="3328" max="3328" width="12" style="46" customWidth="1"/>
    <col min="3329" max="3329" width="12.77734375" style="46" customWidth="1"/>
    <col min="3330" max="3330" width="11.109375" style="46" customWidth="1"/>
    <col min="3331" max="3331" width="12" style="46" customWidth="1"/>
    <col min="3332" max="3332" width="9.6640625" style="46"/>
    <col min="3333" max="3333" width="15.33203125" style="46" customWidth="1"/>
    <col min="3334" max="3334" width="15.21875" style="46" customWidth="1"/>
    <col min="3335" max="3335" width="21.44140625" style="46" customWidth="1"/>
    <col min="3336" max="3351" width="9.6640625" style="46"/>
    <col min="3352" max="3353" width="13.44140625" style="46" customWidth="1"/>
    <col min="3354" max="3354" width="9.6640625" style="46"/>
    <col min="3355" max="3355" width="13.88671875" style="46" customWidth="1"/>
    <col min="3356" max="3356" width="10.6640625" style="46" customWidth="1"/>
    <col min="3357" max="3357" width="17.33203125" style="46" customWidth="1"/>
    <col min="3358" max="3359" width="12.6640625" style="46" customWidth="1"/>
    <col min="3360" max="3360" width="11.21875" style="46" customWidth="1"/>
    <col min="3361" max="3361" width="18.33203125" style="46" customWidth="1"/>
    <col min="3362" max="3362" width="12.88671875" style="46" customWidth="1"/>
    <col min="3363" max="3364" width="13.21875" style="46" customWidth="1"/>
    <col min="3365" max="3365" width="10.88671875" style="46" customWidth="1"/>
    <col min="3366" max="3366" width="11.109375" style="46" customWidth="1"/>
    <col min="3367" max="3367" width="15.21875" style="46" customWidth="1"/>
    <col min="3368" max="3368" width="9.6640625" style="46"/>
    <col min="3369" max="3369" width="11" style="46" customWidth="1"/>
    <col min="3370" max="3370" width="10.77734375" style="46" customWidth="1"/>
    <col min="3371" max="3371" width="11.44140625" style="46" customWidth="1"/>
    <col min="3372" max="3372" width="4" style="46" customWidth="1"/>
    <col min="3373" max="3563" width="9.6640625" style="46"/>
    <col min="3564" max="3564" width="6.44140625" style="46" customWidth="1"/>
    <col min="3565" max="3565" width="13.88671875" style="46" customWidth="1"/>
    <col min="3566" max="3566" width="11.88671875" style="46" customWidth="1"/>
    <col min="3567" max="3569" width="9.6640625" style="46"/>
    <col min="3570" max="3570" width="15.44140625" style="46" customWidth="1"/>
    <col min="3571" max="3571" width="16.21875" style="46" customWidth="1"/>
    <col min="3572" max="3583" width="9.6640625" style="46"/>
    <col min="3584" max="3584" width="12" style="46" customWidth="1"/>
    <col min="3585" max="3585" width="12.77734375" style="46" customWidth="1"/>
    <col min="3586" max="3586" width="11.109375" style="46" customWidth="1"/>
    <col min="3587" max="3587" width="12" style="46" customWidth="1"/>
    <col min="3588" max="3588" width="9.6640625" style="46"/>
    <col min="3589" max="3589" width="15.33203125" style="46" customWidth="1"/>
    <col min="3590" max="3590" width="15.21875" style="46" customWidth="1"/>
    <col min="3591" max="3591" width="21.44140625" style="46" customWidth="1"/>
    <col min="3592" max="3607" width="9.6640625" style="46"/>
    <col min="3608" max="3609" width="13.44140625" style="46" customWidth="1"/>
    <col min="3610" max="3610" width="9.6640625" style="46"/>
    <col min="3611" max="3611" width="13.88671875" style="46" customWidth="1"/>
    <col min="3612" max="3612" width="10.6640625" style="46" customWidth="1"/>
    <col min="3613" max="3613" width="17.33203125" style="46" customWidth="1"/>
    <col min="3614" max="3615" width="12.6640625" style="46" customWidth="1"/>
    <col min="3616" max="3616" width="11.21875" style="46" customWidth="1"/>
    <col min="3617" max="3617" width="18.33203125" style="46" customWidth="1"/>
    <col min="3618" max="3618" width="12.88671875" style="46" customWidth="1"/>
    <col min="3619" max="3620" width="13.21875" style="46" customWidth="1"/>
    <col min="3621" max="3621" width="10.88671875" style="46" customWidth="1"/>
    <col min="3622" max="3622" width="11.109375" style="46" customWidth="1"/>
    <col min="3623" max="3623" width="15.21875" style="46" customWidth="1"/>
    <col min="3624" max="3624" width="9.6640625" style="46"/>
    <col min="3625" max="3625" width="11" style="46" customWidth="1"/>
    <col min="3626" max="3626" width="10.77734375" style="46" customWidth="1"/>
    <col min="3627" max="3627" width="11.44140625" style="46" customWidth="1"/>
    <col min="3628" max="3628" width="4" style="46" customWidth="1"/>
    <col min="3629" max="3819" width="9.6640625" style="46"/>
    <col min="3820" max="3820" width="6.44140625" style="46" customWidth="1"/>
    <col min="3821" max="3821" width="13.88671875" style="46" customWidth="1"/>
    <col min="3822" max="3822" width="11.88671875" style="46" customWidth="1"/>
    <col min="3823" max="3825" width="9.6640625" style="46"/>
    <col min="3826" max="3826" width="15.44140625" style="46" customWidth="1"/>
    <col min="3827" max="3827" width="16.21875" style="46" customWidth="1"/>
    <col min="3828" max="3839" width="9.6640625" style="46"/>
    <col min="3840" max="3840" width="12" style="46" customWidth="1"/>
    <col min="3841" max="3841" width="12.77734375" style="46" customWidth="1"/>
    <col min="3842" max="3842" width="11.109375" style="46" customWidth="1"/>
    <col min="3843" max="3843" width="12" style="46" customWidth="1"/>
    <col min="3844" max="3844" width="9.6640625" style="46"/>
    <col min="3845" max="3845" width="15.33203125" style="46" customWidth="1"/>
    <col min="3846" max="3846" width="15.21875" style="46" customWidth="1"/>
    <col min="3847" max="3847" width="21.44140625" style="46" customWidth="1"/>
    <col min="3848" max="3863" width="9.6640625" style="46"/>
    <col min="3864" max="3865" width="13.44140625" style="46" customWidth="1"/>
    <col min="3866" max="3866" width="9.6640625" style="46"/>
    <col min="3867" max="3867" width="13.88671875" style="46" customWidth="1"/>
    <col min="3868" max="3868" width="10.6640625" style="46" customWidth="1"/>
    <col min="3869" max="3869" width="17.33203125" style="46" customWidth="1"/>
    <col min="3870" max="3871" width="12.6640625" style="46" customWidth="1"/>
    <col min="3872" max="3872" width="11.21875" style="46" customWidth="1"/>
    <col min="3873" max="3873" width="18.33203125" style="46" customWidth="1"/>
    <col min="3874" max="3874" width="12.88671875" style="46" customWidth="1"/>
    <col min="3875" max="3876" width="13.21875" style="46" customWidth="1"/>
    <col min="3877" max="3877" width="10.88671875" style="46" customWidth="1"/>
    <col min="3878" max="3878" width="11.109375" style="46" customWidth="1"/>
    <col min="3879" max="3879" width="15.21875" style="46" customWidth="1"/>
    <col min="3880" max="3880" width="9.6640625" style="46"/>
    <col min="3881" max="3881" width="11" style="46" customWidth="1"/>
    <col min="3882" max="3882" width="10.77734375" style="46" customWidth="1"/>
    <col min="3883" max="3883" width="11.44140625" style="46" customWidth="1"/>
    <col min="3884" max="3884" width="4" style="46" customWidth="1"/>
    <col min="3885" max="4075" width="9.6640625" style="46"/>
    <col min="4076" max="4076" width="6.44140625" style="46" customWidth="1"/>
    <col min="4077" max="4077" width="13.88671875" style="46" customWidth="1"/>
    <col min="4078" max="4078" width="11.88671875" style="46" customWidth="1"/>
    <col min="4079" max="4081" width="9.6640625" style="46"/>
    <col min="4082" max="4082" width="15.44140625" style="46" customWidth="1"/>
    <col min="4083" max="4083" width="16.21875" style="46" customWidth="1"/>
    <col min="4084" max="4095" width="9.6640625" style="46"/>
    <col min="4096" max="4096" width="12" style="46" customWidth="1"/>
    <col min="4097" max="4097" width="12.77734375" style="46" customWidth="1"/>
    <col min="4098" max="4098" width="11.109375" style="46" customWidth="1"/>
    <col min="4099" max="4099" width="12" style="46" customWidth="1"/>
    <col min="4100" max="4100" width="9.6640625" style="46"/>
    <col min="4101" max="4101" width="15.33203125" style="46" customWidth="1"/>
    <col min="4102" max="4102" width="15.21875" style="46" customWidth="1"/>
    <col min="4103" max="4103" width="21.44140625" style="46" customWidth="1"/>
    <col min="4104" max="4119" width="9.6640625" style="46"/>
    <col min="4120" max="4121" width="13.44140625" style="46" customWidth="1"/>
    <col min="4122" max="4122" width="9.6640625" style="46"/>
    <col min="4123" max="4123" width="13.88671875" style="46" customWidth="1"/>
    <col min="4124" max="4124" width="10.6640625" style="46" customWidth="1"/>
    <col min="4125" max="4125" width="17.33203125" style="46" customWidth="1"/>
    <col min="4126" max="4127" width="12.6640625" style="46" customWidth="1"/>
    <col min="4128" max="4128" width="11.21875" style="46" customWidth="1"/>
    <col min="4129" max="4129" width="18.33203125" style="46" customWidth="1"/>
    <col min="4130" max="4130" width="12.88671875" style="46" customWidth="1"/>
    <col min="4131" max="4132" width="13.21875" style="46" customWidth="1"/>
    <col min="4133" max="4133" width="10.88671875" style="46" customWidth="1"/>
    <col min="4134" max="4134" width="11.109375" style="46" customWidth="1"/>
    <col min="4135" max="4135" width="15.21875" style="46" customWidth="1"/>
    <col min="4136" max="4136" width="9.6640625" style="46"/>
    <col min="4137" max="4137" width="11" style="46" customWidth="1"/>
    <col min="4138" max="4138" width="10.77734375" style="46" customWidth="1"/>
    <col min="4139" max="4139" width="11.44140625" style="46" customWidth="1"/>
    <col min="4140" max="4140" width="4" style="46" customWidth="1"/>
    <col min="4141" max="4331" width="9.6640625" style="46"/>
    <col min="4332" max="4332" width="6.44140625" style="46" customWidth="1"/>
    <col min="4333" max="4333" width="13.88671875" style="46" customWidth="1"/>
    <col min="4334" max="4334" width="11.88671875" style="46" customWidth="1"/>
    <col min="4335" max="4337" width="9.6640625" style="46"/>
    <col min="4338" max="4338" width="15.44140625" style="46" customWidth="1"/>
    <col min="4339" max="4339" width="16.21875" style="46" customWidth="1"/>
    <col min="4340" max="4351" width="9.6640625" style="46"/>
    <col min="4352" max="4352" width="12" style="46" customWidth="1"/>
    <col min="4353" max="4353" width="12.77734375" style="46" customWidth="1"/>
    <col min="4354" max="4354" width="11.109375" style="46" customWidth="1"/>
    <col min="4355" max="4355" width="12" style="46" customWidth="1"/>
    <col min="4356" max="4356" width="9.6640625" style="46"/>
    <col min="4357" max="4357" width="15.33203125" style="46" customWidth="1"/>
    <col min="4358" max="4358" width="15.21875" style="46" customWidth="1"/>
    <col min="4359" max="4359" width="21.44140625" style="46" customWidth="1"/>
    <col min="4360" max="4375" width="9.6640625" style="46"/>
    <col min="4376" max="4377" width="13.44140625" style="46" customWidth="1"/>
    <col min="4378" max="4378" width="9.6640625" style="46"/>
    <col min="4379" max="4379" width="13.88671875" style="46" customWidth="1"/>
    <col min="4380" max="4380" width="10.6640625" style="46" customWidth="1"/>
    <col min="4381" max="4381" width="17.33203125" style="46" customWidth="1"/>
    <col min="4382" max="4383" width="12.6640625" style="46" customWidth="1"/>
    <col min="4384" max="4384" width="11.21875" style="46" customWidth="1"/>
    <col min="4385" max="4385" width="18.33203125" style="46" customWidth="1"/>
    <col min="4386" max="4386" width="12.88671875" style="46" customWidth="1"/>
    <col min="4387" max="4388" width="13.21875" style="46" customWidth="1"/>
    <col min="4389" max="4389" width="10.88671875" style="46" customWidth="1"/>
    <col min="4390" max="4390" width="11.109375" style="46" customWidth="1"/>
    <col min="4391" max="4391" width="15.21875" style="46" customWidth="1"/>
    <col min="4392" max="4392" width="9.6640625" style="46"/>
    <col min="4393" max="4393" width="11" style="46" customWidth="1"/>
    <col min="4394" max="4394" width="10.77734375" style="46" customWidth="1"/>
    <col min="4395" max="4395" width="11.44140625" style="46" customWidth="1"/>
    <col min="4396" max="4396" width="4" style="46" customWidth="1"/>
    <col min="4397" max="4587" width="9.6640625" style="46"/>
    <col min="4588" max="4588" width="6.44140625" style="46" customWidth="1"/>
    <col min="4589" max="4589" width="13.88671875" style="46" customWidth="1"/>
    <col min="4590" max="4590" width="11.88671875" style="46" customWidth="1"/>
    <col min="4591" max="4593" width="9.6640625" style="46"/>
    <col min="4594" max="4594" width="15.44140625" style="46" customWidth="1"/>
    <col min="4595" max="4595" width="16.21875" style="46" customWidth="1"/>
    <col min="4596" max="4607" width="9.6640625" style="46"/>
    <col min="4608" max="4608" width="12" style="46" customWidth="1"/>
    <col min="4609" max="4609" width="12.77734375" style="46" customWidth="1"/>
    <col min="4610" max="4610" width="11.109375" style="46" customWidth="1"/>
    <col min="4611" max="4611" width="12" style="46" customWidth="1"/>
    <col min="4612" max="4612" width="9.6640625" style="46"/>
    <col min="4613" max="4613" width="15.33203125" style="46" customWidth="1"/>
    <col min="4614" max="4614" width="15.21875" style="46" customWidth="1"/>
    <col min="4615" max="4615" width="21.44140625" style="46" customWidth="1"/>
    <col min="4616" max="4631" width="9.6640625" style="46"/>
    <col min="4632" max="4633" width="13.44140625" style="46" customWidth="1"/>
    <col min="4634" max="4634" width="9.6640625" style="46"/>
    <col min="4635" max="4635" width="13.88671875" style="46" customWidth="1"/>
    <col min="4636" max="4636" width="10.6640625" style="46" customWidth="1"/>
    <col min="4637" max="4637" width="17.33203125" style="46" customWidth="1"/>
    <col min="4638" max="4639" width="12.6640625" style="46" customWidth="1"/>
    <col min="4640" max="4640" width="11.21875" style="46" customWidth="1"/>
    <col min="4641" max="4641" width="18.33203125" style="46" customWidth="1"/>
    <col min="4642" max="4642" width="12.88671875" style="46" customWidth="1"/>
    <col min="4643" max="4644" width="13.21875" style="46" customWidth="1"/>
    <col min="4645" max="4645" width="10.88671875" style="46" customWidth="1"/>
    <col min="4646" max="4646" width="11.109375" style="46" customWidth="1"/>
    <col min="4647" max="4647" width="15.21875" style="46" customWidth="1"/>
    <col min="4648" max="4648" width="9.6640625" style="46"/>
    <col min="4649" max="4649" width="11" style="46" customWidth="1"/>
    <col min="4650" max="4650" width="10.77734375" style="46" customWidth="1"/>
    <col min="4651" max="4651" width="11.44140625" style="46" customWidth="1"/>
    <col min="4652" max="4652" width="4" style="46" customWidth="1"/>
    <col min="4653" max="4843" width="9.6640625" style="46"/>
    <col min="4844" max="4844" width="6.44140625" style="46" customWidth="1"/>
    <col min="4845" max="4845" width="13.88671875" style="46" customWidth="1"/>
    <col min="4846" max="4846" width="11.88671875" style="46" customWidth="1"/>
    <col min="4847" max="4849" width="9.6640625" style="46"/>
    <col min="4850" max="4850" width="15.44140625" style="46" customWidth="1"/>
    <col min="4851" max="4851" width="16.21875" style="46" customWidth="1"/>
    <col min="4852" max="4863" width="9.6640625" style="46"/>
    <col min="4864" max="4864" width="12" style="46" customWidth="1"/>
    <col min="4865" max="4865" width="12.77734375" style="46" customWidth="1"/>
    <col min="4866" max="4866" width="11.109375" style="46" customWidth="1"/>
    <col min="4867" max="4867" width="12" style="46" customWidth="1"/>
    <col min="4868" max="4868" width="9.6640625" style="46"/>
    <col min="4869" max="4869" width="15.33203125" style="46" customWidth="1"/>
    <col min="4870" max="4870" width="15.21875" style="46" customWidth="1"/>
    <col min="4871" max="4871" width="21.44140625" style="46" customWidth="1"/>
    <col min="4872" max="4887" width="9.6640625" style="46"/>
    <col min="4888" max="4889" width="13.44140625" style="46" customWidth="1"/>
    <col min="4890" max="4890" width="9.6640625" style="46"/>
    <col min="4891" max="4891" width="13.88671875" style="46" customWidth="1"/>
    <col min="4892" max="4892" width="10.6640625" style="46" customWidth="1"/>
    <col min="4893" max="4893" width="17.33203125" style="46" customWidth="1"/>
    <col min="4894" max="4895" width="12.6640625" style="46" customWidth="1"/>
    <col min="4896" max="4896" width="11.21875" style="46" customWidth="1"/>
    <col min="4897" max="4897" width="18.33203125" style="46" customWidth="1"/>
    <col min="4898" max="4898" width="12.88671875" style="46" customWidth="1"/>
    <col min="4899" max="4900" width="13.21875" style="46" customWidth="1"/>
    <col min="4901" max="4901" width="10.88671875" style="46" customWidth="1"/>
    <col min="4902" max="4902" width="11.109375" style="46" customWidth="1"/>
    <col min="4903" max="4903" width="15.21875" style="46" customWidth="1"/>
    <col min="4904" max="4904" width="9.6640625" style="46"/>
    <col min="4905" max="4905" width="11" style="46" customWidth="1"/>
    <col min="4906" max="4906" width="10.77734375" style="46" customWidth="1"/>
    <col min="4907" max="4907" width="11.44140625" style="46" customWidth="1"/>
    <col min="4908" max="4908" width="4" style="46" customWidth="1"/>
    <col min="4909" max="5099" width="9.6640625" style="46"/>
    <col min="5100" max="5100" width="6.44140625" style="46" customWidth="1"/>
    <col min="5101" max="5101" width="13.88671875" style="46" customWidth="1"/>
    <col min="5102" max="5102" width="11.88671875" style="46" customWidth="1"/>
    <col min="5103" max="5105" width="9.6640625" style="46"/>
    <col min="5106" max="5106" width="15.44140625" style="46" customWidth="1"/>
    <col min="5107" max="5107" width="16.21875" style="46" customWidth="1"/>
    <col min="5108" max="5119" width="9.6640625" style="46"/>
    <col min="5120" max="5120" width="12" style="46" customWidth="1"/>
    <col min="5121" max="5121" width="12.77734375" style="46" customWidth="1"/>
    <col min="5122" max="5122" width="11.109375" style="46" customWidth="1"/>
    <col min="5123" max="5123" width="12" style="46" customWidth="1"/>
    <col min="5124" max="5124" width="9.6640625" style="46"/>
    <col min="5125" max="5125" width="15.33203125" style="46" customWidth="1"/>
    <col min="5126" max="5126" width="15.21875" style="46" customWidth="1"/>
    <col min="5127" max="5127" width="21.44140625" style="46" customWidth="1"/>
    <col min="5128" max="5143" width="9.6640625" style="46"/>
    <col min="5144" max="5145" width="13.44140625" style="46" customWidth="1"/>
    <col min="5146" max="5146" width="9.6640625" style="46"/>
    <col min="5147" max="5147" width="13.88671875" style="46" customWidth="1"/>
    <col min="5148" max="5148" width="10.6640625" style="46" customWidth="1"/>
    <col min="5149" max="5149" width="17.33203125" style="46" customWidth="1"/>
    <col min="5150" max="5151" width="12.6640625" style="46" customWidth="1"/>
    <col min="5152" max="5152" width="11.21875" style="46" customWidth="1"/>
    <col min="5153" max="5153" width="18.33203125" style="46" customWidth="1"/>
    <col min="5154" max="5154" width="12.88671875" style="46" customWidth="1"/>
    <col min="5155" max="5156" width="13.21875" style="46" customWidth="1"/>
    <col min="5157" max="5157" width="10.88671875" style="46" customWidth="1"/>
    <col min="5158" max="5158" width="11.109375" style="46" customWidth="1"/>
    <col min="5159" max="5159" width="15.21875" style="46" customWidth="1"/>
    <col min="5160" max="5160" width="9.6640625" style="46"/>
    <col min="5161" max="5161" width="11" style="46" customWidth="1"/>
    <col min="5162" max="5162" width="10.77734375" style="46" customWidth="1"/>
    <col min="5163" max="5163" width="11.44140625" style="46" customWidth="1"/>
    <col min="5164" max="5164" width="4" style="46" customWidth="1"/>
    <col min="5165" max="5355" width="9.6640625" style="46"/>
    <col min="5356" max="5356" width="6.44140625" style="46" customWidth="1"/>
    <col min="5357" max="5357" width="13.88671875" style="46" customWidth="1"/>
    <col min="5358" max="5358" width="11.88671875" style="46" customWidth="1"/>
    <col min="5359" max="5361" width="9.6640625" style="46"/>
    <col min="5362" max="5362" width="15.44140625" style="46" customWidth="1"/>
    <col min="5363" max="5363" width="16.21875" style="46" customWidth="1"/>
    <col min="5364" max="5375" width="9.6640625" style="46"/>
    <col min="5376" max="5376" width="12" style="46" customWidth="1"/>
    <col min="5377" max="5377" width="12.77734375" style="46" customWidth="1"/>
    <col min="5378" max="5378" width="11.109375" style="46" customWidth="1"/>
    <col min="5379" max="5379" width="12" style="46" customWidth="1"/>
    <col min="5380" max="5380" width="9.6640625" style="46"/>
    <col min="5381" max="5381" width="15.33203125" style="46" customWidth="1"/>
    <col min="5382" max="5382" width="15.21875" style="46" customWidth="1"/>
    <col min="5383" max="5383" width="21.44140625" style="46" customWidth="1"/>
    <col min="5384" max="5399" width="9.6640625" style="46"/>
    <col min="5400" max="5401" width="13.44140625" style="46" customWidth="1"/>
    <col min="5402" max="5402" width="9.6640625" style="46"/>
    <col min="5403" max="5403" width="13.88671875" style="46" customWidth="1"/>
    <col min="5404" max="5404" width="10.6640625" style="46" customWidth="1"/>
    <col min="5405" max="5405" width="17.33203125" style="46" customWidth="1"/>
    <col min="5406" max="5407" width="12.6640625" style="46" customWidth="1"/>
    <col min="5408" max="5408" width="11.21875" style="46" customWidth="1"/>
    <col min="5409" max="5409" width="18.33203125" style="46" customWidth="1"/>
    <col min="5410" max="5410" width="12.88671875" style="46" customWidth="1"/>
    <col min="5411" max="5412" width="13.21875" style="46" customWidth="1"/>
    <col min="5413" max="5413" width="10.88671875" style="46" customWidth="1"/>
    <col min="5414" max="5414" width="11.109375" style="46" customWidth="1"/>
    <col min="5415" max="5415" width="15.21875" style="46" customWidth="1"/>
    <col min="5416" max="5416" width="9.6640625" style="46"/>
    <col min="5417" max="5417" width="11" style="46" customWidth="1"/>
    <col min="5418" max="5418" width="10.77734375" style="46" customWidth="1"/>
    <col min="5419" max="5419" width="11.44140625" style="46" customWidth="1"/>
    <col min="5420" max="5420" width="4" style="46" customWidth="1"/>
    <col min="5421" max="5611" width="9.6640625" style="46"/>
    <col min="5612" max="5612" width="6.44140625" style="46" customWidth="1"/>
    <col min="5613" max="5613" width="13.88671875" style="46" customWidth="1"/>
    <col min="5614" max="5614" width="11.88671875" style="46" customWidth="1"/>
    <col min="5615" max="5617" width="9.6640625" style="46"/>
    <col min="5618" max="5618" width="15.44140625" style="46" customWidth="1"/>
    <col min="5619" max="5619" width="16.21875" style="46" customWidth="1"/>
    <col min="5620" max="5631" width="9.6640625" style="46"/>
    <col min="5632" max="5632" width="12" style="46" customWidth="1"/>
    <col min="5633" max="5633" width="12.77734375" style="46" customWidth="1"/>
    <col min="5634" max="5634" width="11.109375" style="46" customWidth="1"/>
    <col min="5635" max="5635" width="12" style="46" customWidth="1"/>
    <col min="5636" max="5636" width="9.6640625" style="46"/>
    <col min="5637" max="5637" width="15.33203125" style="46" customWidth="1"/>
    <col min="5638" max="5638" width="15.21875" style="46" customWidth="1"/>
    <col min="5639" max="5639" width="21.44140625" style="46" customWidth="1"/>
    <col min="5640" max="5655" width="9.6640625" style="46"/>
    <col min="5656" max="5657" width="13.44140625" style="46" customWidth="1"/>
    <col min="5658" max="5658" width="9.6640625" style="46"/>
    <col min="5659" max="5659" width="13.88671875" style="46" customWidth="1"/>
    <col min="5660" max="5660" width="10.6640625" style="46" customWidth="1"/>
    <col min="5661" max="5661" width="17.33203125" style="46" customWidth="1"/>
    <col min="5662" max="5663" width="12.6640625" style="46" customWidth="1"/>
    <col min="5664" max="5664" width="11.21875" style="46" customWidth="1"/>
    <col min="5665" max="5665" width="18.33203125" style="46" customWidth="1"/>
    <col min="5666" max="5666" width="12.88671875" style="46" customWidth="1"/>
    <col min="5667" max="5668" width="13.21875" style="46" customWidth="1"/>
    <col min="5669" max="5669" width="10.88671875" style="46" customWidth="1"/>
    <col min="5670" max="5670" width="11.109375" style="46" customWidth="1"/>
    <col min="5671" max="5671" width="15.21875" style="46" customWidth="1"/>
    <col min="5672" max="5672" width="9.6640625" style="46"/>
    <col min="5673" max="5673" width="11" style="46" customWidth="1"/>
    <col min="5674" max="5674" width="10.77734375" style="46" customWidth="1"/>
    <col min="5675" max="5675" width="11.44140625" style="46" customWidth="1"/>
    <col min="5676" max="5676" width="4" style="46" customWidth="1"/>
    <col min="5677" max="5867" width="9.6640625" style="46"/>
    <col min="5868" max="5868" width="6.44140625" style="46" customWidth="1"/>
    <col min="5869" max="5869" width="13.88671875" style="46" customWidth="1"/>
    <col min="5870" max="5870" width="11.88671875" style="46" customWidth="1"/>
    <col min="5871" max="5873" width="9.6640625" style="46"/>
    <col min="5874" max="5874" width="15.44140625" style="46" customWidth="1"/>
    <col min="5875" max="5875" width="16.21875" style="46" customWidth="1"/>
    <col min="5876" max="5887" width="9.6640625" style="46"/>
    <col min="5888" max="5888" width="12" style="46" customWidth="1"/>
    <col min="5889" max="5889" width="12.77734375" style="46" customWidth="1"/>
    <col min="5890" max="5890" width="11.109375" style="46" customWidth="1"/>
    <col min="5891" max="5891" width="12" style="46" customWidth="1"/>
    <col min="5892" max="5892" width="9.6640625" style="46"/>
    <col min="5893" max="5893" width="15.33203125" style="46" customWidth="1"/>
    <col min="5894" max="5894" width="15.21875" style="46" customWidth="1"/>
    <col min="5895" max="5895" width="21.44140625" style="46" customWidth="1"/>
    <col min="5896" max="5911" width="9.6640625" style="46"/>
    <col min="5912" max="5913" width="13.44140625" style="46" customWidth="1"/>
    <col min="5914" max="5914" width="9.6640625" style="46"/>
    <col min="5915" max="5915" width="13.88671875" style="46" customWidth="1"/>
    <col min="5916" max="5916" width="10.6640625" style="46" customWidth="1"/>
    <col min="5917" max="5917" width="17.33203125" style="46" customWidth="1"/>
    <col min="5918" max="5919" width="12.6640625" style="46" customWidth="1"/>
    <col min="5920" max="5920" width="11.21875" style="46" customWidth="1"/>
    <col min="5921" max="5921" width="18.33203125" style="46" customWidth="1"/>
    <col min="5922" max="5922" width="12.88671875" style="46" customWidth="1"/>
    <col min="5923" max="5924" width="13.21875" style="46" customWidth="1"/>
    <col min="5925" max="5925" width="10.88671875" style="46" customWidth="1"/>
    <col min="5926" max="5926" width="11.109375" style="46" customWidth="1"/>
    <col min="5927" max="5927" width="15.21875" style="46" customWidth="1"/>
    <col min="5928" max="5928" width="9.6640625" style="46"/>
    <col min="5929" max="5929" width="11" style="46" customWidth="1"/>
    <col min="5930" max="5930" width="10.77734375" style="46" customWidth="1"/>
    <col min="5931" max="5931" width="11.44140625" style="46" customWidth="1"/>
    <col min="5932" max="5932" width="4" style="46" customWidth="1"/>
    <col min="5933" max="6123" width="9.6640625" style="46"/>
    <col min="6124" max="6124" width="6.44140625" style="46" customWidth="1"/>
    <col min="6125" max="6125" width="13.88671875" style="46" customWidth="1"/>
    <col min="6126" max="6126" width="11.88671875" style="46" customWidth="1"/>
    <col min="6127" max="6129" width="9.6640625" style="46"/>
    <col min="6130" max="6130" width="15.44140625" style="46" customWidth="1"/>
    <col min="6131" max="6131" width="16.21875" style="46" customWidth="1"/>
    <col min="6132" max="6143" width="9.6640625" style="46"/>
    <col min="6144" max="6144" width="12" style="46" customWidth="1"/>
    <col min="6145" max="6145" width="12.77734375" style="46" customWidth="1"/>
    <col min="6146" max="6146" width="11.109375" style="46" customWidth="1"/>
    <col min="6147" max="6147" width="12" style="46" customWidth="1"/>
    <col min="6148" max="6148" width="9.6640625" style="46"/>
    <col min="6149" max="6149" width="15.33203125" style="46" customWidth="1"/>
    <col min="6150" max="6150" width="15.21875" style="46" customWidth="1"/>
    <col min="6151" max="6151" width="21.44140625" style="46" customWidth="1"/>
    <col min="6152" max="6167" width="9.6640625" style="46"/>
    <col min="6168" max="6169" width="13.44140625" style="46" customWidth="1"/>
    <col min="6170" max="6170" width="9.6640625" style="46"/>
    <col min="6171" max="6171" width="13.88671875" style="46" customWidth="1"/>
    <col min="6172" max="6172" width="10.6640625" style="46" customWidth="1"/>
    <col min="6173" max="6173" width="17.33203125" style="46" customWidth="1"/>
    <col min="6174" max="6175" width="12.6640625" style="46" customWidth="1"/>
    <col min="6176" max="6176" width="11.21875" style="46" customWidth="1"/>
    <col min="6177" max="6177" width="18.33203125" style="46" customWidth="1"/>
    <col min="6178" max="6178" width="12.88671875" style="46" customWidth="1"/>
    <col min="6179" max="6180" width="13.21875" style="46" customWidth="1"/>
    <col min="6181" max="6181" width="10.88671875" style="46" customWidth="1"/>
    <col min="6182" max="6182" width="11.109375" style="46" customWidth="1"/>
    <col min="6183" max="6183" width="15.21875" style="46" customWidth="1"/>
    <col min="6184" max="6184" width="9.6640625" style="46"/>
    <col min="6185" max="6185" width="11" style="46" customWidth="1"/>
    <col min="6186" max="6186" width="10.77734375" style="46" customWidth="1"/>
    <col min="6187" max="6187" width="11.44140625" style="46" customWidth="1"/>
    <col min="6188" max="6188" width="4" style="46" customWidth="1"/>
    <col min="6189" max="6379" width="9.6640625" style="46"/>
    <col min="6380" max="6380" width="6.44140625" style="46" customWidth="1"/>
    <col min="6381" max="6381" width="13.88671875" style="46" customWidth="1"/>
    <col min="6382" max="6382" width="11.88671875" style="46" customWidth="1"/>
    <col min="6383" max="6385" width="9.6640625" style="46"/>
    <col min="6386" max="6386" width="15.44140625" style="46" customWidth="1"/>
    <col min="6387" max="6387" width="16.21875" style="46" customWidth="1"/>
    <col min="6388" max="6399" width="9.6640625" style="46"/>
    <col min="6400" max="6400" width="12" style="46" customWidth="1"/>
    <col min="6401" max="6401" width="12.77734375" style="46" customWidth="1"/>
    <col min="6402" max="6402" width="11.109375" style="46" customWidth="1"/>
    <col min="6403" max="6403" width="12" style="46" customWidth="1"/>
    <col min="6404" max="6404" width="9.6640625" style="46"/>
    <col min="6405" max="6405" width="15.33203125" style="46" customWidth="1"/>
    <col min="6406" max="6406" width="15.21875" style="46" customWidth="1"/>
    <col min="6407" max="6407" width="21.44140625" style="46" customWidth="1"/>
    <col min="6408" max="6423" width="9.6640625" style="46"/>
    <col min="6424" max="6425" width="13.44140625" style="46" customWidth="1"/>
    <col min="6426" max="6426" width="9.6640625" style="46"/>
    <col min="6427" max="6427" width="13.88671875" style="46" customWidth="1"/>
    <col min="6428" max="6428" width="10.6640625" style="46" customWidth="1"/>
    <col min="6429" max="6429" width="17.33203125" style="46" customWidth="1"/>
    <col min="6430" max="6431" width="12.6640625" style="46" customWidth="1"/>
    <col min="6432" max="6432" width="11.21875" style="46" customWidth="1"/>
    <col min="6433" max="6433" width="18.33203125" style="46" customWidth="1"/>
    <col min="6434" max="6434" width="12.88671875" style="46" customWidth="1"/>
    <col min="6435" max="6436" width="13.21875" style="46" customWidth="1"/>
    <col min="6437" max="6437" width="10.88671875" style="46" customWidth="1"/>
    <col min="6438" max="6438" width="11.109375" style="46" customWidth="1"/>
    <col min="6439" max="6439" width="15.21875" style="46" customWidth="1"/>
    <col min="6440" max="6440" width="9.6640625" style="46"/>
    <col min="6441" max="6441" width="11" style="46" customWidth="1"/>
    <col min="6442" max="6442" width="10.77734375" style="46" customWidth="1"/>
    <col min="6443" max="6443" width="11.44140625" style="46" customWidth="1"/>
    <col min="6444" max="6444" width="4" style="46" customWidth="1"/>
    <col min="6445" max="6635" width="9.6640625" style="46"/>
    <col min="6636" max="6636" width="6.44140625" style="46" customWidth="1"/>
    <col min="6637" max="6637" width="13.88671875" style="46" customWidth="1"/>
    <col min="6638" max="6638" width="11.88671875" style="46" customWidth="1"/>
    <col min="6639" max="6641" width="9.6640625" style="46"/>
    <col min="6642" max="6642" width="15.44140625" style="46" customWidth="1"/>
    <col min="6643" max="6643" width="16.21875" style="46" customWidth="1"/>
    <col min="6644" max="6655" width="9.6640625" style="46"/>
    <col min="6656" max="6656" width="12" style="46" customWidth="1"/>
    <col min="6657" max="6657" width="12.77734375" style="46" customWidth="1"/>
    <col min="6658" max="6658" width="11.109375" style="46" customWidth="1"/>
    <col min="6659" max="6659" width="12" style="46" customWidth="1"/>
    <col min="6660" max="6660" width="9.6640625" style="46"/>
    <col min="6661" max="6661" width="15.33203125" style="46" customWidth="1"/>
    <col min="6662" max="6662" width="15.21875" style="46" customWidth="1"/>
    <col min="6663" max="6663" width="21.44140625" style="46" customWidth="1"/>
    <col min="6664" max="6679" width="9.6640625" style="46"/>
    <col min="6680" max="6681" width="13.44140625" style="46" customWidth="1"/>
    <col min="6682" max="6682" width="9.6640625" style="46"/>
    <col min="6683" max="6683" width="13.88671875" style="46" customWidth="1"/>
    <col min="6684" max="6684" width="10.6640625" style="46" customWidth="1"/>
    <col min="6685" max="6685" width="17.33203125" style="46" customWidth="1"/>
    <col min="6686" max="6687" width="12.6640625" style="46" customWidth="1"/>
    <col min="6688" max="6688" width="11.21875" style="46" customWidth="1"/>
    <col min="6689" max="6689" width="18.33203125" style="46" customWidth="1"/>
    <col min="6690" max="6690" width="12.88671875" style="46" customWidth="1"/>
    <col min="6691" max="6692" width="13.21875" style="46" customWidth="1"/>
    <col min="6693" max="6693" width="10.88671875" style="46" customWidth="1"/>
    <col min="6694" max="6694" width="11.109375" style="46" customWidth="1"/>
    <col min="6695" max="6695" width="15.21875" style="46" customWidth="1"/>
    <col min="6696" max="6696" width="9.6640625" style="46"/>
    <col min="6697" max="6697" width="11" style="46" customWidth="1"/>
    <col min="6698" max="6698" width="10.77734375" style="46" customWidth="1"/>
    <col min="6699" max="6699" width="11.44140625" style="46" customWidth="1"/>
    <col min="6700" max="6700" width="4" style="46" customWidth="1"/>
    <col min="6701" max="6891" width="9.6640625" style="46"/>
    <col min="6892" max="6892" width="6.44140625" style="46" customWidth="1"/>
    <col min="6893" max="6893" width="13.88671875" style="46" customWidth="1"/>
    <col min="6894" max="6894" width="11.88671875" style="46" customWidth="1"/>
    <col min="6895" max="6897" width="9.6640625" style="46"/>
    <col min="6898" max="6898" width="15.44140625" style="46" customWidth="1"/>
    <col min="6899" max="6899" width="16.21875" style="46" customWidth="1"/>
    <col min="6900" max="6911" width="9.6640625" style="46"/>
    <col min="6912" max="6912" width="12" style="46" customWidth="1"/>
    <col min="6913" max="6913" width="12.77734375" style="46" customWidth="1"/>
    <col min="6914" max="6914" width="11.109375" style="46" customWidth="1"/>
    <col min="6915" max="6915" width="12" style="46" customWidth="1"/>
    <col min="6916" max="6916" width="9.6640625" style="46"/>
    <col min="6917" max="6917" width="15.33203125" style="46" customWidth="1"/>
    <col min="6918" max="6918" width="15.21875" style="46" customWidth="1"/>
    <col min="6919" max="6919" width="21.44140625" style="46" customWidth="1"/>
    <col min="6920" max="6935" width="9.6640625" style="46"/>
    <col min="6936" max="6937" width="13.44140625" style="46" customWidth="1"/>
    <col min="6938" max="6938" width="9.6640625" style="46"/>
    <col min="6939" max="6939" width="13.88671875" style="46" customWidth="1"/>
    <col min="6940" max="6940" width="10.6640625" style="46" customWidth="1"/>
    <col min="6941" max="6941" width="17.33203125" style="46" customWidth="1"/>
    <col min="6942" max="6943" width="12.6640625" style="46" customWidth="1"/>
    <col min="6944" max="6944" width="11.21875" style="46" customWidth="1"/>
    <col min="6945" max="6945" width="18.33203125" style="46" customWidth="1"/>
    <col min="6946" max="6946" width="12.88671875" style="46" customWidth="1"/>
    <col min="6947" max="6948" width="13.21875" style="46" customWidth="1"/>
    <col min="6949" max="6949" width="10.88671875" style="46" customWidth="1"/>
    <col min="6950" max="6950" width="11.109375" style="46" customWidth="1"/>
    <col min="6951" max="6951" width="15.21875" style="46" customWidth="1"/>
    <col min="6952" max="6952" width="9.6640625" style="46"/>
    <col min="6953" max="6953" width="11" style="46" customWidth="1"/>
    <col min="6954" max="6954" width="10.77734375" style="46" customWidth="1"/>
    <col min="6955" max="6955" width="11.44140625" style="46" customWidth="1"/>
    <col min="6956" max="6956" width="4" style="46" customWidth="1"/>
    <col min="6957" max="7147" width="9.6640625" style="46"/>
    <col min="7148" max="7148" width="6.44140625" style="46" customWidth="1"/>
    <col min="7149" max="7149" width="13.88671875" style="46" customWidth="1"/>
    <col min="7150" max="7150" width="11.88671875" style="46" customWidth="1"/>
    <col min="7151" max="7153" width="9.6640625" style="46"/>
    <col min="7154" max="7154" width="15.44140625" style="46" customWidth="1"/>
    <col min="7155" max="7155" width="16.21875" style="46" customWidth="1"/>
    <col min="7156" max="7167" width="9.6640625" style="46"/>
    <col min="7168" max="7168" width="12" style="46" customWidth="1"/>
    <col min="7169" max="7169" width="12.77734375" style="46" customWidth="1"/>
    <col min="7170" max="7170" width="11.109375" style="46" customWidth="1"/>
    <col min="7171" max="7171" width="12" style="46" customWidth="1"/>
    <col min="7172" max="7172" width="9.6640625" style="46"/>
    <col min="7173" max="7173" width="15.33203125" style="46" customWidth="1"/>
    <col min="7174" max="7174" width="15.21875" style="46" customWidth="1"/>
    <col min="7175" max="7175" width="21.44140625" style="46" customWidth="1"/>
    <col min="7176" max="7191" width="9.6640625" style="46"/>
    <col min="7192" max="7193" width="13.44140625" style="46" customWidth="1"/>
    <col min="7194" max="7194" width="9.6640625" style="46"/>
    <col min="7195" max="7195" width="13.88671875" style="46" customWidth="1"/>
    <col min="7196" max="7196" width="10.6640625" style="46" customWidth="1"/>
    <col min="7197" max="7197" width="17.33203125" style="46" customWidth="1"/>
    <col min="7198" max="7199" width="12.6640625" style="46" customWidth="1"/>
    <col min="7200" max="7200" width="11.21875" style="46" customWidth="1"/>
    <col min="7201" max="7201" width="18.33203125" style="46" customWidth="1"/>
    <col min="7202" max="7202" width="12.88671875" style="46" customWidth="1"/>
    <col min="7203" max="7204" width="13.21875" style="46" customWidth="1"/>
    <col min="7205" max="7205" width="10.88671875" style="46" customWidth="1"/>
    <col min="7206" max="7206" width="11.109375" style="46" customWidth="1"/>
    <col min="7207" max="7207" width="15.21875" style="46" customWidth="1"/>
    <col min="7208" max="7208" width="9.6640625" style="46"/>
    <col min="7209" max="7209" width="11" style="46" customWidth="1"/>
    <col min="7210" max="7210" width="10.77734375" style="46" customWidth="1"/>
    <col min="7211" max="7211" width="11.44140625" style="46" customWidth="1"/>
    <col min="7212" max="7212" width="4" style="46" customWidth="1"/>
    <col min="7213" max="7403" width="9.6640625" style="46"/>
    <col min="7404" max="7404" width="6.44140625" style="46" customWidth="1"/>
    <col min="7405" max="7405" width="13.88671875" style="46" customWidth="1"/>
    <col min="7406" max="7406" width="11.88671875" style="46" customWidth="1"/>
    <col min="7407" max="7409" width="9.6640625" style="46"/>
    <col min="7410" max="7410" width="15.44140625" style="46" customWidth="1"/>
    <col min="7411" max="7411" width="16.21875" style="46" customWidth="1"/>
    <col min="7412" max="7423" width="9.6640625" style="46"/>
    <col min="7424" max="7424" width="12" style="46" customWidth="1"/>
    <col min="7425" max="7425" width="12.77734375" style="46" customWidth="1"/>
    <col min="7426" max="7426" width="11.109375" style="46" customWidth="1"/>
    <col min="7427" max="7427" width="12" style="46" customWidth="1"/>
    <col min="7428" max="7428" width="9.6640625" style="46"/>
    <col min="7429" max="7429" width="15.33203125" style="46" customWidth="1"/>
    <col min="7430" max="7430" width="15.21875" style="46" customWidth="1"/>
    <col min="7431" max="7431" width="21.44140625" style="46" customWidth="1"/>
    <col min="7432" max="7447" width="9.6640625" style="46"/>
    <col min="7448" max="7449" width="13.44140625" style="46" customWidth="1"/>
    <col min="7450" max="7450" width="9.6640625" style="46"/>
    <col min="7451" max="7451" width="13.88671875" style="46" customWidth="1"/>
    <col min="7452" max="7452" width="10.6640625" style="46" customWidth="1"/>
    <col min="7453" max="7453" width="17.33203125" style="46" customWidth="1"/>
    <col min="7454" max="7455" width="12.6640625" style="46" customWidth="1"/>
    <col min="7456" max="7456" width="11.21875" style="46" customWidth="1"/>
    <col min="7457" max="7457" width="18.33203125" style="46" customWidth="1"/>
    <col min="7458" max="7458" width="12.88671875" style="46" customWidth="1"/>
    <col min="7459" max="7460" width="13.21875" style="46" customWidth="1"/>
    <col min="7461" max="7461" width="10.88671875" style="46" customWidth="1"/>
    <col min="7462" max="7462" width="11.109375" style="46" customWidth="1"/>
    <col min="7463" max="7463" width="15.21875" style="46" customWidth="1"/>
    <col min="7464" max="7464" width="9.6640625" style="46"/>
    <col min="7465" max="7465" width="11" style="46" customWidth="1"/>
    <col min="7466" max="7466" width="10.77734375" style="46" customWidth="1"/>
    <col min="7467" max="7467" width="11.44140625" style="46" customWidth="1"/>
    <col min="7468" max="7468" width="4" style="46" customWidth="1"/>
    <col min="7469" max="7659" width="9.6640625" style="46"/>
    <col min="7660" max="7660" width="6.44140625" style="46" customWidth="1"/>
    <col min="7661" max="7661" width="13.88671875" style="46" customWidth="1"/>
    <col min="7662" max="7662" width="11.88671875" style="46" customWidth="1"/>
    <col min="7663" max="7665" width="9.6640625" style="46"/>
    <col min="7666" max="7666" width="15.44140625" style="46" customWidth="1"/>
    <col min="7667" max="7667" width="16.21875" style="46" customWidth="1"/>
    <col min="7668" max="7679" width="9.6640625" style="46"/>
    <col min="7680" max="7680" width="12" style="46" customWidth="1"/>
    <col min="7681" max="7681" width="12.77734375" style="46" customWidth="1"/>
    <col min="7682" max="7682" width="11.109375" style="46" customWidth="1"/>
    <col min="7683" max="7683" width="12" style="46" customWidth="1"/>
    <col min="7684" max="7684" width="9.6640625" style="46"/>
    <col min="7685" max="7685" width="15.33203125" style="46" customWidth="1"/>
    <col min="7686" max="7686" width="15.21875" style="46" customWidth="1"/>
    <col min="7687" max="7687" width="21.44140625" style="46" customWidth="1"/>
    <col min="7688" max="7703" width="9.6640625" style="46"/>
    <col min="7704" max="7705" width="13.44140625" style="46" customWidth="1"/>
    <col min="7706" max="7706" width="9.6640625" style="46"/>
    <col min="7707" max="7707" width="13.88671875" style="46" customWidth="1"/>
    <col min="7708" max="7708" width="10.6640625" style="46" customWidth="1"/>
    <col min="7709" max="7709" width="17.33203125" style="46" customWidth="1"/>
    <col min="7710" max="7711" width="12.6640625" style="46" customWidth="1"/>
    <col min="7712" max="7712" width="11.21875" style="46" customWidth="1"/>
    <col min="7713" max="7713" width="18.33203125" style="46" customWidth="1"/>
    <col min="7714" max="7714" width="12.88671875" style="46" customWidth="1"/>
    <col min="7715" max="7716" width="13.21875" style="46" customWidth="1"/>
    <col min="7717" max="7717" width="10.88671875" style="46" customWidth="1"/>
    <col min="7718" max="7718" width="11.109375" style="46" customWidth="1"/>
    <col min="7719" max="7719" width="15.21875" style="46" customWidth="1"/>
    <col min="7720" max="7720" width="9.6640625" style="46"/>
    <col min="7721" max="7721" width="11" style="46" customWidth="1"/>
    <col min="7722" max="7722" width="10.77734375" style="46" customWidth="1"/>
    <col min="7723" max="7723" width="11.44140625" style="46" customWidth="1"/>
    <col min="7724" max="7724" width="4" style="46" customWidth="1"/>
    <col min="7725" max="7915" width="9.6640625" style="46"/>
    <col min="7916" max="7916" width="6.44140625" style="46" customWidth="1"/>
    <col min="7917" max="7917" width="13.88671875" style="46" customWidth="1"/>
    <col min="7918" max="7918" width="11.88671875" style="46" customWidth="1"/>
    <col min="7919" max="7921" width="9.6640625" style="46"/>
    <col min="7922" max="7922" width="15.44140625" style="46" customWidth="1"/>
    <col min="7923" max="7923" width="16.21875" style="46" customWidth="1"/>
    <col min="7924" max="7935" width="9.6640625" style="46"/>
    <col min="7936" max="7936" width="12" style="46" customWidth="1"/>
    <col min="7937" max="7937" width="12.77734375" style="46" customWidth="1"/>
    <col min="7938" max="7938" width="11.109375" style="46" customWidth="1"/>
    <col min="7939" max="7939" width="12" style="46" customWidth="1"/>
    <col min="7940" max="7940" width="9.6640625" style="46"/>
    <col min="7941" max="7941" width="15.33203125" style="46" customWidth="1"/>
    <col min="7942" max="7942" width="15.21875" style="46" customWidth="1"/>
    <col min="7943" max="7943" width="21.44140625" style="46" customWidth="1"/>
    <col min="7944" max="7959" width="9.6640625" style="46"/>
    <col min="7960" max="7961" width="13.44140625" style="46" customWidth="1"/>
    <col min="7962" max="7962" width="9.6640625" style="46"/>
    <col min="7963" max="7963" width="13.88671875" style="46" customWidth="1"/>
    <col min="7964" max="7964" width="10.6640625" style="46" customWidth="1"/>
    <col min="7965" max="7965" width="17.33203125" style="46" customWidth="1"/>
    <col min="7966" max="7967" width="12.6640625" style="46" customWidth="1"/>
    <col min="7968" max="7968" width="11.21875" style="46" customWidth="1"/>
    <col min="7969" max="7969" width="18.33203125" style="46" customWidth="1"/>
    <col min="7970" max="7970" width="12.88671875" style="46" customWidth="1"/>
    <col min="7971" max="7972" width="13.21875" style="46" customWidth="1"/>
    <col min="7973" max="7973" width="10.88671875" style="46" customWidth="1"/>
    <col min="7974" max="7974" width="11.109375" style="46" customWidth="1"/>
    <col min="7975" max="7975" width="15.21875" style="46" customWidth="1"/>
    <col min="7976" max="7976" width="9.6640625" style="46"/>
    <col min="7977" max="7977" width="11" style="46" customWidth="1"/>
    <col min="7978" max="7978" width="10.77734375" style="46" customWidth="1"/>
    <col min="7979" max="7979" width="11.44140625" style="46" customWidth="1"/>
    <col min="7980" max="7980" width="4" style="46" customWidth="1"/>
    <col min="7981" max="8171" width="9.6640625" style="46"/>
    <col min="8172" max="8172" width="6.44140625" style="46" customWidth="1"/>
    <col min="8173" max="8173" width="13.88671875" style="46" customWidth="1"/>
    <col min="8174" max="8174" width="11.88671875" style="46" customWidth="1"/>
    <col min="8175" max="8177" width="9.6640625" style="46"/>
    <col min="8178" max="8178" width="15.44140625" style="46" customWidth="1"/>
    <col min="8179" max="8179" width="16.21875" style="46" customWidth="1"/>
    <col min="8180" max="8191" width="9.6640625" style="46"/>
    <col min="8192" max="8192" width="12" style="46" customWidth="1"/>
    <col min="8193" max="8193" width="12.77734375" style="46" customWidth="1"/>
    <col min="8194" max="8194" width="11.109375" style="46" customWidth="1"/>
    <col min="8195" max="8195" width="12" style="46" customWidth="1"/>
    <col min="8196" max="8196" width="9.6640625" style="46"/>
    <col min="8197" max="8197" width="15.33203125" style="46" customWidth="1"/>
    <col min="8198" max="8198" width="15.21875" style="46" customWidth="1"/>
    <col min="8199" max="8199" width="21.44140625" style="46" customWidth="1"/>
    <col min="8200" max="8215" width="9.6640625" style="46"/>
    <col min="8216" max="8217" width="13.44140625" style="46" customWidth="1"/>
    <col min="8218" max="8218" width="9.6640625" style="46"/>
    <col min="8219" max="8219" width="13.88671875" style="46" customWidth="1"/>
    <col min="8220" max="8220" width="10.6640625" style="46" customWidth="1"/>
    <col min="8221" max="8221" width="17.33203125" style="46" customWidth="1"/>
    <col min="8222" max="8223" width="12.6640625" style="46" customWidth="1"/>
    <col min="8224" max="8224" width="11.21875" style="46" customWidth="1"/>
    <col min="8225" max="8225" width="18.33203125" style="46" customWidth="1"/>
    <col min="8226" max="8226" width="12.88671875" style="46" customWidth="1"/>
    <col min="8227" max="8228" width="13.21875" style="46" customWidth="1"/>
    <col min="8229" max="8229" width="10.88671875" style="46" customWidth="1"/>
    <col min="8230" max="8230" width="11.109375" style="46" customWidth="1"/>
    <col min="8231" max="8231" width="15.21875" style="46" customWidth="1"/>
    <col min="8232" max="8232" width="9.6640625" style="46"/>
    <col min="8233" max="8233" width="11" style="46" customWidth="1"/>
    <col min="8234" max="8234" width="10.77734375" style="46" customWidth="1"/>
    <col min="8235" max="8235" width="11.44140625" style="46" customWidth="1"/>
    <col min="8236" max="8236" width="4" style="46" customWidth="1"/>
    <col min="8237" max="8427" width="9.6640625" style="46"/>
    <col min="8428" max="8428" width="6.44140625" style="46" customWidth="1"/>
    <col min="8429" max="8429" width="13.88671875" style="46" customWidth="1"/>
    <col min="8430" max="8430" width="11.88671875" style="46" customWidth="1"/>
    <col min="8431" max="8433" width="9.6640625" style="46"/>
    <col min="8434" max="8434" width="15.44140625" style="46" customWidth="1"/>
    <col min="8435" max="8435" width="16.21875" style="46" customWidth="1"/>
    <col min="8436" max="8447" width="9.6640625" style="46"/>
    <col min="8448" max="8448" width="12" style="46" customWidth="1"/>
    <col min="8449" max="8449" width="12.77734375" style="46" customWidth="1"/>
    <col min="8450" max="8450" width="11.109375" style="46" customWidth="1"/>
    <col min="8451" max="8451" width="12" style="46" customWidth="1"/>
    <col min="8452" max="8452" width="9.6640625" style="46"/>
    <col min="8453" max="8453" width="15.33203125" style="46" customWidth="1"/>
    <col min="8454" max="8454" width="15.21875" style="46" customWidth="1"/>
    <col min="8455" max="8455" width="21.44140625" style="46" customWidth="1"/>
    <col min="8456" max="8471" width="9.6640625" style="46"/>
    <col min="8472" max="8473" width="13.44140625" style="46" customWidth="1"/>
    <col min="8474" max="8474" width="9.6640625" style="46"/>
    <col min="8475" max="8475" width="13.88671875" style="46" customWidth="1"/>
    <col min="8476" max="8476" width="10.6640625" style="46" customWidth="1"/>
    <col min="8477" max="8477" width="17.33203125" style="46" customWidth="1"/>
    <col min="8478" max="8479" width="12.6640625" style="46" customWidth="1"/>
    <col min="8480" max="8480" width="11.21875" style="46" customWidth="1"/>
    <col min="8481" max="8481" width="18.33203125" style="46" customWidth="1"/>
    <col min="8482" max="8482" width="12.88671875" style="46" customWidth="1"/>
    <col min="8483" max="8484" width="13.21875" style="46" customWidth="1"/>
    <col min="8485" max="8485" width="10.88671875" style="46" customWidth="1"/>
    <col min="8486" max="8486" width="11.109375" style="46" customWidth="1"/>
    <col min="8487" max="8487" width="15.21875" style="46" customWidth="1"/>
    <col min="8488" max="8488" width="9.6640625" style="46"/>
    <col min="8489" max="8489" width="11" style="46" customWidth="1"/>
    <col min="8490" max="8490" width="10.77734375" style="46" customWidth="1"/>
    <col min="8491" max="8491" width="11.44140625" style="46" customWidth="1"/>
    <col min="8492" max="8492" width="4" style="46" customWidth="1"/>
    <col min="8493" max="8683" width="9.6640625" style="46"/>
    <col min="8684" max="8684" width="6.44140625" style="46" customWidth="1"/>
    <col min="8685" max="8685" width="13.88671875" style="46" customWidth="1"/>
    <col min="8686" max="8686" width="11.88671875" style="46" customWidth="1"/>
    <col min="8687" max="8689" width="9.6640625" style="46"/>
    <col min="8690" max="8690" width="15.44140625" style="46" customWidth="1"/>
    <col min="8691" max="8691" width="16.21875" style="46" customWidth="1"/>
    <col min="8692" max="8703" width="9.6640625" style="46"/>
    <col min="8704" max="8704" width="12" style="46" customWidth="1"/>
    <col min="8705" max="8705" width="12.77734375" style="46" customWidth="1"/>
    <col min="8706" max="8706" width="11.109375" style="46" customWidth="1"/>
    <col min="8707" max="8707" width="12" style="46" customWidth="1"/>
    <col min="8708" max="8708" width="9.6640625" style="46"/>
    <col min="8709" max="8709" width="15.33203125" style="46" customWidth="1"/>
    <col min="8710" max="8710" width="15.21875" style="46" customWidth="1"/>
    <col min="8711" max="8711" width="21.44140625" style="46" customWidth="1"/>
    <col min="8712" max="8727" width="9.6640625" style="46"/>
    <col min="8728" max="8729" width="13.44140625" style="46" customWidth="1"/>
    <col min="8730" max="8730" width="9.6640625" style="46"/>
    <col min="8731" max="8731" width="13.88671875" style="46" customWidth="1"/>
    <col min="8732" max="8732" width="10.6640625" style="46" customWidth="1"/>
    <col min="8733" max="8733" width="17.33203125" style="46" customWidth="1"/>
    <col min="8734" max="8735" width="12.6640625" style="46" customWidth="1"/>
    <col min="8736" max="8736" width="11.21875" style="46" customWidth="1"/>
    <col min="8737" max="8737" width="18.33203125" style="46" customWidth="1"/>
    <col min="8738" max="8738" width="12.88671875" style="46" customWidth="1"/>
    <col min="8739" max="8740" width="13.21875" style="46" customWidth="1"/>
    <col min="8741" max="8741" width="10.88671875" style="46" customWidth="1"/>
    <col min="8742" max="8742" width="11.109375" style="46" customWidth="1"/>
    <col min="8743" max="8743" width="15.21875" style="46" customWidth="1"/>
    <col min="8744" max="8744" width="9.6640625" style="46"/>
    <col min="8745" max="8745" width="11" style="46" customWidth="1"/>
    <col min="8746" max="8746" width="10.77734375" style="46" customWidth="1"/>
    <col min="8747" max="8747" width="11.44140625" style="46" customWidth="1"/>
    <col min="8748" max="8748" width="4" style="46" customWidth="1"/>
    <col min="8749" max="8939" width="9.6640625" style="46"/>
    <col min="8940" max="8940" width="6.44140625" style="46" customWidth="1"/>
    <col min="8941" max="8941" width="13.88671875" style="46" customWidth="1"/>
    <col min="8942" max="8942" width="11.88671875" style="46" customWidth="1"/>
    <col min="8943" max="8945" width="9.6640625" style="46"/>
    <col min="8946" max="8946" width="15.44140625" style="46" customWidth="1"/>
    <col min="8947" max="8947" width="16.21875" style="46" customWidth="1"/>
    <col min="8948" max="8959" width="9.6640625" style="46"/>
    <col min="8960" max="8960" width="12" style="46" customWidth="1"/>
    <col min="8961" max="8961" width="12.77734375" style="46" customWidth="1"/>
    <col min="8962" max="8962" width="11.109375" style="46" customWidth="1"/>
    <col min="8963" max="8963" width="12" style="46" customWidth="1"/>
    <col min="8964" max="8964" width="9.6640625" style="46"/>
    <col min="8965" max="8965" width="15.33203125" style="46" customWidth="1"/>
    <col min="8966" max="8966" width="15.21875" style="46" customWidth="1"/>
    <col min="8967" max="8967" width="21.44140625" style="46" customWidth="1"/>
    <col min="8968" max="8983" width="9.6640625" style="46"/>
    <col min="8984" max="8985" width="13.44140625" style="46" customWidth="1"/>
    <col min="8986" max="8986" width="9.6640625" style="46"/>
    <col min="8987" max="8987" width="13.88671875" style="46" customWidth="1"/>
    <col min="8988" max="8988" width="10.6640625" style="46" customWidth="1"/>
    <col min="8989" max="8989" width="17.33203125" style="46" customWidth="1"/>
    <col min="8990" max="8991" width="12.6640625" style="46" customWidth="1"/>
    <col min="8992" max="8992" width="11.21875" style="46" customWidth="1"/>
    <col min="8993" max="8993" width="18.33203125" style="46" customWidth="1"/>
    <col min="8994" max="8994" width="12.88671875" style="46" customWidth="1"/>
    <col min="8995" max="8996" width="13.21875" style="46" customWidth="1"/>
    <col min="8997" max="8997" width="10.88671875" style="46" customWidth="1"/>
    <col min="8998" max="8998" width="11.109375" style="46" customWidth="1"/>
    <col min="8999" max="8999" width="15.21875" style="46" customWidth="1"/>
    <col min="9000" max="9000" width="9.6640625" style="46"/>
    <col min="9001" max="9001" width="11" style="46" customWidth="1"/>
    <col min="9002" max="9002" width="10.77734375" style="46" customWidth="1"/>
    <col min="9003" max="9003" width="11.44140625" style="46" customWidth="1"/>
    <col min="9004" max="9004" width="4" style="46" customWidth="1"/>
    <col min="9005" max="9195" width="9.6640625" style="46"/>
    <col min="9196" max="9196" width="6.44140625" style="46" customWidth="1"/>
    <col min="9197" max="9197" width="13.88671875" style="46" customWidth="1"/>
    <col min="9198" max="9198" width="11.88671875" style="46" customWidth="1"/>
    <col min="9199" max="9201" width="9.6640625" style="46"/>
    <col min="9202" max="9202" width="15.44140625" style="46" customWidth="1"/>
    <col min="9203" max="9203" width="16.21875" style="46" customWidth="1"/>
    <col min="9204" max="9215" width="9.6640625" style="46"/>
    <col min="9216" max="9216" width="12" style="46" customWidth="1"/>
    <col min="9217" max="9217" width="12.77734375" style="46" customWidth="1"/>
    <col min="9218" max="9218" width="11.109375" style="46" customWidth="1"/>
    <col min="9219" max="9219" width="12" style="46" customWidth="1"/>
    <col min="9220" max="9220" width="9.6640625" style="46"/>
    <col min="9221" max="9221" width="15.33203125" style="46" customWidth="1"/>
    <col min="9222" max="9222" width="15.21875" style="46" customWidth="1"/>
    <col min="9223" max="9223" width="21.44140625" style="46" customWidth="1"/>
    <col min="9224" max="9239" width="9.6640625" style="46"/>
    <col min="9240" max="9241" width="13.44140625" style="46" customWidth="1"/>
    <col min="9242" max="9242" width="9.6640625" style="46"/>
    <col min="9243" max="9243" width="13.88671875" style="46" customWidth="1"/>
    <col min="9244" max="9244" width="10.6640625" style="46" customWidth="1"/>
    <col min="9245" max="9245" width="17.33203125" style="46" customWidth="1"/>
    <col min="9246" max="9247" width="12.6640625" style="46" customWidth="1"/>
    <col min="9248" max="9248" width="11.21875" style="46" customWidth="1"/>
    <col min="9249" max="9249" width="18.33203125" style="46" customWidth="1"/>
    <col min="9250" max="9250" width="12.88671875" style="46" customWidth="1"/>
    <col min="9251" max="9252" width="13.21875" style="46" customWidth="1"/>
    <col min="9253" max="9253" width="10.88671875" style="46" customWidth="1"/>
    <col min="9254" max="9254" width="11.109375" style="46" customWidth="1"/>
    <col min="9255" max="9255" width="15.21875" style="46" customWidth="1"/>
    <col min="9256" max="9256" width="9.6640625" style="46"/>
    <col min="9257" max="9257" width="11" style="46" customWidth="1"/>
    <col min="9258" max="9258" width="10.77734375" style="46" customWidth="1"/>
    <col min="9259" max="9259" width="11.44140625" style="46" customWidth="1"/>
    <col min="9260" max="9260" width="4" style="46" customWidth="1"/>
    <col min="9261" max="9451" width="9.6640625" style="46"/>
    <col min="9452" max="9452" width="6.44140625" style="46" customWidth="1"/>
    <col min="9453" max="9453" width="13.88671875" style="46" customWidth="1"/>
    <col min="9454" max="9454" width="11.88671875" style="46" customWidth="1"/>
    <col min="9455" max="9457" width="9.6640625" style="46"/>
    <col min="9458" max="9458" width="15.44140625" style="46" customWidth="1"/>
    <col min="9459" max="9459" width="16.21875" style="46" customWidth="1"/>
    <col min="9460" max="9471" width="9.6640625" style="46"/>
    <col min="9472" max="9472" width="12" style="46" customWidth="1"/>
    <col min="9473" max="9473" width="12.77734375" style="46" customWidth="1"/>
    <col min="9474" max="9474" width="11.109375" style="46" customWidth="1"/>
    <col min="9475" max="9475" width="12" style="46" customWidth="1"/>
    <col min="9476" max="9476" width="9.6640625" style="46"/>
    <col min="9477" max="9477" width="15.33203125" style="46" customWidth="1"/>
    <col min="9478" max="9478" width="15.21875" style="46" customWidth="1"/>
    <col min="9479" max="9479" width="21.44140625" style="46" customWidth="1"/>
    <col min="9480" max="9495" width="9.6640625" style="46"/>
    <col min="9496" max="9497" width="13.44140625" style="46" customWidth="1"/>
    <col min="9498" max="9498" width="9.6640625" style="46"/>
    <col min="9499" max="9499" width="13.88671875" style="46" customWidth="1"/>
    <col min="9500" max="9500" width="10.6640625" style="46" customWidth="1"/>
    <col min="9501" max="9501" width="17.33203125" style="46" customWidth="1"/>
    <col min="9502" max="9503" width="12.6640625" style="46" customWidth="1"/>
    <col min="9504" max="9504" width="11.21875" style="46" customWidth="1"/>
    <col min="9505" max="9505" width="18.33203125" style="46" customWidth="1"/>
    <col min="9506" max="9506" width="12.88671875" style="46" customWidth="1"/>
    <col min="9507" max="9508" width="13.21875" style="46" customWidth="1"/>
    <col min="9509" max="9509" width="10.88671875" style="46" customWidth="1"/>
    <col min="9510" max="9510" width="11.109375" style="46" customWidth="1"/>
    <col min="9511" max="9511" width="15.21875" style="46" customWidth="1"/>
    <col min="9512" max="9512" width="9.6640625" style="46"/>
    <col min="9513" max="9513" width="11" style="46" customWidth="1"/>
    <col min="9514" max="9514" width="10.77734375" style="46" customWidth="1"/>
    <col min="9515" max="9515" width="11.44140625" style="46" customWidth="1"/>
    <col min="9516" max="9516" width="4" style="46" customWidth="1"/>
    <col min="9517" max="9707" width="9.6640625" style="46"/>
    <col min="9708" max="9708" width="6.44140625" style="46" customWidth="1"/>
    <col min="9709" max="9709" width="13.88671875" style="46" customWidth="1"/>
    <col min="9710" max="9710" width="11.88671875" style="46" customWidth="1"/>
    <col min="9711" max="9713" width="9.6640625" style="46"/>
    <col min="9714" max="9714" width="15.44140625" style="46" customWidth="1"/>
    <col min="9715" max="9715" width="16.21875" style="46" customWidth="1"/>
    <col min="9716" max="9727" width="9.6640625" style="46"/>
    <col min="9728" max="9728" width="12" style="46" customWidth="1"/>
    <col min="9729" max="9729" width="12.77734375" style="46" customWidth="1"/>
    <col min="9730" max="9730" width="11.109375" style="46" customWidth="1"/>
    <col min="9731" max="9731" width="12" style="46" customWidth="1"/>
    <col min="9732" max="9732" width="9.6640625" style="46"/>
    <col min="9733" max="9733" width="15.33203125" style="46" customWidth="1"/>
    <col min="9734" max="9734" width="15.21875" style="46" customWidth="1"/>
    <col min="9735" max="9735" width="21.44140625" style="46" customWidth="1"/>
    <col min="9736" max="9751" width="9.6640625" style="46"/>
    <col min="9752" max="9753" width="13.44140625" style="46" customWidth="1"/>
    <col min="9754" max="9754" width="9.6640625" style="46"/>
    <col min="9755" max="9755" width="13.88671875" style="46" customWidth="1"/>
    <col min="9756" max="9756" width="10.6640625" style="46" customWidth="1"/>
    <col min="9757" max="9757" width="17.33203125" style="46" customWidth="1"/>
    <col min="9758" max="9759" width="12.6640625" style="46" customWidth="1"/>
    <col min="9760" max="9760" width="11.21875" style="46" customWidth="1"/>
    <col min="9761" max="9761" width="18.33203125" style="46" customWidth="1"/>
    <col min="9762" max="9762" width="12.88671875" style="46" customWidth="1"/>
    <col min="9763" max="9764" width="13.21875" style="46" customWidth="1"/>
    <col min="9765" max="9765" width="10.88671875" style="46" customWidth="1"/>
    <col min="9766" max="9766" width="11.109375" style="46" customWidth="1"/>
    <col min="9767" max="9767" width="15.21875" style="46" customWidth="1"/>
    <col min="9768" max="9768" width="9.6640625" style="46"/>
    <col min="9769" max="9769" width="11" style="46" customWidth="1"/>
    <col min="9770" max="9770" width="10.77734375" style="46" customWidth="1"/>
    <col min="9771" max="9771" width="11.44140625" style="46" customWidth="1"/>
    <col min="9772" max="9772" width="4" style="46" customWidth="1"/>
    <col min="9773" max="9963" width="9.6640625" style="46"/>
    <col min="9964" max="9964" width="6.44140625" style="46" customWidth="1"/>
    <col min="9965" max="9965" width="13.88671875" style="46" customWidth="1"/>
    <col min="9966" max="9966" width="11.88671875" style="46" customWidth="1"/>
    <col min="9967" max="9969" width="9.6640625" style="46"/>
    <col min="9970" max="9970" width="15.44140625" style="46" customWidth="1"/>
    <col min="9971" max="9971" width="16.21875" style="46" customWidth="1"/>
    <col min="9972" max="9983" width="9.6640625" style="46"/>
    <col min="9984" max="9984" width="12" style="46" customWidth="1"/>
    <col min="9985" max="9985" width="12.77734375" style="46" customWidth="1"/>
    <col min="9986" max="9986" width="11.109375" style="46" customWidth="1"/>
    <col min="9987" max="9987" width="12" style="46" customWidth="1"/>
    <col min="9988" max="9988" width="9.6640625" style="46"/>
    <col min="9989" max="9989" width="15.33203125" style="46" customWidth="1"/>
    <col min="9990" max="9990" width="15.21875" style="46" customWidth="1"/>
    <col min="9991" max="9991" width="21.44140625" style="46" customWidth="1"/>
    <col min="9992" max="10007" width="9.6640625" style="46"/>
    <col min="10008" max="10009" width="13.44140625" style="46" customWidth="1"/>
    <col min="10010" max="10010" width="9.6640625" style="46"/>
    <col min="10011" max="10011" width="13.88671875" style="46" customWidth="1"/>
    <col min="10012" max="10012" width="10.6640625" style="46" customWidth="1"/>
    <col min="10013" max="10013" width="17.33203125" style="46" customWidth="1"/>
    <col min="10014" max="10015" width="12.6640625" style="46" customWidth="1"/>
    <col min="10016" max="10016" width="11.21875" style="46" customWidth="1"/>
    <col min="10017" max="10017" width="18.33203125" style="46" customWidth="1"/>
    <col min="10018" max="10018" width="12.88671875" style="46" customWidth="1"/>
    <col min="10019" max="10020" width="13.21875" style="46" customWidth="1"/>
    <col min="10021" max="10021" width="10.88671875" style="46" customWidth="1"/>
    <col min="10022" max="10022" width="11.109375" style="46" customWidth="1"/>
    <col min="10023" max="10023" width="15.21875" style="46" customWidth="1"/>
    <col min="10024" max="10024" width="9.6640625" style="46"/>
    <col min="10025" max="10025" width="11" style="46" customWidth="1"/>
    <col min="10026" max="10026" width="10.77734375" style="46" customWidth="1"/>
    <col min="10027" max="10027" width="11.44140625" style="46" customWidth="1"/>
    <col min="10028" max="10028" width="4" style="46" customWidth="1"/>
    <col min="10029" max="10219" width="9.6640625" style="46"/>
    <col min="10220" max="10220" width="6.44140625" style="46" customWidth="1"/>
    <col min="10221" max="10221" width="13.88671875" style="46" customWidth="1"/>
    <col min="10222" max="10222" width="11.88671875" style="46" customWidth="1"/>
    <col min="10223" max="10225" width="9.6640625" style="46"/>
    <col min="10226" max="10226" width="15.44140625" style="46" customWidth="1"/>
    <col min="10227" max="10227" width="16.21875" style="46" customWidth="1"/>
    <col min="10228" max="10239" width="9.6640625" style="46"/>
    <col min="10240" max="10240" width="12" style="46" customWidth="1"/>
    <col min="10241" max="10241" width="12.77734375" style="46" customWidth="1"/>
    <col min="10242" max="10242" width="11.109375" style="46" customWidth="1"/>
    <col min="10243" max="10243" width="12" style="46" customWidth="1"/>
    <col min="10244" max="10244" width="9.6640625" style="46"/>
    <col min="10245" max="10245" width="15.33203125" style="46" customWidth="1"/>
    <col min="10246" max="10246" width="15.21875" style="46" customWidth="1"/>
    <col min="10247" max="10247" width="21.44140625" style="46" customWidth="1"/>
    <col min="10248" max="10263" width="9.6640625" style="46"/>
    <col min="10264" max="10265" width="13.44140625" style="46" customWidth="1"/>
    <col min="10266" max="10266" width="9.6640625" style="46"/>
    <col min="10267" max="10267" width="13.88671875" style="46" customWidth="1"/>
    <col min="10268" max="10268" width="10.6640625" style="46" customWidth="1"/>
    <col min="10269" max="10269" width="17.33203125" style="46" customWidth="1"/>
    <col min="10270" max="10271" width="12.6640625" style="46" customWidth="1"/>
    <col min="10272" max="10272" width="11.21875" style="46" customWidth="1"/>
    <col min="10273" max="10273" width="18.33203125" style="46" customWidth="1"/>
    <col min="10274" max="10274" width="12.88671875" style="46" customWidth="1"/>
    <col min="10275" max="10276" width="13.21875" style="46" customWidth="1"/>
    <col min="10277" max="10277" width="10.88671875" style="46" customWidth="1"/>
    <col min="10278" max="10278" width="11.109375" style="46" customWidth="1"/>
    <col min="10279" max="10279" width="15.21875" style="46" customWidth="1"/>
    <col min="10280" max="10280" width="9.6640625" style="46"/>
    <col min="10281" max="10281" width="11" style="46" customWidth="1"/>
    <col min="10282" max="10282" width="10.77734375" style="46" customWidth="1"/>
    <col min="10283" max="10283" width="11.44140625" style="46" customWidth="1"/>
    <col min="10284" max="10284" width="4" style="46" customWidth="1"/>
    <col min="10285" max="10475" width="9.6640625" style="46"/>
    <col min="10476" max="10476" width="6.44140625" style="46" customWidth="1"/>
    <col min="10477" max="10477" width="13.88671875" style="46" customWidth="1"/>
    <col min="10478" max="10478" width="11.88671875" style="46" customWidth="1"/>
    <col min="10479" max="10481" width="9.6640625" style="46"/>
    <col min="10482" max="10482" width="15.44140625" style="46" customWidth="1"/>
    <col min="10483" max="10483" width="16.21875" style="46" customWidth="1"/>
    <col min="10484" max="10495" width="9.6640625" style="46"/>
    <col min="10496" max="10496" width="12" style="46" customWidth="1"/>
    <col min="10497" max="10497" width="12.77734375" style="46" customWidth="1"/>
    <col min="10498" max="10498" width="11.109375" style="46" customWidth="1"/>
    <col min="10499" max="10499" width="12" style="46" customWidth="1"/>
    <col min="10500" max="10500" width="9.6640625" style="46"/>
    <col min="10501" max="10501" width="15.33203125" style="46" customWidth="1"/>
    <col min="10502" max="10502" width="15.21875" style="46" customWidth="1"/>
    <col min="10503" max="10503" width="21.44140625" style="46" customWidth="1"/>
    <col min="10504" max="10519" width="9.6640625" style="46"/>
    <col min="10520" max="10521" width="13.44140625" style="46" customWidth="1"/>
    <col min="10522" max="10522" width="9.6640625" style="46"/>
    <col min="10523" max="10523" width="13.88671875" style="46" customWidth="1"/>
    <col min="10524" max="10524" width="10.6640625" style="46" customWidth="1"/>
    <col min="10525" max="10525" width="17.33203125" style="46" customWidth="1"/>
    <col min="10526" max="10527" width="12.6640625" style="46" customWidth="1"/>
    <col min="10528" max="10528" width="11.21875" style="46" customWidth="1"/>
    <col min="10529" max="10529" width="18.33203125" style="46" customWidth="1"/>
    <col min="10530" max="10530" width="12.88671875" style="46" customWidth="1"/>
    <col min="10531" max="10532" width="13.21875" style="46" customWidth="1"/>
    <col min="10533" max="10533" width="10.88671875" style="46" customWidth="1"/>
    <col min="10534" max="10534" width="11.109375" style="46" customWidth="1"/>
    <col min="10535" max="10535" width="15.21875" style="46" customWidth="1"/>
    <col min="10536" max="10536" width="9.6640625" style="46"/>
    <col min="10537" max="10537" width="11" style="46" customWidth="1"/>
    <col min="10538" max="10538" width="10.77734375" style="46" customWidth="1"/>
    <col min="10539" max="10539" width="11.44140625" style="46" customWidth="1"/>
    <col min="10540" max="10540" width="4" style="46" customWidth="1"/>
    <col min="10541" max="10731" width="9.6640625" style="46"/>
    <col min="10732" max="10732" width="6.44140625" style="46" customWidth="1"/>
    <col min="10733" max="10733" width="13.88671875" style="46" customWidth="1"/>
    <col min="10734" max="10734" width="11.88671875" style="46" customWidth="1"/>
    <col min="10735" max="10737" width="9.6640625" style="46"/>
    <col min="10738" max="10738" width="15.44140625" style="46" customWidth="1"/>
    <col min="10739" max="10739" width="16.21875" style="46" customWidth="1"/>
    <col min="10740" max="10751" width="9.6640625" style="46"/>
    <col min="10752" max="10752" width="12" style="46" customWidth="1"/>
    <col min="10753" max="10753" width="12.77734375" style="46" customWidth="1"/>
    <col min="10754" max="10754" width="11.109375" style="46" customWidth="1"/>
    <col min="10755" max="10755" width="12" style="46" customWidth="1"/>
    <col min="10756" max="10756" width="9.6640625" style="46"/>
    <col min="10757" max="10757" width="15.33203125" style="46" customWidth="1"/>
    <col min="10758" max="10758" width="15.21875" style="46" customWidth="1"/>
    <col min="10759" max="10759" width="21.44140625" style="46" customWidth="1"/>
    <col min="10760" max="10775" width="9.6640625" style="46"/>
    <col min="10776" max="10777" width="13.44140625" style="46" customWidth="1"/>
    <col min="10778" max="10778" width="9.6640625" style="46"/>
    <col min="10779" max="10779" width="13.88671875" style="46" customWidth="1"/>
    <col min="10780" max="10780" width="10.6640625" style="46" customWidth="1"/>
    <col min="10781" max="10781" width="17.33203125" style="46" customWidth="1"/>
    <col min="10782" max="10783" width="12.6640625" style="46" customWidth="1"/>
    <col min="10784" max="10784" width="11.21875" style="46" customWidth="1"/>
    <col min="10785" max="10785" width="18.33203125" style="46" customWidth="1"/>
    <col min="10786" max="10786" width="12.88671875" style="46" customWidth="1"/>
    <col min="10787" max="10788" width="13.21875" style="46" customWidth="1"/>
    <col min="10789" max="10789" width="10.88671875" style="46" customWidth="1"/>
    <col min="10790" max="10790" width="11.109375" style="46" customWidth="1"/>
    <col min="10791" max="10791" width="15.21875" style="46" customWidth="1"/>
    <col min="10792" max="10792" width="9.6640625" style="46"/>
    <col min="10793" max="10793" width="11" style="46" customWidth="1"/>
    <col min="10794" max="10794" width="10.77734375" style="46" customWidth="1"/>
    <col min="10795" max="10795" width="11.44140625" style="46" customWidth="1"/>
    <col min="10796" max="10796" width="4" style="46" customWidth="1"/>
    <col min="10797" max="10987" width="9.6640625" style="46"/>
    <col min="10988" max="10988" width="6.44140625" style="46" customWidth="1"/>
    <col min="10989" max="10989" width="13.88671875" style="46" customWidth="1"/>
    <col min="10990" max="10990" width="11.88671875" style="46" customWidth="1"/>
    <col min="10991" max="10993" width="9.6640625" style="46"/>
    <col min="10994" max="10994" width="15.44140625" style="46" customWidth="1"/>
    <col min="10995" max="10995" width="16.21875" style="46" customWidth="1"/>
    <col min="10996" max="11007" width="9.6640625" style="46"/>
    <col min="11008" max="11008" width="12" style="46" customWidth="1"/>
    <col min="11009" max="11009" width="12.77734375" style="46" customWidth="1"/>
    <col min="11010" max="11010" width="11.109375" style="46" customWidth="1"/>
    <col min="11011" max="11011" width="12" style="46" customWidth="1"/>
    <col min="11012" max="11012" width="9.6640625" style="46"/>
    <col min="11013" max="11013" width="15.33203125" style="46" customWidth="1"/>
    <col min="11014" max="11014" width="15.21875" style="46" customWidth="1"/>
    <col min="11015" max="11015" width="21.44140625" style="46" customWidth="1"/>
    <col min="11016" max="11031" width="9.6640625" style="46"/>
    <col min="11032" max="11033" width="13.44140625" style="46" customWidth="1"/>
    <col min="11034" max="11034" width="9.6640625" style="46"/>
    <col min="11035" max="11035" width="13.88671875" style="46" customWidth="1"/>
    <col min="11036" max="11036" width="10.6640625" style="46" customWidth="1"/>
    <col min="11037" max="11037" width="17.33203125" style="46" customWidth="1"/>
    <col min="11038" max="11039" width="12.6640625" style="46" customWidth="1"/>
    <col min="11040" max="11040" width="11.21875" style="46" customWidth="1"/>
    <col min="11041" max="11041" width="18.33203125" style="46" customWidth="1"/>
    <col min="11042" max="11042" width="12.88671875" style="46" customWidth="1"/>
    <col min="11043" max="11044" width="13.21875" style="46" customWidth="1"/>
    <col min="11045" max="11045" width="10.88671875" style="46" customWidth="1"/>
    <col min="11046" max="11046" width="11.109375" style="46" customWidth="1"/>
    <col min="11047" max="11047" width="15.21875" style="46" customWidth="1"/>
    <col min="11048" max="11048" width="9.6640625" style="46"/>
    <col min="11049" max="11049" width="11" style="46" customWidth="1"/>
    <col min="11050" max="11050" width="10.77734375" style="46" customWidth="1"/>
    <col min="11051" max="11051" width="11.44140625" style="46" customWidth="1"/>
    <col min="11052" max="11052" width="4" style="46" customWidth="1"/>
    <col min="11053" max="11243" width="9.6640625" style="46"/>
    <col min="11244" max="11244" width="6.44140625" style="46" customWidth="1"/>
    <col min="11245" max="11245" width="13.88671875" style="46" customWidth="1"/>
    <col min="11246" max="11246" width="11.88671875" style="46" customWidth="1"/>
    <col min="11247" max="11249" width="9.6640625" style="46"/>
    <col min="11250" max="11250" width="15.44140625" style="46" customWidth="1"/>
    <col min="11251" max="11251" width="16.21875" style="46" customWidth="1"/>
    <col min="11252" max="11263" width="9.6640625" style="46"/>
    <col min="11264" max="11264" width="12" style="46" customWidth="1"/>
    <col min="11265" max="11265" width="12.77734375" style="46" customWidth="1"/>
    <col min="11266" max="11266" width="11.109375" style="46" customWidth="1"/>
    <col min="11267" max="11267" width="12" style="46" customWidth="1"/>
    <col min="11268" max="11268" width="9.6640625" style="46"/>
    <col min="11269" max="11269" width="15.33203125" style="46" customWidth="1"/>
    <col min="11270" max="11270" width="15.21875" style="46" customWidth="1"/>
    <col min="11271" max="11271" width="21.44140625" style="46" customWidth="1"/>
    <col min="11272" max="11287" width="9.6640625" style="46"/>
    <col min="11288" max="11289" width="13.44140625" style="46" customWidth="1"/>
    <col min="11290" max="11290" width="9.6640625" style="46"/>
    <col min="11291" max="11291" width="13.88671875" style="46" customWidth="1"/>
    <col min="11292" max="11292" width="10.6640625" style="46" customWidth="1"/>
    <col min="11293" max="11293" width="17.33203125" style="46" customWidth="1"/>
    <col min="11294" max="11295" width="12.6640625" style="46" customWidth="1"/>
    <col min="11296" max="11296" width="11.21875" style="46" customWidth="1"/>
    <col min="11297" max="11297" width="18.33203125" style="46" customWidth="1"/>
    <col min="11298" max="11298" width="12.88671875" style="46" customWidth="1"/>
    <col min="11299" max="11300" width="13.21875" style="46" customWidth="1"/>
    <col min="11301" max="11301" width="10.88671875" style="46" customWidth="1"/>
    <col min="11302" max="11302" width="11.109375" style="46" customWidth="1"/>
    <col min="11303" max="11303" width="15.21875" style="46" customWidth="1"/>
    <col min="11304" max="11304" width="9.6640625" style="46"/>
    <col min="11305" max="11305" width="11" style="46" customWidth="1"/>
    <col min="11306" max="11306" width="10.77734375" style="46" customWidth="1"/>
    <col min="11307" max="11307" width="11.44140625" style="46" customWidth="1"/>
    <col min="11308" max="11308" width="4" style="46" customWidth="1"/>
    <col min="11309" max="11499" width="9.6640625" style="46"/>
    <col min="11500" max="11500" width="6.44140625" style="46" customWidth="1"/>
    <col min="11501" max="11501" width="13.88671875" style="46" customWidth="1"/>
    <col min="11502" max="11502" width="11.88671875" style="46" customWidth="1"/>
    <col min="11503" max="11505" width="9.6640625" style="46"/>
    <col min="11506" max="11506" width="15.44140625" style="46" customWidth="1"/>
    <col min="11507" max="11507" width="16.21875" style="46" customWidth="1"/>
    <col min="11508" max="11519" width="9.6640625" style="46"/>
    <col min="11520" max="11520" width="12" style="46" customWidth="1"/>
    <col min="11521" max="11521" width="12.77734375" style="46" customWidth="1"/>
    <col min="11522" max="11522" width="11.109375" style="46" customWidth="1"/>
    <col min="11523" max="11523" width="12" style="46" customWidth="1"/>
    <col min="11524" max="11524" width="9.6640625" style="46"/>
    <col min="11525" max="11525" width="15.33203125" style="46" customWidth="1"/>
    <col min="11526" max="11526" width="15.21875" style="46" customWidth="1"/>
    <col min="11527" max="11527" width="21.44140625" style="46" customWidth="1"/>
    <col min="11528" max="11543" width="9.6640625" style="46"/>
    <col min="11544" max="11545" width="13.44140625" style="46" customWidth="1"/>
    <col min="11546" max="11546" width="9.6640625" style="46"/>
    <col min="11547" max="11547" width="13.88671875" style="46" customWidth="1"/>
    <col min="11548" max="11548" width="10.6640625" style="46" customWidth="1"/>
    <col min="11549" max="11549" width="17.33203125" style="46" customWidth="1"/>
    <col min="11550" max="11551" width="12.6640625" style="46" customWidth="1"/>
    <col min="11552" max="11552" width="11.21875" style="46" customWidth="1"/>
    <col min="11553" max="11553" width="18.33203125" style="46" customWidth="1"/>
    <col min="11554" max="11554" width="12.88671875" style="46" customWidth="1"/>
    <col min="11555" max="11556" width="13.21875" style="46" customWidth="1"/>
    <col min="11557" max="11557" width="10.88671875" style="46" customWidth="1"/>
    <col min="11558" max="11558" width="11.109375" style="46" customWidth="1"/>
    <col min="11559" max="11559" width="15.21875" style="46" customWidth="1"/>
    <col min="11560" max="11560" width="9.6640625" style="46"/>
    <col min="11561" max="11561" width="11" style="46" customWidth="1"/>
    <col min="11562" max="11562" width="10.77734375" style="46" customWidth="1"/>
    <col min="11563" max="11563" width="11.44140625" style="46" customWidth="1"/>
    <col min="11564" max="11564" width="4" style="46" customWidth="1"/>
    <col min="11565" max="11755" width="9.6640625" style="46"/>
    <col min="11756" max="11756" width="6.44140625" style="46" customWidth="1"/>
    <col min="11757" max="11757" width="13.88671875" style="46" customWidth="1"/>
    <col min="11758" max="11758" width="11.88671875" style="46" customWidth="1"/>
    <col min="11759" max="11761" width="9.6640625" style="46"/>
    <col min="11762" max="11762" width="15.44140625" style="46" customWidth="1"/>
    <col min="11763" max="11763" width="16.21875" style="46" customWidth="1"/>
    <col min="11764" max="11775" width="9.6640625" style="46"/>
    <col min="11776" max="11776" width="12" style="46" customWidth="1"/>
    <col min="11777" max="11777" width="12.77734375" style="46" customWidth="1"/>
    <col min="11778" max="11778" width="11.109375" style="46" customWidth="1"/>
    <col min="11779" max="11779" width="12" style="46" customWidth="1"/>
    <col min="11780" max="11780" width="9.6640625" style="46"/>
    <col min="11781" max="11781" width="15.33203125" style="46" customWidth="1"/>
    <col min="11782" max="11782" width="15.21875" style="46" customWidth="1"/>
    <col min="11783" max="11783" width="21.44140625" style="46" customWidth="1"/>
    <col min="11784" max="11799" width="9.6640625" style="46"/>
    <col min="11800" max="11801" width="13.44140625" style="46" customWidth="1"/>
    <col min="11802" max="11802" width="9.6640625" style="46"/>
    <col min="11803" max="11803" width="13.88671875" style="46" customWidth="1"/>
    <col min="11804" max="11804" width="10.6640625" style="46" customWidth="1"/>
    <col min="11805" max="11805" width="17.33203125" style="46" customWidth="1"/>
    <col min="11806" max="11807" width="12.6640625" style="46" customWidth="1"/>
    <col min="11808" max="11808" width="11.21875" style="46" customWidth="1"/>
    <col min="11809" max="11809" width="18.33203125" style="46" customWidth="1"/>
    <col min="11810" max="11810" width="12.88671875" style="46" customWidth="1"/>
    <col min="11811" max="11812" width="13.21875" style="46" customWidth="1"/>
    <col min="11813" max="11813" width="10.88671875" style="46" customWidth="1"/>
    <col min="11814" max="11814" width="11.109375" style="46" customWidth="1"/>
    <col min="11815" max="11815" width="15.21875" style="46" customWidth="1"/>
    <col min="11816" max="11816" width="9.6640625" style="46"/>
    <col min="11817" max="11817" width="11" style="46" customWidth="1"/>
    <col min="11818" max="11818" width="10.77734375" style="46" customWidth="1"/>
    <col min="11819" max="11819" width="11.44140625" style="46" customWidth="1"/>
    <col min="11820" max="11820" width="4" style="46" customWidth="1"/>
    <col min="11821" max="12011" width="9.6640625" style="46"/>
    <col min="12012" max="12012" width="6.44140625" style="46" customWidth="1"/>
    <col min="12013" max="12013" width="13.88671875" style="46" customWidth="1"/>
    <col min="12014" max="12014" width="11.88671875" style="46" customWidth="1"/>
    <col min="12015" max="12017" width="9.6640625" style="46"/>
    <col min="12018" max="12018" width="15.44140625" style="46" customWidth="1"/>
    <col min="12019" max="12019" width="16.21875" style="46" customWidth="1"/>
    <col min="12020" max="12031" width="9.6640625" style="46"/>
    <col min="12032" max="12032" width="12" style="46" customWidth="1"/>
    <col min="12033" max="12033" width="12.77734375" style="46" customWidth="1"/>
    <col min="12034" max="12034" width="11.109375" style="46" customWidth="1"/>
    <col min="12035" max="12035" width="12" style="46" customWidth="1"/>
    <col min="12036" max="12036" width="9.6640625" style="46"/>
    <col min="12037" max="12037" width="15.33203125" style="46" customWidth="1"/>
    <col min="12038" max="12038" width="15.21875" style="46" customWidth="1"/>
    <col min="12039" max="12039" width="21.44140625" style="46" customWidth="1"/>
    <col min="12040" max="12055" width="9.6640625" style="46"/>
    <col min="12056" max="12057" width="13.44140625" style="46" customWidth="1"/>
    <col min="12058" max="12058" width="9.6640625" style="46"/>
    <col min="12059" max="12059" width="13.88671875" style="46" customWidth="1"/>
    <col min="12060" max="12060" width="10.6640625" style="46" customWidth="1"/>
    <col min="12061" max="12061" width="17.33203125" style="46" customWidth="1"/>
    <col min="12062" max="12063" width="12.6640625" style="46" customWidth="1"/>
    <col min="12064" max="12064" width="11.21875" style="46" customWidth="1"/>
    <col min="12065" max="12065" width="18.33203125" style="46" customWidth="1"/>
    <col min="12066" max="12066" width="12.88671875" style="46" customWidth="1"/>
    <col min="12067" max="12068" width="13.21875" style="46" customWidth="1"/>
    <col min="12069" max="12069" width="10.88671875" style="46" customWidth="1"/>
    <col min="12070" max="12070" width="11.109375" style="46" customWidth="1"/>
    <col min="12071" max="12071" width="15.21875" style="46" customWidth="1"/>
    <col min="12072" max="12072" width="9.6640625" style="46"/>
    <col min="12073" max="12073" width="11" style="46" customWidth="1"/>
    <col min="12074" max="12074" width="10.77734375" style="46" customWidth="1"/>
    <col min="12075" max="12075" width="11.44140625" style="46" customWidth="1"/>
    <col min="12076" max="12076" width="4" style="46" customWidth="1"/>
    <col min="12077" max="12267" width="9.6640625" style="46"/>
    <col min="12268" max="12268" width="6.44140625" style="46" customWidth="1"/>
    <col min="12269" max="12269" width="13.88671875" style="46" customWidth="1"/>
    <col min="12270" max="12270" width="11.88671875" style="46" customWidth="1"/>
    <col min="12271" max="12273" width="9.6640625" style="46"/>
    <col min="12274" max="12274" width="15.44140625" style="46" customWidth="1"/>
    <col min="12275" max="12275" width="16.21875" style="46" customWidth="1"/>
    <col min="12276" max="12287" width="9.6640625" style="46"/>
    <col min="12288" max="12288" width="12" style="46" customWidth="1"/>
    <col min="12289" max="12289" width="12.77734375" style="46" customWidth="1"/>
    <col min="12290" max="12290" width="11.109375" style="46" customWidth="1"/>
    <col min="12291" max="12291" width="12" style="46" customWidth="1"/>
    <col min="12292" max="12292" width="9.6640625" style="46"/>
    <col min="12293" max="12293" width="15.33203125" style="46" customWidth="1"/>
    <col min="12294" max="12294" width="15.21875" style="46" customWidth="1"/>
    <col min="12295" max="12295" width="21.44140625" style="46" customWidth="1"/>
    <col min="12296" max="12311" width="9.6640625" style="46"/>
    <col min="12312" max="12313" width="13.44140625" style="46" customWidth="1"/>
    <col min="12314" max="12314" width="9.6640625" style="46"/>
    <col min="12315" max="12315" width="13.88671875" style="46" customWidth="1"/>
    <col min="12316" max="12316" width="10.6640625" style="46" customWidth="1"/>
    <col min="12317" max="12317" width="17.33203125" style="46" customWidth="1"/>
    <col min="12318" max="12319" width="12.6640625" style="46" customWidth="1"/>
    <col min="12320" max="12320" width="11.21875" style="46" customWidth="1"/>
    <col min="12321" max="12321" width="18.33203125" style="46" customWidth="1"/>
    <col min="12322" max="12322" width="12.88671875" style="46" customWidth="1"/>
    <col min="12323" max="12324" width="13.21875" style="46" customWidth="1"/>
    <col min="12325" max="12325" width="10.88671875" style="46" customWidth="1"/>
    <col min="12326" max="12326" width="11.109375" style="46" customWidth="1"/>
    <col min="12327" max="12327" width="15.21875" style="46" customWidth="1"/>
    <col min="12328" max="12328" width="9.6640625" style="46"/>
    <col min="12329" max="12329" width="11" style="46" customWidth="1"/>
    <col min="12330" max="12330" width="10.77734375" style="46" customWidth="1"/>
    <col min="12331" max="12331" width="11.44140625" style="46" customWidth="1"/>
    <col min="12332" max="12332" width="4" style="46" customWidth="1"/>
    <col min="12333" max="12523" width="9.6640625" style="46"/>
    <col min="12524" max="12524" width="6.44140625" style="46" customWidth="1"/>
    <col min="12525" max="12525" width="13.88671875" style="46" customWidth="1"/>
    <col min="12526" max="12526" width="11.88671875" style="46" customWidth="1"/>
    <col min="12527" max="12529" width="9.6640625" style="46"/>
    <col min="12530" max="12530" width="15.44140625" style="46" customWidth="1"/>
    <col min="12531" max="12531" width="16.21875" style="46" customWidth="1"/>
    <col min="12532" max="12543" width="9.6640625" style="46"/>
    <col min="12544" max="12544" width="12" style="46" customWidth="1"/>
    <col min="12545" max="12545" width="12.77734375" style="46" customWidth="1"/>
    <col min="12546" max="12546" width="11.109375" style="46" customWidth="1"/>
    <col min="12547" max="12547" width="12" style="46" customWidth="1"/>
    <col min="12548" max="12548" width="9.6640625" style="46"/>
    <col min="12549" max="12549" width="15.33203125" style="46" customWidth="1"/>
    <col min="12550" max="12550" width="15.21875" style="46" customWidth="1"/>
    <col min="12551" max="12551" width="21.44140625" style="46" customWidth="1"/>
    <col min="12552" max="12567" width="9.6640625" style="46"/>
    <col min="12568" max="12569" width="13.44140625" style="46" customWidth="1"/>
    <col min="12570" max="12570" width="9.6640625" style="46"/>
    <col min="12571" max="12571" width="13.88671875" style="46" customWidth="1"/>
    <col min="12572" max="12572" width="10.6640625" style="46" customWidth="1"/>
    <col min="12573" max="12573" width="17.33203125" style="46" customWidth="1"/>
    <col min="12574" max="12575" width="12.6640625" style="46" customWidth="1"/>
    <col min="12576" max="12576" width="11.21875" style="46" customWidth="1"/>
    <col min="12577" max="12577" width="18.33203125" style="46" customWidth="1"/>
    <col min="12578" max="12578" width="12.88671875" style="46" customWidth="1"/>
    <col min="12579" max="12580" width="13.21875" style="46" customWidth="1"/>
    <col min="12581" max="12581" width="10.88671875" style="46" customWidth="1"/>
    <col min="12582" max="12582" width="11.109375" style="46" customWidth="1"/>
    <col min="12583" max="12583" width="15.21875" style="46" customWidth="1"/>
    <col min="12584" max="12584" width="9.6640625" style="46"/>
    <col min="12585" max="12585" width="11" style="46" customWidth="1"/>
    <col min="12586" max="12586" width="10.77734375" style="46" customWidth="1"/>
    <col min="12587" max="12587" width="11.44140625" style="46" customWidth="1"/>
    <col min="12588" max="12588" width="4" style="46" customWidth="1"/>
    <col min="12589" max="12779" width="9.6640625" style="46"/>
    <col min="12780" max="12780" width="6.44140625" style="46" customWidth="1"/>
    <col min="12781" max="12781" width="13.88671875" style="46" customWidth="1"/>
    <col min="12782" max="12782" width="11.88671875" style="46" customWidth="1"/>
    <col min="12783" max="12785" width="9.6640625" style="46"/>
    <col min="12786" max="12786" width="15.44140625" style="46" customWidth="1"/>
    <col min="12787" max="12787" width="16.21875" style="46" customWidth="1"/>
    <col min="12788" max="12799" width="9.6640625" style="46"/>
    <col min="12800" max="12800" width="12" style="46" customWidth="1"/>
    <col min="12801" max="12801" width="12.77734375" style="46" customWidth="1"/>
    <col min="12802" max="12802" width="11.109375" style="46" customWidth="1"/>
    <col min="12803" max="12803" width="12" style="46" customWidth="1"/>
    <col min="12804" max="12804" width="9.6640625" style="46"/>
    <col min="12805" max="12805" width="15.33203125" style="46" customWidth="1"/>
    <col min="12806" max="12806" width="15.21875" style="46" customWidth="1"/>
    <col min="12807" max="12807" width="21.44140625" style="46" customWidth="1"/>
    <col min="12808" max="12823" width="9.6640625" style="46"/>
    <col min="12824" max="12825" width="13.44140625" style="46" customWidth="1"/>
    <col min="12826" max="12826" width="9.6640625" style="46"/>
    <col min="12827" max="12827" width="13.88671875" style="46" customWidth="1"/>
    <col min="12828" max="12828" width="10.6640625" style="46" customWidth="1"/>
    <col min="12829" max="12829" width="17.33203125" style="46" customWidth="1"/>
    <col min="12830" max="12831" width="12.6640625" style="46" customWidth="1"/>
    <col min="12832" max="12832" width="11.21875" style="46" customWidth="1"/>
    <col min="12833" max="12833" width="18.33203125" style="46" customWidth="1"/>
    <col min="12834" max="12834" width="12.88671875" style="46" customWidth="1"/>
    <col min="12835" max="12836" width="13.21875" style="46" customWidth="1"/>
    <col min="12837" max="12837" width="10.88671875" style="46" customWidth="1"/>
    <col min="12838" max="12838" width="11.109375" style="46" customWidth="1"/>
    <col min="12839" max="12839" width="15.21875" style="46" customWidth="1"/>
    <col min="12840" max="12840" width="9.6640625" style="46"/>
    <col min="12841" max="12841" width="11" style="46" customWidth="1"/>
    <col min="12842" max="12842" width="10.77734375" style="46" customWidth="1"/>
    <col min="12843" max="12843" width="11.44140625" style="46" customWidth="1"/>
    <col min="12844" max="12844" width="4" style="46" customWidth="1"/>
    <col min="12845" max="13035" width="9.6640625" style="46"/>
    <col min="13036" max="13036" width="6.44140625" style="46" customWidth="1"/>
    <col min="13037" max="13037" width="13.88671875" style="46" customWidth="1"/>
    <col min="13038" max="13038" width="11.88671875" style="46" customWidth="1"/>
    <col min="13039" max="13041" width="9.6640625" style="46"/>
    <col min="13042" max="13042" width="15.44140625" style="46" customWidth="1"/>
    <col min="13043" max="13043" width="16.21875" style="46" customWidth="1"/>
    <col min="13044" max="13055" width="9.6640625" style="46"/>
    <col min="13056" max="13056" width="12" style="46" customWidth="1"/>
    <col min="13057" max="13057" width="12.77734375" style="46" customWidth="1"/>
    <col min="13058" max="13058" width="11.109375" style="46" customWidth="1"/>
    <col min="13059" max="13059" width="12" style="46" customWidth="1"/>
    <col min="13060" max="13060" width="9.6640625" style="46"/>
    <col min="13061" max="13061" width="15.33203125" style="46" customWidth="1"/>
    <col min="13062" max="13062" width="15.21875" style="46" customWidth="1"/>
    <col min="13063" max="13063" width="21.44140625" style="46" customWidth="1"/>
    <col min="13064" max="13079" width="9.6640625" style="46"/>
    <col min="13080" max="13081" width="13.44140625" style="46" customWidth="1"/>
    <col min="13082" max="13082" width="9.6640625" style="46"/>
    <col min="13083" max="13083" width="13.88671875" style="46" customWidth="1"/>
    <col min="13084" max="13084" width="10.6640625" style="46" customWidth="1"/>
    <col min="13085" max="13085" width="17.33203125" style="46" customWidth="1"/>
    <col min="13086" max="13087" width="12.6640625" style="46" customWidth="1"/>
    <col min="13088" max="13088" width="11.21875" style="46" customWidth="1"/>
    <col min="13089" max="13089" width="18.33203125" style="46" customWidth="1"/>
    <col min="13090" max="13090" width="12.88671875" style="46" customWidth="1"/>
    <col min="13091" max="13092" width="13.21875" style="46" customWidth="1"/>
    <col min="13093" max="13093" width="10.88671875" style="46" customWidth="1"/>
    <col min="13094" max="13094" width="11.109375" style="46" customWidth="1"/>
    <col min="13095" max="13095" width="15.21875" style="46" customWidth="1"/>
    <col min="13096" max="13096" width="9.6640625" style="46"/>
    <col min="13097" max="13097" width="11" style="46" customWidth="1"/>
    <col min="13098" max="13098" width="10.77734375" style="46" customWidth="1"/>
    <col min="13099" max="13099" width="11.44140625" style="46" customWidth="1"/>
    <col min="13100" max="13100" width="4" style="46" customWidth="1"/>
    <col min="13101" max="13291" width="9.6640625" style="46"/>
    <col min="13292" max="13292" width="6.44140625" style="46" customWidth="1"/>
    <col min="13293" max="13293" width="13.88671875" style="46" customWidth="1"/>
    <col min="13294" max="13294" width="11.88671875" style="46" customWidth="1"/>
    <col min="13295" max="13297" width="9.6640625" style="46"/>
    <col min="13298" max="13298" width="15.44140625" style="46" customWidth="1"/>
    <col min="13299" max="13299" width="16.21875" style="46" customWidth="1"/>
    <col min="13300" max="13311" width="9.6640625" style="46"/>
    <col min="13312" max="13312" width="12" style="46" customWidth="1"/>
    <col min="13313" max="13313" width="12.77734375" style="46" customWidth="1"/>
    <col min="13314" max="13314" width="11.109375" style="46" customWidth="1"/>
    <col min="13315" max="13315" width="12" style="46" customWidth="1"/>
    <col min="13316" max="13316" width="9.6640625" style="46"/>
    <col min="13317" max="13317" width="15.33203125" style="46" customWidth="1"/>
    <col min="13318" max="13318" width="15.21875" style="46" customWidth="1"/>
    <col min="13319" max="13319" width="21.44140625" style="46" customWidth="1"/>
    <col min="13320" max="13335" width="9.6640625" style="46"/>
    <col min="13336" max="13337" width="13.44140625" style="46" customWidth="1"/>
    <col min="13338" max="13338" width="9.6640625" style="46"/>
    <col min="13339" max="13339" width="13.88671875" style="46" customWidth="1"/>
    <col min="13340" max="13340" width="10.6640625" style="46" customWidth="1"/>
    <col min="13341" max="13341" width="17.33203125" style="46" customWidth="1"/>
    <col min="13342" max="13343" width="12.6640625" style="46" customWidth="1"/>
    <col min="13344" max="13344" width="11.21875" style="46" customWidth="1"/>
    <col min="13345" max="13345" width="18.33203125" style="46" customWidth="1"/>
    <col min="13346" max="13346" width="12.88671875" style="46" customWidth="1"/>
    <col min="13347" max="13348" width="13.21875" style="46" customWidth="1"/>
    <col min="13349" max="13349" width="10.88671875" style="46" customWidth="1"/>
    <col min="13350" max="13350" width="11.109375" style="46" customWidth="1"/>
    <col min="13351" max="13351" width="15.21875" style="46" customWidth="1"/>
    <col min="13352" max="13352" width="9.6640625" style="46"/>
    <col min="13353" max="13353" width="11" style="46" customWidth="1"/>
    <col min="13354" max="13354" width="10.77734375" style="46" customWidth="1"/>
    <col min="13355" max="13355" width="11.44140625" style="46" customWidth="1"/>
    <col min="13356" max="13356" width="4" style="46" customWidth="1"/>
    <col min="13357" max="13547" width="9.6640625" style="46"/>
    <col min="13548" max="13548" width="6.44140625" style="46" customWidth="1"/>
    <col min="13549" max="13549" width="13.88671875" style="46" customWidth="1"/>
    <col min="13550" max="13550" width="11.88671875" style="46" customWidth="1"/>
    <col min="13551" max="13553" width="9.6640625" style="46"/>
    <col min="13554" max="13554" width="15.44140625" style="46" customWidth="1"/>
    <col min="13555" max="13555" width="16.21875" style="46" customWidth="1"/>
    <col min="13556" max="13567" width="9.6640625" style="46"/>
    <col min="13568" max="13568" width="12" style="46" customWidth="1"/>
    <col min="13569" max="13569" width="12.77734375" style="46" customWidth="1"/>
    <col min="13570" max="13570" width="11.109375" style="46" customWidth="1"/>
    <col min="13571" max="13571" width="12" style="46" customWidth="1"/>
    <col min="13572" max="13572" width="9.6640625" style="46"/>
    <col min="13573" max="13573" width="15.33203125" style="46" customWidth="1"/>
    <col min="13574" max="13574" width="15.21875" style="46" customWidth="1"/>
    <col min="13575" max="13575" width="21.44140625" style="46" customWidth="1"/>
    <col min="13576" max="13591" width="9.6640625" style="46"/>
    <col min="13592" max="13593" width="13.44140625" style="46" customWidth="1"/>
    <col min="13594" max="13594" width="9.6640625" style="46"/>
    <col min="13595" max="13595" width="13.88671875" style="46" customWidth="1"/>
    <col min="13596" max="13596" width="10.6640625" style="46" customWidth="1"/>
    <col min="13597" max="13597" width="17.33203125" style="46" customWidth="1"/>
    <col min="13598" max="13599" width="12.6640625" style="46" customWidth="1"/>
    <col min="13600" max="13600" width="11.21875" style="46" customWidth="1"/>
    <col min="13601" max="13601" width="18.33203125" style="46" customWidth="1"/>
    <col min="13602" max="13602" width="12.88671875" style="46" customWidth="1"/>
    <col min="13603" max="13604" width="13.21875" style="46" customWidth="1"/>
    <col min="13605" max="13605" width="10.88671875" style="46" customWidth="1"/>
    <col min="13606" max="13606" width="11.109375" style="46" customWidth="1"/>
    <col min="13607" max="13607" width="15.21875" style="46" customWidth="1"/>
    <col min="13608" max="13608" width="9.6640625" style="46"/>
    <col min="13609" max="13609" width="11" style="46" customWidth="1"/>
    <col min="13610" max="13610" width="10.77734375" style="46" customWidth="1"/>
    <col min="13611" max="13611" width="11.44140625" style="46" customWidth="1"/>
    <col min="13612" max="13612" width="4" style="46" customWidth="1"/>
    <col min="13613" max="13803" width="9.6640625" style="46"/>
    <col min="13804" max="13804" width="6.44140625" style="46" customWidth="1"/>
    <col min="13805" max="13805" width="13.88671875" style="46" customWidth="1"/>
    <col min="13806" max="13806" width="11.88671875" style="46" customWidth="1"/>
    <col min="13807" max="13809" width="9.6640625" style="46"/>
    <col min="13810" max="13810" width="15.44140625" style="46" customWidth="1"/>
    <col min="13811" max="13811" width="16.21875" style="46" customWidth="1"/>
    <col min="13812" max="13823" width="9.6640625" style="46"/>
    <col min="13824" max="13824" width="12" style="46" customWidth="1"/>
    <col min="13825" max="13825" width="12.77734375" style="46" customWidth="1"/>
    <col min="13826" max="13826" width="11.109375" style="46" customWidth="1"/>
    <col min="13827" max="13827" width="12" style="46" customWidth="1"/>
    <col min="13828" max="13828" width="9.6640625" style="46"/>
    <col min="13829" max="13829" width="15.33203125" style="46" customWidth="1"/>
    <col min="13830" max="13830" width="15.21875" style="46" customWidth="1"/>
    <col min="13831" max="13831" width="21.44140625" style="46" customWidth="1"/>
    <col min="13832" max="13847" width="9.6640625" style="46"/>
    <col min="13848" max="13849" width="13.44140625" style="46" customWidth="1"/>
    <col min="13850" max="13850" width="9.6640625" style="46"/>
    <col min="13851" max="13851" width="13.88671875" style="46" customWidth="1"/>
    <col min="13852" max="13852" width="10.6640625" style="46" customWidth="1"/>
    <col min="13853" max="13853" width="17.33203125" style="46" customWidth="1"/>
    <col min="13854" max="13855" width="12.6640625" style="46" customWidth="1"/>
    <col min="13856" max="13856" width="11.21875" style="46" customWidth="1"/>
    <col min="13857" max="13857" width="18.33203125" style="46" customWidth="1"/>
    <col min="13858" max="13858" width="12.88671875" style="46" customWidth="1"/>
    <col min="13859" max="13860" width="13.21875" style="46" customWidth="1"/>
    <col min="13861" max="13861" width="10.88671875" style="46" customWidth="1"/>
    <col min="13862" max="13862" width="11.109375" style="46" customWidth="1"/>
    <col min="13863" max="13863" width="15.21875" style="46" customWidth="1"/>
    <col min="13864" max="13864" width="9.6640625" style="46"/>
    <col min="13865" max="13865" width="11" style="46" customWidth="1"/>
    <col min="13866" max="13866" width="10.77734375" style="46" customWidth="1"/>
    <col min="13867" max="13867" width="11.44140625" style="46" customWidth="1"/>
    <col min="13868" max="13868" width="4" style="46" customWidth="1"/>
    <col min="13869" max="14059" width="9.6640625" style="46"/>
    <col min="14060" max="14060" width="6.44140625" style="46" customWidth="1"/>
    <col min="14061" max="14061" width="13.88671875" style="46" customWidth="1"/>
    <col min="14062" max="14062" width="11.88671875" style="46" customWidth="1"/>
    <col min="14063" max="14065" width="9.6640625" style="46"/>
    <col min="14066" max="14066" width="15.44140625" style="46" customWidth="1"/>
    <col min="14067" max="14067" width="16.21875" style="46" customWidth="1"/>
    <col min="14068" max="14079" width="9.6640625" style="46"/>
    <col min="14080" max="14080" width="12" style="46" customWidth="1"/>
    <col min="14081" max="14081" width="12.77734375" style="46" customWidth="1"/>
    <col min="14082" max="14082" width="11.109375" style="46" customWidth="1"/>
    <col min="14083" max="14083" width="12" style="46" customWidth="1"/>
    <col min="14084" max="14084" width="9.6640625" style="46"/>
    <col min="14085" max="14085" width="15.33203125" style="46" customWidth="1"/>
    <col min="14086" max="14086" width="15.21875" style="46" customWidth="1"/>
    <col min="14087" max="14087" width="21.44140625" style="46" customWidth="1"/>
    <col min="14088" max="14103" width="9.6640625" style="46"/>
    <col min="14104" max="14105" width="13.44140625" style="46" customWidth="1"/>
    <col min="14106" max="14106" width="9.6640625" style="46"/>
    <col min="14107" max="14107" width="13.88671875" style="46" customWidth="1"/>
    <col min="14108" max="14108" width="10.6640625" style="46" customWidth="1"/>
    <col min="14109" max="14109" width="17.33203125" style="46" customWidth="1"/>
    <col min="14110" max="14111" width="12.6640625" style="46" customWidth="1"/>
    <col min="14112" max="14112" width="11.21875" style="46" customWidth="1"/>
    <col min="14113" max="14113" width="18.33203125" style="46" customWidth="1"/>
    <col min="14114" max="14114" width="12.88671875" style="46" customWidth="1"/>
    <col min="14115" max="14116" width="13.21875" style="46" customWidth="1"/>
    <col min="14117" max="14117" width="10.88671875" style="46" customWidth="1"/>
    <col min="14118" max="14118" width="11.109375" style="46" customWidth="1"/>
    <col min="14119" max="14119" width="15.21875" style="46" customWidth="1"/>
    <col min="14120" max="14120" width="9.6640625" style="46"/>
    <col min="14121" max="14121" width="11" style="46" customWidth="1"/>
    <col min="14122" max="14122" width="10.77734375" style="46" customWidth="1"/>
    <col min="14123" max="14123" width="11.44140625" style="46" customWidth="1"/>
    <col min="14124" max="14124" width="4" style="46" customWidth="1"/>
    <col min="14125" max="14315" width="9.6640625" style="46"/>
    <col min="14316" max="14316" width="6.44140625" style="46" customWidth="1"/>
    <col min="14317" max="14317" width="13.88671875" style="46" customWidth="1"/>
    <col min="14318" max="14318" width="11.88671875" style="46" customWidth="1"/>
    <col min="14319" max="14321" width="9.6640625" style="46"/>
    <col min="14322" max="14322" width="15.44140625" style="46" customWidth="1"/>
    <col min="14323" max="14323" width="16.21875" style="46" customWidth="1"/>
    <col min="14324" max="14335" width="9.6640625" style="46"/>
    <col min="14336" max="14336" width="12" style="46" customWidth="1"/>
    <col min="14337" max="14337" width="12.77734375" style="46" customWidth="1"/>
    <col min="14338" max="14338" width="11.109375" style="46" customWidth="1"/>
    <col min="14339" max="14339" width="12" style="46" customWidth="1"/>
    <col min="14340" max="14340" width="9.6640625" style="46"/>
    <col min="14341" max="14341" width="15.33203125" style="46" customWidth="1"/>
    <col min="14342" max="14342" width="15.21875" style="46" customWidth="1"/>
    <col min="14343" max="14343" width="21.44140625" style="46" customWidth="1"/>
    <col min="14344" max="14359" width="9.6640625" style="46"/>
    <col min="14360" max="14361" width="13.44140625" style="46" customWidth="1"/>
    <col min="14362" max="14362" width="9.6640625" style="46"/>
    <col min="14363" max="14363" width="13.88671875" style="46" customWidth="1"/>
    <col min="14364" max="14364" width="10.6640625" style="46" customWidth="1"/>
    <col min="14365" max="14365" width="17.33203125" style="46" customWidth="1"/>
    <col min="14366" max="14367" width="12.6640625" style="46" customWidth="1"/>
    <col min="14368" max="14368" width="11.21875" style="46" customWidth="1"/>
    <col min="14369" max="14369" width="18.33203125" style="46" customWidth="1"/>
    <col min="14370" max="14370" width="12.88671875" style="46" customWidth="1"/>
    <col min="14371" max="14372" width="13.21875" style="46" customWidth="1"/>
    <col min="14373" max="14373" width="10.88671875" style="46" customWidth="1"/>
    <col min="14374" max="14374" width="11.109375" style="46" customWidth="1"/>
    <col min="14375" max="14375" width="15.21875" style="46" customWidth="1"/>
    <col min="14376" max="14376" width="9.6640625" style="46"/>
    <col min="14377" max="14377" width="11" style="46" customWidth="1"/>
    <col min="14378" max="14378" width="10.77734375" style="46" customWidth="1"/>
    <col min="14379" max="14379" width="11.44140625" style="46" customWidth="1"/>
    <col min="14380" max="14380" width="4" style="46" customWidth="1"/>
    <col min="14381" max="14571" width="9.6640625" style="46"/>
    <col min="14572" max="14572" width="6.44140625" style="46" customWidth="1"/>
    <col min="14573" max="14573" width="13.88671875" style="46" customWidth="1"/>
    <col min="14574" max="14574" width="11.88671875" style="46" customWidth="1"/>
    <col min="14575" max="14577" width="9.6640625" style="46"/>
    <col min="14578" max="14578" width="15.44140625" style="46" customWidth="1"/>
    <col min="14579" max="14579" width="16.21875" style="46" customWidth="1"/>
    <col min="14580" max="14591" width="9.6640625" style="46"/>
    <col min="14592" max="14592" width="12" style="46" customWidth="1"/>
    <col min="14593" max="14593" width="12.77734375" style="46" customWidth="1"/>
    <col min="14594" max="14594" width="11.109375" style="46" customWidth="1"/>
    <col min="14595" max="14595" width="12" style="46" customWidth="1"/>
    <col min="14596" max="14596" width="9.6640625" style="46"/>
    <col min="14597" max="14597" width="15.33203125" style="46" customWidth="1"/>
    <col min="14598" max="14598" width="15.21875" style="46" customWidth="1"/>
    <col min="14599" max="14599" width="21.44140625" style="46" customWidth="1"/>
    <col min="14600" max="14615" width="9.6640625" style="46"/>
    <col min="14616" max="14617" width="13.44140625" style="46" customWidth="1"/>
    <col min="14618" max="14618" width="9.6640625" style="46"/>
    <col min="14619" max="14619" width="13.88671875" style="46" customWidth="1"/>
    <col min="14620" max="14620" width="10.6640625" style="46" customWidth="1"/>
    <col min="14621" max="14621" width="17.33203125" style="46" customWidth="1"/>
    <col min="14622" max="14623" width="12.6640625" style="46" customWidth="1"/>
    <col min="14624" max="14624" width="11.21875" style="46" customWidth="1"/>
    <col min="14625" max="14625" width="18.33203125" style="46" customWidth="1"/>
    <col min="14626" max="14626" width="12.88671875" style="46" customWidth="1"/>
    <col min="14627" max="14628" width="13.21875" style="46" customWidth="1"/>
    <col min="14629" max="14629" width="10.88671875" style="46" customWidth="1"/>
    <col min="14630" max="14630" width="11.109375" style="46" customWidth="1"/>
    <col min="14631" max="14631" width="15.21875" style="46" customWidth="1"/>
    <col min="14632" max="14632" width="9.6640625" style="46"/>
    <col min="14633" max="14633" width="11" style="46" customWidth="1"/>
    <col min="14634" max="14634" width="10.77734375" style="46" customWidth="1"/>
    <col min="14635" max="14635" width="11.44140625" style="46" customWidth="1"/>
    <col min="14636" max="14636" width="4" style="46" customWidth="1"/>
    <col min="14637" max="14827" width="9.6640625" style="46"/>
    <col min="14828" max="14828" width="6.44140625" style="46" customWidth="1"/>
    <col min="14829" max="14829" width="13.88671875" style="46" customWidth="1"/>
    <col min="14830" max="14830" width="11.88671875" style="46" customWidth="1"/>
    <col min="14831" max="14833" width="9.6640625" style="46"/>
    <col min="14834" max="14834" width="15.44140625" style="46" customWidth="1"/>
    <col min="14835" max="14835" width="16.21875" style="46" customWidth="1"/>
    <col min="14836" max="14847" width="9.6640625" style="46"/>
    <col min="14848" max="14848" width="12" style="46" customWidth="1"/>
    <col min="14849" max="14849" width="12.77734375" style="46" customWidth="1"/>
    <col min="14850" max="14850" width="11.109375" style="46" customWidth="1"/>
    <col min="14851" max="14851" width="12" style="46" customWidth="1"/>
    <col min="14852" max="14852" width="9.6640625" style="46"/>
    <col min="14853" max="14853" width="15.33203125" style="46" customWidth="1"/>
    <col min="14854" max="14854" width="15.21875" style="46" customWidth="1"/>
    <col min="14855" max="14855" width="21.44140625" style="46" customWidth="1"/>
    <col min="14856" max="14871" width="9.6640625" style="46"/>
    <col min="14872" max="14873" width="13.44140625" style="46" customWidth="1"/>
    <col min="14874" max="14874" width="9.6640625" style="46"/>
    <col min="14875" max="14875" width="13.88671875" style="46" customWidth="1"/>
    <col min="14876" max="14876" width="10.6640625" style="46" customWidth="1"/>
    <col min="14877" max="14877" width="17.33203125" style="46" customWidth="1"/>
    <col min="14878" max="14879" width="12.6640625" style="46" customWidth="1"/>
    <col min="14880" max="14880" width="11.21875" style="46" customWidth="1"/>
    <col min="14881" max="14881" width="18.33203125" style="46" customWidth="1"/>
    <col min="14882" max="14882" width="12.88671875" style="46" customWidth="1"/>
    <col min="14883" max="14884" width="13.21875" style="46" customWidth="1"/>
    <col min="14885" max="14885" width="10.88671875" style="46" customWidth="1"/>
    <col min="14886" max="14886" width="11.109375" style="46" customWidth="1"/>
    <col min="14887" max="14887" width="15.21875" style="46" customWidth="1"/>
    <col min="14888" max="14888" width="9.6640625" style="46"/>
    <col min="14889" max="14889" width="11" style="46" customWidth="1"/>
    <col min="14890" max="14890" width="10.77734375" style="46" customWidth="1"/>
    <col min="14891" max="14891" width="11.44140625" style="46" customWidth="1"/>
    <col min="14892" max="14892" width="4" style="46" customWidth="1"/>
    <col min="14893" max="15083" width="9.6640625" style="46"/>
    <col min="15084" max="15084" width="6.44140625" style="46" customWidth="1"/>
    <col min="15085" max="15085" width="13.88671875" style="46" customWidth="1"/>
    <col min="15086" max="15086" width="11.88671875" style="46" customWidth="1"/>
    <col min="15087" max="15089" width="9.6640625" style="46"/>
    <col min="15090" max="15090" width="15.44140625" style="46" customWidth="1"/>
    <col min="15091" max="15091" width="16.21875" style="46" customWidth="1"/>
    <col min="15092" max="15103" width="9.6640625" style="46"/>
    <col min="15104" max="15104" width="12" style="46" customWidth="1"/>
    <col min="15105" max="15105" width="12.77734375" style="46" customWidth="1"/>
    <col min="15106" max="15106" width="11.109375" style="46" customWidth="1"/>
    <col min="15107" max="15107" width="12" style="46" customWidth="1"/>
    <col min="15108" max="15108" width="9.6640625" style="46"/>
    <col min="15109" max="15109" width="15.33203125" style="46" customWidth="1"/>
    <col min="15110" max="15110" width="15.21875" style="46" customWidth="1"/>
    <col min="15111" max="15111" width="21.44140625" style="46" customWidth="1"/>
    <col min="15112" max="15127" width="9.6640625" style="46"/>
    <col min="15128" max="15129" width="13.44140625" style="46" customWidth="1"/>
    <col min="15130" max="15130" width="9.6640625" style="46"/>
    <col min="15131" max="15131" width="13.88671875" style="46" customWidth="1"/>
    <col min="15132" max="15132" width="10.6640625" style="46" customWidth="1"/>
    <col min="15133" max="15133" width="17.33203125" style="46" customWidth="1"/>
    <col min="15134" max="15135" width="12.6640625" style="46" customWidth="1"/>
    <col min="15136" max="15136" width="11.21875" style="46" customWidth="1"/>
    <col min="15137" max="15137" width="18.33203125" style="46" customWidth="1"/>
    <col min="15138" max="15138" width="12.88671875" style="46" customWidth="1"/>
    <col min="15139" max="15140" width="13.21875" style="46" customWidth="1"/>
    <col min="15141" max="15141" width="10.88671875" style="46" customWidth="1"/>
    <col min="15142" max="15142" width="11.109375" style="46" customWidth="1"/>
    <col min="15143" max="15143" width="15.21875" style="46" customWidth="1"/>
    <col min="15144" max="15144" width="9.6640625" style="46"/>
    <col min="15145" max="15145" width="11" style="46" customWidth="1"/>
    <col min="15146" max="15146" width="10.77734375" style="46" customWidth="1"/>
    <col min="15147" max="15147" width="11.44140625" style="46" customWidth="1"/>
    <col min="15148" max="15148" width="4" style="46" customWidth="1"/>
    <col min="15149" max="15339" width="9.6640625" style="46"/>
    <col min="15340" max="15340" width="6.44140625" style="46" customWidth="1"/>
    <col min="15341" max="15341" width="13.88671875" style="46" customWidth="1"/>
    <col min="15342" max="15342" width="11.88671875" style="46" customWidth="1"/>
    <col min="15343" max="15345" width="9.6640625" style="46"/>
    <col min="15346" max="15346" width="15.44140625" style="46" customWidth="1"/>
    <col min="15347" max="15347" width="16.21875" style="46" customWidth="1"/>
    <col min="15348" max="15359" width="9.6640625" style="46"/>
    <col min="15360" max="15360" width="12" style="46" customWidth="1"/>
    <col min="15361" max="15361" width="12.77734375" style="46" customWidth="1"/>
    <col min="15362" max="15362" width="11.109375" style="46" customWidth="1"/>
    <col min="15363" max="15363" width="12" style="46" customWidth="1"/>
    <col min="15364" max="15364" width="9.6640625" style="46"/>
    <col min="15365" max="15365" width="15.33203125" style="46" customWidth="1"/>
    <col min="15366" max="15366" width="15.21875" style="46" customWidth="1"/>
    <col min="15367" max="15367" width="21.44140625" style="46" customWidth="1"/>
    <col min="15368" max="15383" width="9.6640625" style="46"/>
    <col min="15384" max="15385" width="13.44140625" style="46" customWidth="1"/>
    <col min="15386" max="15386" width="9.6640625" style="46"/>
    <col min="15387" max="15387" width="13.88671875" style="46" customWidth="1"/>
    <col min="15388" max="15388" width="10.6640625" style="46" customWidth="1"/>
    <col min="15389" max="15389" width="17.33203125" style="46" customWidth="1"/>
    <col min="15390" max="15391" width="12.6640625" style="46" customWidth="1"/>
    <col min="15392" max="15392" width="11.21875" style="46" customWidth="1"/>
    <col min="15393" max="15393" width="18.33203125" style="46" customWidth="1"/>
    <col min="15394" max="15394" width="12.88671875" style="46" customWidth="1"/>
    <col min="15395" max="15396" width="13.21875" style="46" customWidth="1"/>
    <col min="15397" max="15397" width="10.88671875" style="46" customWidth="1"/>
    <col min="15398" max="15398" width="11.109375" style="46" customWidth="1"/>
    <col min="15399" max="15399" width="15.21875" style="46" customWidth="1"/>
    <col min="15400" max="15400" width="9.6640625" style="46"/>
    <col min="15401" max="15401" width="11" style="46" customWidth="1"/>
    <col min="15402" max="15402" width="10.77734375" style="46" customWidth="1"/>
    <col min="15403" max="15403" width="11.44140625" style="46" customWidth="1"/>
    <col min="15404" max="15404" width="4" style="46" customWidth="1"/>
    <col min="15405" max="15595" width="9.6640625" style="46"/>
    <col min="15596" max="15596" width="6.44140625" style="46" customWidth="1"/>
    <col min="15597" max="15597" width="13.88671875" style="46" customWidth="1"/>
    <col min="15598" max="15598" width="11.88671875" style="46" customWidth="1"/>
    <col min="15599" max="15601" width="9.6640625" style="46"/>
    <col min="15602" max="15602" width="15.44140625" style="46" customWidth="1"/>
    <col min="15603" max="15603" width="16.21875" style="46" customWidth="1"/>
    <col min="15604" max="15615" width="9.6640625" style="46"/>
    <col min="15616" max="15616" width="12" style="46" customWidth="1"/>
    <col min="15617" max="15617" width="12.77734375" style="46" customWidth="1"/>
    <col min="15618" max="15618" width="11.109375" style="46" customWidth="1"/>
    <col min="15619" max="15619" width="12" style="46" customWidth="1"/>
    <col min="15620" max="15620" width="9.6640625" style="46"/>
    <col min="15621" max="15621" width="15.33203125" style="46" customWidth="1"/>
    <col min="15622" max="15622" width="15.21875" style="46" customWidth="1"/>
    <col min="15623" max="15623" width="21.44140625" style="46" customWidth="1"/>
    <col min="15624" max="15639" width="9.6640625" style="46"/>
    <col min="15640" max="15641" width="13.44140625" style="46" customWidth="1"/>
    <col min="15642" max="15642" width="9.6640625" style="46"/>
    <col min="15643" max="15643" width="13.88671875" style="46" customWidth="1"/>
    <col min="15644" max="15644" width="10.6640625" style="46" customWidth="1"/>
    <col min="15645" max="15645" width="17.33203125" style="46" customWidth="1"/>
    <col min="15646" max="15647" width="12.6640625" style="46" customWidth="1"/>
    <col min="15648" max="15648" width="11.21875" style="46" customWidth="1"/>
    <col min="15649" max="15649" width="18.33203125" style="46" customWidth="1"/>
    <col min="15650" max="15650" width="12.88671875" style="46" customWidth="1"/>
    <col min="15651" max="15652" width="13.21875" style="46" customWidth="1"/>
    <col min="15653" max="15653" width="10.88671875" style="46" customWidth="1"/>
    <col min="15654" max="15654" width="11.109375" style="46" customWidth="1"/>
    <col min="15655" max="15655" width="15.21875" style="46" customWidth="1"/>
    <col min="15656" max="15656" width="9.6640625" style="46"/>
    <col min="15657" max="15657" width="11" style="46" customWidth="1"/>
    <col min="15658" max="15658" width="10.77734375" style="46" customWidth="1"/>
    <col min="15659" max="15659" width="11.44140625" style="46" customWidth="1"/>
    <col min="15660" max="15660" width="4" style="46" customWidth="1"/>
    <col min="15661" max="15851" width="9.6640625" style="46"/>
    <col min="15852" max="15852" width="6.44140625" style="46" customWidth="1"/>
    <col min="15853" max="15853" width="13.88671875" style="46" customWidth="1"/>
    <col min="15854" max="15854" width="11.88671875" style="46" customWidth="1"/>
    <col min="15855" max="15857" width="9.6640625" style="46"/>
    <col min="15858" max="15858" width="15.44140625" style="46" customWidth="1"/>
    <col min="15859" max="15859" width="16.21875" style="46" customWidth="1"/>
    <col min="15860" max="15871" width="9.6640625" style="46"/>
    <col min="15872" max="15872" width="12" style="46" customWidth="1"/>
    <col min="15873" max="15873" width="12.77734375" style="46" customWidth="1"/>
    <col min="15874" max="15874" width="11.109375" style="46" customWidth="1"/>
    <col min="15875" max="15875" width="12" style="46" customWidth="1"/>
    <col min="15876" max="15876" width="9.6640625" style="46"/>
    <col min="15877" max="15877" width="15.33203125" style="46" customWidth="1"/>
    <col min="15878" max="15878" width="15.21875" style="46" customWidth="1"/>
    <col min="15879" max="15879" width="21.44140625" style="46" customWidth="1"/>
    <col min="15880" max="15895" width="9.6640625" style="46"/>
    <col min="15896" max="15897" width="13.44140625" style="46" customWidth="1"/>
    <col min="15898" max="15898" width="9.6640625" style="46"/>
    <col min="15899" max="15899" width="13.88671875" style="46" customWidth="1"/>
    <col min="15900" max="15900" width="10.6640625" style="46" customWidth="1"/>
    <col min="15901" max="15901" width="17.33203125" style="46" customWidth="1"/>
    <col min="15902" max="15903" width="12.6640625" style="46" customWidth="1"/>
    <col min="15904" max="15904" width="11.21875" style="46" customWidth="1"/>
    <col min="15905" max="15905" width="18.33203125" style="46" customWidth="1"/>
    <col min="15906" max="15906" width="12.88671875" style="46" customWidth="1"/>
    <col min="15907" max="15908" width="13.21875" style="46" customWidth="1"/>
    <col min="15909" max="15909" width="10.88671875" style="46" customWidth="1"/>
    <col min="15910" max="15910" width="11.109375" style="46" customWidth="1"/>
    <col min="15911" max="15911" width="15.21875" style="46" customWidth="1"/>
    <col min="15912" max="15912" width="9.6640625" style="46"/>
    <col min="15913" max="15913" width="11" style="46" customWidth="1"/>
    <col min="15914" max="15914" width="10.77734375" style="46" customWidth="1"/>
    <col min="15915" max="15915" width="11.44140625" style="46" customWidth="1"/>
    <col min="15916" max="15916" width="4" style="46" customWidth="1"/>
    <col min="15917" max="16107" width="9.6640625" style="46"/>
    <col min="16108" max="16108" width="6.44140625" style="46" customWidth="1"/>
    <col min="16109" max="16109" width="13.88671875" style="46" customWidth="1"/>
    <col min="16110" max="16110" width="11.88671875" style="46" customWidth="1"/>
    <col min="16111" max="16113" width="9.6640625" style="46"/>
    <col min="16114" max="16114" width="15.44140625" style="46" customWidth="1"/>
    <col min="16115" max="16115" width="16.21875" style="46" customWidth="1"/>
    <col min="16116" max="16127" width="9.6640625" style="46"/>
    <col min="16128" max="16128" width="12" style="46" customWidth="1"/>
    <col min="16129" max="16129" width="12.77734375" style="46" customWidth="1"/>
    <col min="16130" max="16130" width="11.109375" style="46" customWidth="1"/>
    <col min="16131" max="16131" width="12" style="46" customWidth="1"/>
    <col min="16132" max="16132" width="9.6640625" style="46"/>
    <col min="16133" max="16133" width="15.33203125" style="46" customWidth="1"/>
    <col min="16134" max="16134" width="15.21875" style="46" customWidth="1"/>
    <col min="16135" max="16135" width="21.44140625" style="46" customWidth="1"/>
    <col min="16136" max="16151" width="9.6640625" style="46"/>
    <col min="16152" max="16153" width="13.44140625" style="46" customWidth="1"/>
    <col min="16154" max="16154" width="9.6640625" style="46"/>
    <col min="16155" max="16155" width="13.88671875" style="46" customWidth="1"/>
    <col min="16156" max="16156" width="10.6640625" style="46" customWidth="1"/>
    <col min="16157" max="16157" width="17.33203125" style="46" customWidth="1"/>
    <col min="16158" max="16159" width="12.6640625" style="46" customWidth="1"/>
    <col min="16160" max="16160" width="11.21875" style="46" customWidth="1"/>
    <col min="16161" max="16161" width="18.33203125" style="46" customWidth="1"/>
    <col min="16162" max="16162" width="12.88671875" style="46" customWidth="1"/>
    <col min="16163" max="16164" width="13.21875" style="46" customWidth="1"/>
    <col min="16165" max="16165" width="10.88671875" style="46" customWidth="1"/>
    <col min="16166" max="16166" width="11.109375" style="46" customWidth="1"/>
    <col min="16167" max="16167" width="15.21875" style="46" customWidth="1"/>
    <col min="16168" max="16168" width="9.6640625" style="46"/>
    <col min="16169" max="16169" width="11" style="46" customWidth="1"/>
    <col min="16170" max="16170" width="10.77734375" style="46" customWidth="1"/>
    <col min="16171" max="16171" width="11.44140625" style="46" customWidth="1"/>
    <col min="16172" max="16172" width="4" style="46" customWidth="1"/>
    <col min="16173" max="16384" width="9.6640625" style="46"/>
  </cols>
  <sheetData>
    <row r="1" spans="1:56" ht="13.2" x14ac:dyDescent="0.2">
      <c r="A1" s="45" t="s">
        <v>180</v>
      </c>
    </row>
    <row r="2" spans="1:56" x14ac:dyDescent="0.2">
      <c r="C2" s="48" t="s">
        <v>181</v>
      </c>
    </row>
    <row r="3" spans="1:56" s="47" customFormat="1" x14ac:dyDescent="0.2">
      <c r="A3" s="49"/>
      <c r="B3" s="50" t="s">
        <v>182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</row>
    <row r="4" spans="1:56" s="47" customFormat="1" x14ac:dyDescent="0.2">
      <c r="A4" s="49"/>
      <c r="B4" s="53" t="s">
        <v>183</v>
      </c>
      <c r="C4" s="51" t="s">
        <v>79</v>
      </c>
      <c r="D4" s="51" t="s">
        <v>79</v>
      </c>
      <c r="E4" s="51" t="s">
        <v>79</v>
      </c>
      <c r="F4" s="51" t="s">
        <v>79</v>
      </c>
      <c r="G4" s="51" t="s">
        <v>79</v>
      </c>
      <c r="H4" s="51" t="s">
        <v>79</v>
      </c>
      <c r="I4" s="51" t="s">
        <v>79</v>
      </c>
      <c r="J4" s="51" t="s">
        <v>79</v>
      </c>
      <c r="K4" s="51" t="s">
        <v>184</v>
      </c>
      <c r="L4" s="51" t="s">
        <v>79</v>
      </c>
      <c r="M4" s="51" t="s">
        <v>141</v>
      </c>
      <c r="N4" s="51" t="s">
        <v>79</v>
      </c>
      <c r="O4" s="51" t="s">
        <v>79</v>
      </c>
      <c r="P4" s="51" t="s">
        <v>79</v>
      </c>
      <c r="Q4" s="51" t="s">
        <v>79</v>
      </c>
      <c r="R4" s="51" t="s">
        <v>79</v>
      </c>
      <c r="S4" s="51" t="s">
        <v>79</v>
      </c>
      <c r="T4" s="51" t="s">
        <v>79</v>
      </c>
      <c r="U4" s="51" t="s">
        <v>79</v>
      </c>
      <c r="V4" s="51" t="s">
        <v>79</v>
      </c>
      <c r="W4" s="51" t="s">
        <v>79</v>
      </c>
      <c r="X4" s="51" t="s">
        <v>79</v>
      </c>
      <c r="Y4" s="51" t="s">
        <v>74</v>
      </c>
      <c r="Z4" s="51" t="s">
        <v>192</v>
      </c>
      <c r="AA4" s="51" t="s">
        <v>184</v>
      </c>
      <c r="AB4" s="51" t="s">
        <v>184</v>
      </c>
      <c r="AC4" s="51" t="s">
        <v>184</v>
      </c>
      <c r="AD4" s="51" t="s">
        <v>184</v>
      </c>
      <c r="AE4" s="51" t="s">
        <v>184</v>
      </c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</row>
    <row r="5" spans="1:56" s="47" customFormat="1" x14ac:dyDescent="0.2">
      <c r="A5" s="49"/>
      <c r="B5" s="50" t="s">
        <v>185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</row>
    <row r="6" spans="1:56" s="61" customFormat="1" ht="20.399999999999999" x14ac:dyDescent="0.2">
      <c r="A6" s="57"/>
      <c r="B6" s="50" t="s">
        <v>187</v>
      </c>
      <c r="C6" s="71" t="s">
        <v>82</v>
      </c>
      <c r="D6" s="71" t="s">
        <v>81</v>
      </c>
      <c r="E6" s="71" t="s">
        <v>173</v>
      </c>
      <c r="F6" s="71" t="s">
        <v>4</v>
      </c>
      <c r="G6" s="71" t="s">
        <v>112</v>
      </c>
      <c r="H6" s="71" t="s">
        <v>8</v>
      </c>
      <c r="I6" s="71" t="s">
        <v>9</v>
      </c>
      <c r="J6" s="71" t="s">
        <v>22</v>
      </c>
      <c r="K6" s="71" t="s">
        <v>152</v>
      </c>
      <c r="L6" s="71" t="s">
        <v>13</v>
      </c>
      <c r="M6" s="71" t="s">
        <v>78</v>
      </c>
      <c r="N6" s="71" t="s">
        <v>77</v>
      </c>
      <c r="O6" s="71" t="s">
        <v>6</v>
      </c>
      <c r="P6" s="71" t="s">
        <v>10</v>
      </c>
      <c r="Q6" s="71" t="s">
        <v>23</v>
      </c>
      <c r="R6" s="71" t="s">
        <v>113</v>
      </c>
      <c r="S6" s="71" t="s">
        <v>25</v>
      </c>
      <c r="T6" s="71" t="s">
        <v>20</v>
      </c>
      <c r="U6" s="71" t="s">
        <v>76</v>
      </c>
      <c r="V6" s="71" t="s">
        <v>37</v>
      </c>
      <c r="W6" s="71" t="s">
        <v>36</v>
      </c>
      <c r="X6" s="71" t="s">
        <v>42</v>
      </c>
      <c r="Y6" s="71" t="s">
        <v>75</v>
      </c>
      <c r="Z6" s="71" t="s">
        <v>73</v>
      </c>
      <c r="AA6" s="71" t="s">
        <v>71</v>
      </c>
      <c r="AB6" s="71" t="s">
        <v>70</v>
      </c>
      <c r="AC6" s="71" t="s">
        <v>68</v>
      </c>
      <c r="AD6" s="71" t="s">
        <v>193</v>
      </c>
      <c r="AE6" s="71" t="s">
        <v>194</v>
      </c>
      <c r="AF6" s="50"/>
      <c r="AG6" s="50"/>
      <c r="AH6" s="50"/>
      <c r="AI6" s="50"/>
      <c r="AJ6" s="58"/>
      <c r="AK6" s="58"/>
      <c r="AL6" s="58"/>
      <c r="AM6" s="58"/>
      <c r="AN6" s="58"/>
      <c r="AO6" s="58"/>
      <c r="AP6" s="58"/>
      <c r="AQ6" s="58"/>
      <c r="AR6" s="59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</row>
    <row r="7" spans="1:56" x14ac:dyDescent="0.2">
      <c r="A7" s="62" t="s">
        <v>16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</row>
    <row r="8" spans="1:56" x14ac:dyDescent="0.2">
      <c r="A8" s="65" t="s">
        <v>104</v>
      </c>
      <c r="B8" s="63"/>
      <c r="C8" s="66"/>
      <c r="D8" s="66"/>
      <c r="E8" s="66"/>
      <c r="F8" s="66">
        <v>3.1372549019607842E-3</v>
      </c>
      <c r="G8" s="66">
        <v>9.4117647058823521E-3</v>
      </c>
      <c r="H8" s="66">
        <v>2.5098039215686275E-3</v>
      </c>
      <c r="I8" s="66">
        <v>1.7254901960784314E-3</v>
      </c>
      <c r="J8" s="66">
        <v>1.2549019607843137E-2</v>
      </c>
      <c r="K8" s="66"/>
      <c r="L8" s="66"/>
      <c r="M8" s="66">
        <v>1.8823529411764704E-2</v>
      </c>
      <c r="N8" s="66">
        <v>1.5686274509803921E-2</v>
      </c>
      <c r="O8" s="66">
        <v>1.7254901960784313E-2</v>
      </c>
      <c r="P8" s="66">
        <v>3.1372549019607843E-2</v>
      </c>
      <c r="Q8" s="66"/>
      <c r="R8" s="66">
        <v>3.9215686274509803E-3</v>
      </c>
      <c r="S8" s="66">
        <v>0.11294117647058824</v>
      </c>
      <c r="T8" s="66">
        <v>3.8431372549019606E-2</v>
      </c>
      <c r="U8" s="66"/>
      <c r="V8" s="66"/>
      <c r="W8" s="66"/>
      <c r="X8" s="66"/>
      <c r="Y8" s="66">
        <v>0.62745098039215685</v>
      </c>
      <c r="Z8" s="66">
        <v>0.11764705882352941</v>
      </c>
      <c r="AA8" s="66">
        <v>0.15686274509803921</v>
      </c>
      <c r="AB8" s="66">
        <v>2.1960784313725491E-2</v>
      </c>
      <c r="AC8" s="66">
        <v>3.1372549019607843E-2</v>
      </c>
      <c r="AD8" s="66">
        <v>1.5686274509803921E-3</v>
      </c>
      <c r="AE8" s="66">
        <v>4.7058823529411761E-3</v>
      </c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</row>
    <row r="9" spans="1:56" x14ac:dyDescent="0.2">
      <c r="A9" s="65" t="s">
        <v>166</v>
      </c>
      <c r="B9" s="63"/>
      <c r="C9" s="66"/>
      <c r="D9" s="66"/>
      <c r="E9" s="66"/>
      <c r="F9" s="66">
        <v>3.3333333333333335E-3</v>
      </c>
      <c r="G9" s="66">
        <v>5.4738562091503273E-3</v>
      </c>
      <c r="H9" s="66"/>
      <c r="I9" s="66"/>
      <c r="J9" s="66"/>
      <c r="K9" s="66">
        <v>8.0357142857142856E-4</v>
      </c>
      <c r="L9" s="66">
        <v>2.7124183006535948E-2</v>
      </c>
      <c r="M9" s="66"/>
      <c r="N9" s="66"/>
      <c r="O9" s="66"/>
      <c r="P9" s="66"/>
      <c r="Q9" s="66"/>
      <c r="R9" s="66">
        <v>4.2824074074074075E-3</v>
      </c>
      <c r="S9" s="66"/>
      <c r="T9" s="66">
        <v>3.125E-2</v>
      </c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4"/>
      <c r="AK9" s="64"/>
      <c r="AL9" s="64"/>
      <c r="AM9" s="64"/>
      <c r="AN9" s="64"/>
      <c r="AO9" s="64"/>
      <c r="AP9" s="64"/>
      <c r="AQ9" s="64"/>
      <c r="AR9" s="64"/>
    </row>
    <row r="10" spans="1:56" x14ac:dyDescent="0.2">
      <c r="A10" s="65" t="s">
        <v>190</v>
      </c>
      <c r="B10" s="63"/>
      <c r="C10" s="66">
        <v>0.28431372549019607</v>
      </c>
      <c r="D10" s="66">
        <v>9.0196078431372548E-2</v>
      </c>
      <c r="E10" s="66">
        <v>0.13725490196078433</v>
      </c>
      <c r="F10" s="66">
        <v>3.7500000000000003E-3</v>
      </c>
      <c r="G10" s="66">
        <v>7.8431372549019607E-3</v>
      </c>
      <c r="H10" s="66">
        <v>2.124183006535948E-3</v>
      </c>
      <c r="I10" s="66">
        <v>1.9607843137254902E-3</v>
      </c>
      <c r="J10" s="66">
        <v>2.7777777777777779E-3</v>
      </c>
      <c r="K10" s="66">
        <v>1.25E-3</v>
      </c>
      <c r="L10" s="66">
        <v>2.7450980392156862E-2</v>
      </c>
      <c r="M10" s="66">
        <v>6.25E-2</v>
      </c>
      <c r="N10" s="66">
        <v>8.8235294117647058E-3</v>
      </c>
      <c r="O10" s="66">
        <v>1.5686274509803921E-2</v>
      </c>
      <c r="P10" s="66"/>
      <c r="Q10" s="66">
        <v>1.5686274509803921E-2</v>
      </c>
      <c r="R10" s="66">
        <v>4.1666666666666666E-3</v>
      </c>
      <c r="S10" s="66">
        <v>0.125</v>
      </c>
      <c r="T10" s="66">
        <v>2.7083333333333334E-2</v>
      </c>
      <c r="U10" s="66"/>
      <c r="V10" s="66">
        <v>1.5686274509803921E-2</v>
      </c>
      <c r="W10" s="66">
        <v>1.2745098039215686E-2</v>
      </c>
      <c r="X10" s="66">
        <v>9.8039215686274508E-3</v>
      </c>
      <c r="Y10" s="66"/>
      <c r="Z10" s="66">
        <v>0.5</v>
      </c>
      <c r="AA10" s="66">
        <v>1.5</v>
      </c>
      <c r="AB10" s="66">
        <v>0.375</v>
      </c>
      <c r="AC10" s="66"/>
      <c r="AD10" s="66"/>
      <c r="AE10" s="66"/>
      <c r="AF10" s="66"/>
      <c r="AG10" s="66"/>
      <c r="AH10" s="66"/>
      <c r="AI10" s="66"/>
      <c r="AJ10" s="64"/>
      <c r="AK10" s="64"/>
      <c r="AL10" s="64"/>
      <c r="AM10" s="64"/>
      <c r="AN10" s="64"/>
      <c r="AO10" s="64"/>
      <c r="AP10" s="64"/>
      <c r="AQ10" s="64"/>
      <c r="AR10" s="64"/>
    </row>
    <row r="11" spans="1:56" x14ac:dyDescent="0.2">
      <c r="A11" s="65" t="s">
        <v>164</v>
      </c>
      <c r="C11" s="66"/>
      <c r="D11" s="66"/>
      <c r="E11" s="66"/>
      <c r="F11" s="66">
        <v>4.6527777777777782E-3</v>
      </c>
      <c r="G11" s="66">
        <v>8.1699346405228745E-3</v>
      </c>
      <c r="H11" s="66"/>
      <c r="I11" s="66">
        <v>1.9607843137254902E-3</v>
      </c>
      <c r="J11" s="66">
        <v>3.4313725490196078E-3</v>
      </c>
      <c r="K11" s="66"/>
      <c r="L11" s="66"/>
      <c r="M11" s="66">
        <v>8.9583333333333334E-2</v>
      </c>
      <c r="N11" s="66">
        <v>9.3137254901960783E-3</v>
      </c>
      <c r="O11" s="66">
        <v>2.042483660130719E-2</v>
      </c>
      <c r="P11" s="66"/>
      <c r="Q11" s="66">
        <v>1.3235294117647057E-2</v>
      </c>
      <c r="R11" s="66">
        <v>4.456018518518518E-3</v>
      </c>
      <c r="S11" s="66">
        <v>0.1</v>
      </c>
      <c r="T11" s="66">
        <v>2.5000000000000001E-2</v>
      </c>
      <c r="U11" s="66"/>
      <c r="V11" s="66">
        <v>1.2581699346405227E-2</v>
      </c>
      <c r="W11" s="66">
        <v>2.042483660130719E-2</v>
      </c>
      <c r="X11" s="66">
        <v>9.3137254901960783E-3</v>
      </c>
      <c r="Y11" s="66"/>
      <c r="Z11" s="66"/>
      <c r="AA11" s="66"/>
      <c r="AB11" s="66"/>
    </row>
    <row r="12" spans="1:56" x14ac:dyDescent="0.2">
      <c r="A12" s="65" t="s">
        <v>145</v>
      </c>
      <c r="C12" s="66"/>
      <c r="D12" s="66"/>
      <c r="E12" s="66"/>
      <c r="F12" s="66">
        <v>4.1666666666666666E-3</v>
      </c>
      <c r="G12" s="66">
        <v>1.2663398692810456E-2</v>
      </c>
      <c r="H12" s="66"/>
      <c r="I12" s="66">
        <v>1.9607843137254902E-3</v>
      </c>
      <c r="J12" s="66">
        <v>3.26797385620915E-3</v>
      </c>
      <c r="K12" s="66"/>
      <c r="L12" s="66"/>
      <c r="M12" s="66">
        <v>8.3333333333333343E-2</v>
      </c>
      <c r="N12" s="66">
        <v>9.8039215686274508E-3</v>
      </c>
      <c r="O12" s="66">
        <v>2.2875816993464054E-2</v>
      </c>
      <c r="P12" s="66"/>
      <c r="Q12" s="66">
        <v>1.5686274509803921E-2</v>
      </c>
      <c r="R12" s="66">
        <v>3.7615740740740747E-3</v>
      </c>
      <c r="S12" s="66"/>
      <c r="T12" s="66">
        <v>3.3333333333333333E-2</v>
      </c>
      <c r="U12" s="66"/>
      <c r="V12" s="66">
        <v>1.4705882352941176E-2</v>
      </c>
      <c r="W12" s="66">
        <v>1.9607843137254902E-2</v>
      </c>
      <c r="X12" s="66">
        <v>1.3888888888888888E-2</v>
      </c>
      <c r="Y12" s="66"/>
      <c r="Z12" s="66"/>
      <c r="AA12" s="66"/>
      <c r="AB12" s="66"/>
    </row>
    <row r="13" spans="1:56" ht="14.4" x14ac:dyDescent="0.3">
      <c r="A13" s="65" t="s">
        <v>197</v>
      </c>
      <c r="C13"/>
      <c r="D13"/>
      <c r="E13"/>
      <c r="F13" s="66">
        <v>4.7138047138047135E-3</v>
      </c>
      <c r="G13" s="66">
        <v>1.5052485640720934E-2</v>
      </c>
      <c r="H13" s="66"/>
      <c r="I13" s="66">
        <v>3.5650623885918006E-3</v>
      </c>
      <c r="J13" s="66">
        <v>5.7437116260645668E-3</v>
      </c>
      <c r="K13" s="66">
        <v>2.0202020202020202E-3</v>
      </c>
      <c r="L13" s="66">
        <v>3.9611804317686676E-2</v>
      </c>
      <c r="M13" s="66">
        <v>7.0707070707070704E-2</v>
      </c>
      <c r="N13" s="66">
        <v>1.4260249554367202E-2</v>
      </c>
      <c r="O13" s="66">
        <v>1.9013666072489603E-2</v>
      </c>
      <c r="P13" s="66"/>
      <c r="Q13" s="66">
        <v>3.928170594837261E-3</v>
      </c>
      <c r="R13" s="66">
        <v>2.8058361391694723E-3</v>
      </c>
      <c r="S13" s="66">
        <v>8.0808080808080815E-2</v>
      </c>
      <c r="T13" s="66">
        <v>2.5252525252525252E-2</v>
      </c>
      <c r="U13" s="66">
        <v>7.0145903479236812E-2</v>
      </c>
      <c r="V13" s="66">
        <v>1.9013666072489603E-2</v>
      </c>
      <c r="W13" s="66">
        <v>1.5844721727074667E-2</v>
      </c>
      <c r="X13" s="66">
        <v>1.5844721727074667E-2</v>
      </c>
      <c r="Y13" s="66"/>
      <c r="Z13" s="66"/>
      <c r="AA13" s="66">
        <v>3.2323232323232323</v>
      </c>
      <c r="AB13" s="66">
        <v>1.0101010101010102</v>
      </c>
      <c r="AC13" s="26"/>
      <c r="AD13" s="26"/>
      <c r="AE13" s="26"/>
      <c r="AF13" s="26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AH231"/>
  <sheetViews>
    <sheetView zoomScale="70" zoomScaleNormal="70" workbookViewId="0">
      <pane xSplit="1" ySplit="3" topLeftCell="B32" activePane="bottomRight" state="frozen"/>
      <selection pane="topRight" activeCell="B1" sqref="B1"/>
      <selection pane="bottomLeft" activeCell="A4" sqref="A4"/>
      <selection pane="bottomRight" activeCell="O70" sqref="O70"/>
    </sheetView>
  </sheetViews>
  <sheetFormatPr defaultRowHeight="14.4" x14ac:dyDescent="0.3"/>
  <cols>
    <col min="1" max="1" width="48.109375" style="7" customWidth="1"/>
    <col min="2" max="2" width="9.109375" style="22" customWidth="1"/>
    <col min="3" max="3" width="9.88671875" customWidth="1"/>
    <col min="4" max="4" width="10.6640625" customWidth="1"/>
    <col min="5" max="5" width="8" customWidth="1"/>
    <col min="6" max="6" width="10.5546875" customWidth="1"/>
    <col min="7" max="7" width="12" customWidth="1"/>
    <col min="8" max="8" width="10.33203125" customWidth="1"/>
    <col min="9" max="9" width="8.77734375" style="22" customWidth="1"/>
    <col min="10" max="12" width="10.33203125" customWidth="1"/>
    <col min="13" max="15" width="10.33203125" style="22" customWidth="1"/>
    <col min="16" max="16" width="10.33203125" customWidth="1"/>
    <col min="17" max="17" width="10.33203125" style="22" customWidth="1"/>
    <col min="18" max="18" width="14.44140625" style="22" customWidth="1"/>
    <col min="19" max="19" width="10.33203125" style="22" customWidth="1"/>
    <col min="20" max="20" width="10.33203125" customWidth="1"/>
    <col min="21" max="22" width="10.33203125" style="22" customWidth="1"/>
    <col min="23" max="23" width="12.21875" style="22" customWidth="1"/>
    <col min="24" max="24" width="11.77734375" customWidth="1"/>
    <col min="25" max="28" width="10.33203125" customWidth="1"/>
    <col min="29" max="29" width="12" customWidth="1"/>
    <col min="30" max="30" width="12.109375" customWidth="1"/>
    <col min="31" max="31" width="8.5546875" style="22" customWidth="1"/>
    <col min="32" max="34" width="10.33203125" customWidth="1"/>
  </cols>
  <sheetData>
    <row r="2" spans="1:34" s="38" customFormat="1" ht="30.6" customHeight="1" x14ac:dyDescent="0.3">
      <c r="A2" s="37"/>
      <c r="B2" s="91" t="s">
        <v>1</v>
      </c>
      <c r="C2" s="90" t="s">
        <v>108</v>
      </c>
      <c r="D2" s="90"/>
      <c r="E2" s="90"/>
      <c r="F2" s="90" t="s">
        <v>109</v>
      </c>
      <c r="G2" s="90"/>
      <c r="H2" s="90"/>
      <c r="I2" s="91" t="s">
        <v>1</v>
      </c>
      <c r="J2" s="90" t="s">
        <v>98</v>
      </c>
      <c r="K2" s="90"/>
      <c r="L2" s="90"/>
      <c r="M2" s="91" t="s">
        <v>1</v>
      </c>
      <c r="N2" s="90" t="s">
        <v>162</v>
      </c>
      <c r="O2" s="90"/>
      <c r="P2" s="90"/>
      <c r="Q2" s="91" t="s">
        <v>1</v>
      </c>
      <c r="R2" s="90" t="s">
        <v>163</v>
      </c>
      <c r="S2" s="90"/>
      <c r="T2" s="90"/>
      <c r="U2" s="91" t="s">
        <v>1</v>
      </c>
      <c r="V2" s="90" t="s">
        <v>160</v>
      </c>
      <c r="W2" s="90"/>
      <c r="X2" s="90"/>
      <c r="Y2" s="90" t="s">
        <v>147</v>
      </c>
      <c r="Z2" s="90"/>
      <c r="AA2" s="90"/>
      <c r="AB2" s="90" t="s">
        <v>154</v>
      </c>
      <c r="AC2" s="90"/>
      <c r="AD2" s="90"/>
      <c r="AE2" s="91" t="s">
        <v>1</v>
      </c>
      <c r="AF2" s="90" t="s">
        <v>53</v>
      </c>
      <c r="AG2" s="90"/>
      <c r="AH2" s="90"/>
    </row>
    <row r="3" spans="1:34" s="8" customFormat="1" ht="15.6" x14ac:dyDescent="0.3">
      <c r="A3" s="17" t="s">
        <v>0</v>
      </c>
      <c r="B3" s="91"/>
      <c r="C3" s="9" t="s">
        <v>2</v>
      </c>
      <c r="D3" s="10" t="s">
        <v>15</v>
      </c>
      <c r="E3" s="10" t="s">
        <v>178</v>
      </c>
      <c r="F3" s="9" t="s">
        <v>2</v>
      </c>
      <c r="G3" s="10" t="s">
        <v>15</v>
      </c>
      <c r="H3" s="10" t="s">
        <v>178</v>
      </c>
      <c r="I3" s="91"/>
      <c r="J3" s="9" t="s">
        <v>2</v>
      </c>
      <c r="K3" s="10" t="s">
        <v>15</v>
      </c>
      <c r="L3" s="10" t="s">
        <v>178</v>
      </c>
      <c r="M3" s="91"/>
      <c r="N3" s="9" t="s">
        <v>2</v>
      </c>
      <c r="O3" s="10" t="s">
        <v>15</v>
      </c>
      <c r="P3" s="10" t="s">
        <v>178</v>
      </c>
      <c r="Q3" s="91"/>
      <c r="R3" s="9" t="s">
        <v>2</v>
      </c>
      <c r="S3" s="10" t="s">
        <v>15</v>
      </c>
      <c r="T3" s="10" t="s">
        <v>178</v>
      </c>
      <c r="U3" s="91"/>
      <c r="V3" s="9" t="s">
        <v>2</v>
      </c>
      <c r="W3" s="10" t="s">
        <v>15</v>
      </c>
      <c r="X3" s="10" t="s">
        <v>178</v>
      </c>
      <c r="Y3" s="9" t="s">
        <v>2</v>
      </c>
      <c r="Z3" s="10" t="s">
        <v>15</v>
      </c>
      <c r="AA3" s="10" t="s">
        <v>178</v>
      </c>
      <c r="AB3" s="9" t="s">
        <v>2</v>
      </c>
      <c r="AC3" s="10" t="s">
        <v>15</v>
      </c>
      <c r="AD3" s="10" t="s">
        <v>178</v>
      </c>
      <c r="AE3" s="91"/>
      <c r="AF3" s="9" t="s">
        <v>2</v>
      </c>
      <c r="AG3" s="10" t="s">
        <v>15</v>
      </c>
      <c r="AH3" s="10" t="s">
        <v>178</v>
      </c>
    </row>
    <row r="4" spans="1:34" s="4" customFormat="1" x14ac:dyDescent="0.3">
      <c r="A4" s="18" t="s">
        <v>17</v>
      </c>
      <c r="B4" s="23" t="s">
        <v>32</v>
      </c>
      <c r="E4" s="40" t="str">
        <f>IFERROR(D4/C4,"")</f>
        <v/>
      </c>
      <c r="H4" s="40" t="str">
        <f>IFERROR(G4/F4,"")</f>
        <v/>
      </c>
      <c r="I4" s="23" t="s">
        <v>32</v>
      </c>
      <c r="L4" s="40" t="str">
        <f>IFERROR(K4/J4,"")</f>
        <v/>
      </c>
      <c r="M4" s="23" t="s">
        <v>32</v>
      </c>
      <c r="N4" s="19"/>
      <c r="O4" s="19"/>
      <c r="P4" s="40" t="str">
        <f>IFERROR(O4/N4,"")</f>
        <v/>
      </c>
      <c r="Q4" s="23" t="s">
        <v>32</v>
      </c>
      <c r="R4" s="19"/>
      <c r="S4" s="19"/>
      <c r="T4" s="40" t="str">
        <f>IFERROR(S4/R4,"")</f>
        <v/>
      </c>
      <c r="U4" s="23" t="s">
        <v>32</v>
      </c>
      <c r="V4" s="23">
        <v>3996</v>
      </c>
      <c r="W4" s="20">
        <f>1620/36</f>
        <v>45</v>
      </c>
      <c r="X4" s="40">
        <f>IFERROR(W4/V4,"")</f>
        <v>1.1261261261261261E-2</v>
      </c>
      <c r="Y4" s="20"/>
      <c r="Z4" s="19"/>
      <c r="AA4" s="40" t="str">
        <f>IFERROR(Z4/Y4,"")</f>
        <v/>
      </c>
      <c r="AB4" s="20"/>
      <c r="AC4" s="19"/>
      <c r="AD4" s="40" t="str">
        <f>IFERROR(AC4/AB4,"")</f>
        <v/>
      </c>
      <c r="AE4" s="23" t="s">
        <v>32</v>
      </c>
      <c r="AF4" s="20"/>
      <c r="AG4" s="19"/>
      <c r="AH4" s="40" t="str">
        <f>IFERROR(AG4/AF4,"")</f>
        <v/>
      </c>
    </row>
    <row r="5" spans="1:34" s="4" customFormat="1" x14ac:dyDescent="0.3">
      <c r="A5" s="16" t="s">
        <v>168</v>
      </c>
      <c r="B5" s="23" t="s">
        <v>3</v>
      </c>
      <c r="C5" s="4">
        <v>13</v>
      </c>
      <c r="D5" s="4">
        <v>80</v>
      </c>
      <c r="E5" s="40">
        <f t="shared" ref="E5:E34" si="0">IFERROR(D5/C5,"")</f>
        <v>6.1538461538461542</v>
      </c>
      <c r="H5" s="40" t="str">
        <f t="shared" ref="H5:H34" si="1">IFERROR(G5/F5,"")</f>
        <v/>
      </c>
      <c r="I5" s="23" t="s">
        <v>3</v>
      </c>
      <c r="L5" s="40" t="str">
        <f t="shared" ref="L5:L34" si="2">IFERROR(K5/J5,"")</f>
        <v/>
      </c>
      <c r="M5" s="23" t="s">
        <v>3</v>
      </c>
      <c r="N5" s="19"/>
      <c r="O5" s="19"/>
      <c r="P5" s="40" t="str">
        <f t="shared" ref="P5:P34" si="3">IFERROR(O5/N5,"")</f>
        <v/>
      </c>
      <c r="Q5" s="23" t="s">
        <v>3</v>
      </c>
      <c r="R5" s="19"/>
      <c r="S5" s="19"/>
      <c r="T5" s="40" t="str">
        <f t="shared" ref="T5:T34" si="4">IFERROR(S5/R5,"")</f>
        <v/>
      </c>
      <c r="U5" s="23" t="s">
        <v>3</v>
      </c>
      <c r="V5" s="23"/>
      <c r="W5" s="20"/>
      <c r="X5" s="40" t="str">
        <f t="shared" ref="X5:X34" si="5">IFERROR(W5/V5,"")</f>
        <v/>
      </c>
      <c r="Y5" s="19"/>
      <c r="Z5" s="19"/>
      <c r="AA5" s="40" t="str">
        <f t="shared" ref="AA5:AA34" si="6">IFERROR(Z5/Y5,"")</f>
        <v/>
      </c>
      <c r="AB5" s="19"/>
      <c r="AC5" s="19"/>
      <c r="AD5" s="40" t="str">
        <f t="shared" ref="AD5:AD34" si="7">IFERROR(AC5/AB5,"")</f>
        <v/>
      </c>
      <c r="AE5" s="23" t="s">
        <v>3</v>
      </c>
      <c r="AF5" s="19">
        <f>(260+72)</f>
        <v>332</v>
      </c>
      <c r="AG5" s="19">
        <f>1229+1289</f>
        <v>2518</v>
      </c>
      <c r="AH5" s="40">
        <f t="shared" ref="AH5:AH34" si="8">IFERROR(AG5/AF5,"")</f>
        <v>7.5843373493975905</v>
      </c>
    </row>
    <row r="6" spans="1:34" s="4" customFormat="1" x14ac:dyDescent="0.3">
      <c r="A6" s="16" t="s">
        <v>18</v>
      </c>
      <c r="B6" s="23" t="s">
        <v>5</v>
      </c>
      <c r="E6" s="40" t="str">
        <f t="shared" si="0"/>
        <v/>
      </c>
      <c r="F6" s="4">
        <v>100</v>
      </c>
      <c r="G6" s="4">
        <v>4400</v>
      </c>
      <c r="H6" s="40">
        <f t="shared" si="1"/>
        <v>44</v>
      </c>
      <c r="I6" s="23" t="s">
        <v>5</v>
      </c>
      <c r="L6" s="40" t="str">
        <f t="shared" si="2"/>
        <v/>
      </c>
      <c r="M6" s="23" t="s">
        <v>5</v>
      </c>
      <c r="N6" s="19"/>
      <c r="O6" s="19"/>
      <c r="P6" s="40" t="str">
        <f t="shared" si="3"/>
        <v/>
      </c>
      <c r="Q6" s="23" t="s">
        <v>5</v>
      </c>
      <c r="R6" s="19"/>
      <c r="S6" s="19"/>
      <c r="T6" s="40" t="str">
        <f t="shared" si="4"/>
        <v/>
      </c>
      <c r="U6" s="23" t="s">
        <v>5</v>
      </c>
      <c r="V6" s="23"/>
      <c r="W6" s="20"/>
      <c r="X6" s="40" t="str">
        <f t="shared" si="5"/>
        <v/>
      </c>
      <c r="Y6" s="21"/>
      <c r="Z6" s="19"/>
      <c r="AA6" s="40" t="str">
        <f t="shared" si="6"/>
        <v/>
      </c>
      <c r="AB6" s="21"/>
      <c r="AC6" s="19"/>
      <c r="AD6" s="40" t="str">
        <f t="shared" si="7"/>
        <v/>
      </c>
      <c r="AE6" s="23" t="s">
        <v>5</v>
      </c>
      <c r="AF6" s="21"/>
      <c r="AG6" s="19"/>
      <c r="AH6" s="40" t="str">
        <f t="shared" si="8"/>
        <v/>
      </c>
    </row>
    <row r="7" spans="1:34" s="4" customFormat="1" x14ac:dyDescent="0.3">
      <c r="A7" s="16" t="s">
        <v>55</v>
      </c>
      <c r="B7" s="23" t="s">
        <v>32</v>
      </c>
      <c r="E7" s="40" t="str">
        <f t="shared" si="0"/>
        <v/>
      </c>
      <c r="H7" s="40" t="str">
        <f t="shared" si="1"/>
        <v/>
      </c>
      <c r="I7" s="23" t="s">
        <v>32</v>
      </c>
      <c r="L7" s="40" t="str">
        <f t="shared" si="2"/>
        <v/>
      </c>
      <c r="M7" s="23" t="s">
        <v>32</v>
      </c>
      <c r="N7" s="19"/>
      <c r="O7" s="19"/>
      <c r="P7" s="40" t="str">
        <f t="shared" si="3"/>
        <v/>
      </c>
      <c r="Q7" s="23" t="s">
        <v>32</v>
      </c>
      <c r="R7" s="19"/>
      <c r="S7" s="19"/>
      <c r="T7" s="40" t="str">
        <f t="shared" si="4"/>
        <v/>
      </c>
      <c r="U7" s="23" t="s">
        <v>32</v>
      </c>
      <c r="V7" s="23"/>
      <c r="W7" s="20"/>
      <c r="X7" s="40" t="str">
        <f t="shared" si="5"/>
        <v/>
      </c>
      <c r="Y7" s="19"/>
      <c r="Z7" s="19"/>
      <c r="AA7" s="40" t="str">
        <f t="shared" si="6"/>
        <v/>
      </c>
      <c r="AB7" s="19"/>
      <c r="AC7" s="19"/>
      <c r="AD7" s="40" t="str">
        <f t="shared" si="7"/>
        <v/>
      </c>
      <c r="AE7" s="23" t="s">
        <v>32</v>
      </c>
      <c r="AF7" s="19">
        <f>D40*444</f>
        <v>49728</v>
      </c>
      <c r="AG7" s="19">
        <v>1398</v>
      </c>
      <c r="AH7" s="40">
        <f t="shared" si="8"/>
        <v>2.8112934362934362E-2</v>
      </c>
    </row>
    <row r="8" spans="1:34" s="4" customFormat="1" x14ac:dyDescent="0.3">
      <c r="A8" s="16" t="s">
        <v>19</v>
      </c>
      <c r="B8" s="23" t="s">
        <v>32</v>
      </c>
      <c r="E8" s="40" t="str">
        <f t="shared" si="0"/>
        <v/>
      </c>
      <c r="H8" s="40" t="str">
        <f t="shared" si="1"/>
        <v/>
      </c>
      <c r="I8" s="23" t="s">
        <v>32</v>
      </c>
      <c r="L8" s="40" t="str">
        <f t="shared" si="2"/>
        <v/>
      </c>
      <c r="M8" s="23" t="s">
        <v>32</v>
      </c>
      <c r="N8" s="19">
        <f>(6259+524)*36</f>
        <v>244188</v>
      </c>
      <c r="O8" s="19">
        <f>378+73</f>
        <v>451</v>
      </c>
      <c r="P8" s="40">
        <f t="shared" si="3"/>
        <v>1.8469376054515373E-3</v>
      </c>
      <c r="Q8" s="23" t="s">
        <v>32</v>
      </c>
      <c r="R8" s="19"/>
      <c r="S8" s="19"/>
      <c r="T8" s="40" t="str">
        <f t="shared" si="4"/>
        <v/>
      </c>
      <c r="U8" s="23" t="s">
        <v>32</v>
      </c>
      <c r="V8" s="23"/>
      <c r="W8" s="20"/>
      <c r="X8" s="40" t="str">
        <f t="shared" si="5"/>
        <v/>
      </c>
      <c r="Y8" s="19"/>
      <c r="Z8" s="19"/>
      <c r="AA8" s="40" t="str">
        <f t="shared" si="6"/>
        <v/>
      </c>
      <c r="AB8" s="19"/>
      <c r="AC8" s="19"/>
      <c r="AD8" s="40" t="str">
        <f t="shared" si="7"/>
        <v/>
      </c>
      <c r="AE8" s="23" t="s">
        <v>32</v>
      </c>
      <c r="AF8" s="19"/>
      <c r="AG8" s="19"/>
      <c r="AH8" s="40" t="str">
        <f t="shared" si="8"/>
        <v/>
      </c>
    </row>
    <row r="9" spans="1:34" s="4" customFormat="1" x14ac:dyDescent="0.3">
      <c r="A9" s="16" t="s">
        <v>20</v>
      </c>
      <c r="B9" s="23" t="s">
        <v>32</v>
      </c>
      <c r="C9" s="19">
        <v>50000</v>
      </c>
      <c r="D9" s="19">
        <v>2000</v>
      </c>
      <c r="E9" s="40">
        <f t="shared" si="0"/>
        <v>0.04</v>
      </c>
      <c r="F9" s="19">
        <v>70000</v>
      </c>
      <c r="G9" s="19">
        <v>2800</v>
      </c>
      <c r="H9" s="40">
        <f t="shared" si="1"/>
        <v>0.04</v>
      </c>
      <c r="I9" s="23" t="s">
        <v>32</v>
      </c>
      <c r="J9" s="19">
        <v>83000</v>
      </c>
      <c r="K9" s="19">
        <v>3850</v>
      </c>
      <c r="L9" s="40">
        <f t="shared" si="2"/>
        <v>4.6385542168674701E-2</v>
      </c>
      <c r="M9" s="23" t="s">
        <v>32</v>
      </c>
      <c r="N9" s="19"/>
      <c r="O9" s="19"/>
      <c r="P9" s="40" t="str">
        <f t="shared" si="3"/>
        <v/>
      </c>
      <c r="Q9" s="23" t="s">
        <v>32</v>
      </c>
      <c r="R9" s="19"/>
      <c r="S9" s="19"/>
      <c r="T9" s="40" t="str">
        <f t="shared" si="4"/>
        <v/>
      </c>
      <c r="U9" s="23" t="s">
        <v>32</v>
      </c>
      <c r="V9" s="19">
        <v>158184</v>
      </c>
      <c r="W9" s="19">
        <v>2610</v>
      </c>
      <c r="X9" s="40">
        <f t="shared" si="5"/>
        <v>1.6499772416932179E-2</v>
      </c>
      <c r="Y9" s="19"/>
      <c r="Z9" s="19"/>
      <c r="AA9" s="40" t="str">
        <f t="shared" si="6"/>
        <v/>
      </c>
      <c r="AB9" s="19"/>
      <c r="AC9" s="19"/>
      <c r="AD9" s="40" t="str">
        <f t="shared" si="7"/>
        <v/>
      </c>
      <c r="AE9" s="23" t="s">
        <v>32</v>
      </c>
      <c r="AF9" s="19">
        <f>D40*1744</f>
        <v>195328</v>
      </c>
      <c r="AG9" s="19">
        <v>4429</v>
      </c>
      <c r="AH9" s="40">
        <f t="shared" si="8"/>
        <v>2.2674680537352557E-2</v>
      </c>
    </row>
    <row r="10" spans="1:34" s="4" customFormat="1" x14ac:dyDescent="0.3">
      <c r="A10" s="16" t="s">
        <v>99</v>
      </c>
      <c r="B10" s="23" t="s">
        <v>32</v>
      </c>
      <c r="C10" s="19"/>
      <c r="D10" s="19"/>
      <c r="E10" s="40" t="str">
        <f t="shared" si="0"/>
        <v/>
      </c>
      <c r="F10" s="19"/>
      <c r="G10" s="19"/>
      <c r="H10" s="40" t="str">
        <f t="shared" si="1"/>
        <v/>
      </c>
      <c r="I10" s="23" t="s">
        <v>32</v>
      </c>
      <c r="J10" s="19">
        <v>4000</v>
      </c>
      <c r="K10" s="19">
        <v>1270</v>
      </c>
      <c r="L10" s="40">
        <f t="shared" si="2"/>
        <v>0.3175</v>
      </c>
      <c r="M10" s="23" t="s">
        <v>32</v>
      </c>
      <c r="N10" s="19"/>
      <c r="O10" s="19"/>
      <c r="P10" s="40" t="str">
        <f t="shared" si="3"/>
        <v/>
      </c>
      <c r="Q10" s="23" t="s">
        <v>32</v>
      </c>
      <c r="R10" s="19"/>
      <c r="S10" s="19"/>
      <c r="T10" s="40" t="str">
        <f t="shared" si="4"/>
        <v/>
      </c>
      <c r="U10" s="23" t="s">
        <v>32</v>
      </c>
      <c r="V10" s="23"/>
      <c r="W10" s="19"/>
      <c r="X10" s="40" t="str">
        <f t="shared" si="5"/>
        <v/>
      </c>
      <c r="Y10" s="19"/>
      <c r="Z10" s="19"/>
      <c r="AA10" s="40" t="str">
        <f t="shared" si="6"/>
        <v/>
      </c>
      <c r="AB10" s="19"/>
      <c r="AC10" s="19"/>
      <c r="AD10" s="40" t="str">
        <f t="shared" si="7"/>
        <v/>
      </c>
      <c r="AE10" s="23" t="s">
        <v>32</v>
      </c>
      <c r="AF10" s="19"/>
      <c r="AG10" s="19"/>
      <c r="AH10" s="40" t="str">
        <f t="shared" si="8"/>
        <v/>
      </c>
    </row>
    <row r="11" spans="1:34" s="4" customFormat="1" x14ac:dyDescent="0.3">
      <c r="A11" s="16" t="s">
        <v>21</v>
      </c>
      <c r="B11" s="23" t="s">
        <v>32</v>
      </c>
      <c r="C11" s="19"/>
      <c r="D11" s="19"/>
      <c r="E11" s="40" t="str">
        <f t="shared" si="0"/>
        <v/>
      </c>
      <c r="F11" s="19"/>
      <c r="G11" s="19"/>
      <c r="H11" s="40" t="str">
        <f t="shared" si="1"/>
        <v/>
      </c>
      <c r="I11" s="23" t="s">
        <v>32</v>
      </c>
      <c r="J11" s="19"/>
      <c r="K11" s="19"/>
      <c r="L11" s="40" t="str">
        <f t="shared" si="2"/>
        <v/>
      </c>
      <c r="M11" s="23" t="s">
        <v>32</v>
      </c>
      <c r="N11" s="19"/>
      <c r="O11" s="19"/>
      <c r="P11" s="40" t="str">
        <f t="shared" si="3"/>
        <v/>
      </c>
      <c r="Q11" s="23" t="s">
        <v>32</v>
      </c>
      <c r="R11" s="19"/>
      <c r="S11" s="19"/>
      <c r="T11" s="40" t="str">
        <f t="shared" si="4"/>
        <v/>
      </c>
      <c r="U11" s="23" t="s">
        <v>32</v>
      </c>
      <c r="V11" s="19">
        <v>953532</v>
      </c>
      <c r="W11" s="19">
        <v>1150</v>
      </c>
      <c r="X11" s="40">
        <f t="shared" si="5"/>
        <v>1.2060423771829366E-3</v>
      </c>
      <c r="Y11" s="19"/>
      <c r="Z11" s="19"/>
      <c r="AA11" s="40" t="str">
        <f t="shared" si="6"/>
        <v/>
      </c>
      <c r="AB11" s="19"/>
      <c r="AC11" s="19"/>
      <c r="AD11" s="40" t="str">
        <f t="shared" si="7"/>
        <v/>
      </c>
      <c r="AE11" s="23" t="s">
        <v>32</v>
      </c>
      <c r="AF11" s="19"/>
      <c r="AG11" s="19"/>
      <c r="AH11" s="40" t="str">
        <f t="shared" si="8"/>
        <v/>
      </c>
    </row>
    <row r="12" spans="1:34" s="4" customFormat="1" x14ac:dyDescent="0.3">
      <c r="A12" s="16" t="s">
        <v>22</v>
      </c>
      <c r="B12" s="23" t="s">
        <v>32</v>
      </c>
      <c r="C12" s="19"/>
      <c r="D12" s="19"/>
      <c r="E12" s="40" t="str">
        <f t="shared" si="0"/>
        <v/>
      </c>
      <c r="F12" s="19"/>
      <c r="G12" s="19"/>
      <c r="H12" s="40" t="str">
        <f t="shared" si="1"/>
        <v/>
      </c>
      <c r="I12" s="23" t="s">
        <v>32</v>
      </c>
      <c r="J12" s="19"/>
      <c r="K12" s="19"/>
      <c r="L12" s="40" t="str">
        <f t="shared" si="2"/>
        <v/>
      </c>
      <c r="M12" s="23" t="s">
        <v>32</v>
      </c>
      <c r="N12" s="19">
        <v>154512</v>
      </c>
      <c r="O12" s="19">
        <v>490</v>
      </c>
      <c r="P12" s="40">
        <f t="shared" si="3"/>
        <v>3.1712747229988608E-3</v>
      </c>
      <c r="Q12" s="23" t="s">
        <v>32</v>
      </c>
      <c r="R12" s="19"/>
      <c r="S12" s="19"/>
      <c r="T12" s="40" t="str">
        <f t="shared" si="4"/>
        <v/>
      </c>
      <c r="U12" s="23" t="s">
        <v>32</v>
      </c>
      <c r="V12" s="19">
        <v>2119356</v>
      </c>
      <c r="W12" s="19">
        <v>5270</v>
      </c>
      <c r="X12" s="40">
        <f t="shared" si="5"/>
        <v>2.4866044213430871E-3</v>
      </c>
      <c r="Y12" s="19"/>
      <c r="Z12" s="19"/>
      <c r="AA12" s="40" t="str">
        <f t="shared" si="6"/>
        <v/>
      </c>
      <c r="AB12" s="19">
        <f>2050*2204.6</f>
        <v>4519430</v>
      </c>
      <c r="AC12" s="19">
        <v>11166</v>
      </c>
      <c r="AD12" s="40">
        <f t="shared" si="7"/>
        <v>2.4706655485315625E-3</v>
      </c>
      <c r="AE12" s="23" t="s">
        <v>32</v>
      </c>
      <c r="AF12" s="19">
        <f>D40*82594</f>
        <v>9250528</v>
      </c>
      <c r="AG12" s="19">
        <v>36863</v>
      </c>
      <c r="AH12" s="40">
        <f t="shared" si="8"/>
        <v>3.9849617232659588E-3</v>
      </c>
    </row>
    <row r="13" spans="1:34" s="4" customFormat="1" x14ac:dyDescent="0.3">
      <c r="A13" s="16" t="s">
        <v>12</v>
      </c>
      <c r="B13" s="23" t="s">
        <v>32</v>
      </c>
      <c r="C13" s="19"/>
      <c r="D13" s="19"/>
      <c r="E13" s="40" t="str">
        <f t="shared" si="0"/>
        <v/>
      </c>
      <c r="F13" s="19"/>
      <c r="G13" s="19"/>
      <c r="H13" s="40" t="str">
        <f t="shared" si="1"/>
        <v/>
      </c>
      <c r="I13" s="23" t="s">
        <v>32</v>
      </c>
      <c r="J13" s="19"/>
      <c r="K13" s="19"/>
      <c r="L13" s="40" t="str">
        <f t="shared" si="2"/>
        <v/>
      </c>
      <c r="M13" s="23" t="s">
        <v>32</v>
      </c>
      <c r="N13" s="19">
        <v>579600</v>
      </c>
      <c r="O13" s="19">
        <v>139</v>
      </c>
      <c r="P13" s="40">
        <f t="shared" si="3"/>
        <v>2.3982056590752244E-4</v>
      </c>
      <c r="Q13" s="23" t="s">
        <v>32</v>
      </c>
      <c r="R13" s="19"/>
      <c r="S13" s="19"/>
      <c r="T13" s="40" t="str">
        <f t="shared" si="4"/>
        <v/>
      </c>
      <c r="U13" s="23" t="s">
        <v>32</v>
      </c>
      <c r="V13" s="19">
        <v>833400</v>
      </c>
      <c r="W13" s="19">
        <v>320</v>
      </c>
      <c r="X13" s="40">
        <f t="shared" si="5"/>
        <v>3.839692824574034E-4</v>
      </c>
      <c r="Y13" s="19"/>
      <c r="Z13" s="19"/>
      <c r="AA13" s="40" t="str">
        <f t="shared" si="6"/>
        <v/>
      </c>
      <c r="AB13" s="19"/>
      <c r="AC13" s="19"/>
      <c r="AD13" s="40" t="str">
        <f t="shared" si="7"/>
        <v/>
      </c>
      <c r="AE13" s="23" t="s">
        <v>32</v>
      </c>
      <c r="AF13" s="19">
        <f>D40*77110</f>
        <v>8636320</v>
      </c>
      <c r="AG13" s="19">
        <v>2353</v>
      </c>
      <c r="AH13" s="40">
        <f t="shared" si="8"/>
        <v>2.7245400818867293E-4</v>
      </c>
    </row>
    <row r="14" spans="1:34" s="4" customFormat="1" x14ac:dyDescent="0.3">
      <c r="A14" s="16" t="s">
        <v>23</v>
      </c>
      <c r="B14" s="23" t="s">
        <v>32</v>
      </c>
      <c r="C14" s="19">
        <v>3550000</v>
      </c>
      <c r="D14" s="19">
        <v>89600</v>
      </c>
      <c r="E14" s="40">
        <f t="shared" si="0"/>
        <v>2.5239436619718308E-2</v>
      </c>
      <c r="F14" s="19">
        <v>6643000</v>
      </c>
      <c r="G14" s="19">
        <v>104000</v>
      </c>
      <c r="H14" s="40">
        <f t="shared" si="1"/>
        <v>1.5655577299412915E-2</v>
      </c>
      <c r="I14" s="23" t="s">
        <v>32</v>
      </c>
      <c r="J14" s="19">
        <v>3000000</v>
      </c>
      <c r="K14" s="19">
        <v>76925</v>
      </c>
      <c r="L14" s="40">
        <f t="shared" si="2"/>
        <v>2.5641666666666667E-2</v>
      </c>
      <c r="M14" s="23" t="s">
        <v>32</v>
      </c>
      <c r="N14" s="19">
        <v>28375632</v>
      </c>
      <c r="O14" s="19">
        <v>354000</v>
      </c>
      <c r="P14" s="40">
        <f t="shared" si="3"/>
        <v>1.2475493056859492E-2</v>
      </c>
      <c r="Q14" s="23" t="s">
        <v>32</v>
      </c>
      <c r="R14" s="19">
        <v>12600000</v>
      </c>
      <c r="S14" s="19">
        <v>178000</v>
      </c>
      <c r="T14" s="40">
        <f t="shared" si="4"/>
        <v>1.4126984126984127E-2</v>
      </c>
      <c r="U14" s="23" t="s">
        <v>32</v>
      </c>
      <c r="V14" s="19">
        <v>40726944</v>
      </c>
      <c r="W14" s="19">
        <v>595659</v>
      </c>
      <c r="X14" s="40">
        <f t="shared" si="5"/>
        <v>1.4625673853653248E-2</v>
      </c>
      <c r="Y14" s="19">
        <f>20500*2204.6</f>
        <v>45194300</v>
      </c>
      <c r="Z14" s="19">
        <v>752670</v>
      </c>
      <c r="AA14" s="40">
        <f t="shared" si="6"/>
        <v>1.6654091334526701E-2</v>
      </c>
      <c r="AB14" s="19">
        <f>16950*2204.6</f>
        <v>37367970</v>
      </c>
      <c r="AC14" s="19">
        <v>422774</v>
      </c>
      <c r="AD14" s="40">
        <f t="shared" si="7"/>
        <v>1.1313806984966002E-2</v>
      </c>
      <c r="AE14" s="23" t="s">
        <v>32</v>
      </c>
      <c r="AF14" s="19">
        <f>D40*558216</f>
        <v>62520192</v>
      </c>
      <c r="AG14" s="19">
        <v>528825</v>
      </c>
      <c r="AH14" s="40">
        <f t="shared" si="8"/>
        <v>8.4584673060504999E-3</v>
      </c>
    </row>
    <row r="15" spans="1:34" s="4" customFormat="1" x14ac:dyDescent="0.3">
      <c r="A15" s="16" t="s">
        <v>24</v>
      </c>
      <c r="B15" s="23" t="s">
        <v>32</v>
      </c>
      <c r="C15" s="19"/>
      <c r="D15" s="19"/>
      <c r="E15" s="40" t="str">
        <f t="shared" si="0"/>
        <v/>
      </c>
      <c r="F15" s="19"/>
      <c r="G15" s="19"/>
      <c r="H15" s="40" t="str">
        <f t="shared" si="1"/>
        <v/>
      </c>
      <c r="I15" s="23" t="s">
        <v>32</v>
      </c>
      <c r="J15" s="19"/>
      <c r="K15" s="19"/>
      <c r="L15" s="40" t="str">
        <f t="shared" si="2"/>
        <v/>
      </c>
      <c r="M15" s="23" t="s">
        <v>32</v>
      </c>
      <c r="N15" s="19">
        <v>15006312</v>
      </c>
      <c r="O15" s="19">
        <v>150670</v>
      </c>
      <c r="P15" s="40">
        <f t="shared" si="3"/>
        <v>1.0040441648820843E-2</v>
      </c>
      <c r="Q15" s="83" t="s">
        <v>32</v>
      </c>
      <c r="R15" s="84">
        <f>4392000+(53800*$D$41)</f>
        <v>18380000</v>
      </c>
      <c r="S15" s="19">
        <f>51350+210500</f>
        <v>261850</v>
      </c>
      <c r="T15" s="40">
        <f t="shared" si="4"/>
        <v>1.4246463547334059E-2</v>
      </c>
      <c r="U15" s="23" t="s">
        <v>32</v>
      </c>
      <c r="V15" s="19">
        <v>11675880</v>
      </c>
      <c r="W15" s="19">
        <v>162165</v>
      </c>
      <c r="X15" s="40">
        <f t="shared" si="5"/>
        <v>1.3888888888888888E-2</v>
      </c>
      <c r="Y15" s="19">
        <f>5250*2204.6</f>
        <v>11574150</v>
      </c>
      <c r="Z15" s="19">
        <v>163028</v>
      </c>
      <c r="AA15" s="40">
        <f t="shared" si="6"/>
        <v>1.4085526798944198E-2</v>
      </c>
      <c r="AB15" s="19">
        <f>10300*2204.6</f>
        <v>22707380</v>
      </c>
      <c r="AC15" s="19">
        <v>191537</v>
      </c>
      <c r="AD15" s="40">
        <f t="shared" si="7"/>
        <v>8.435010996424951E-3</v>
      </c>
      <c r="AE15" s="23" t="s">
        <v>32</v>
      </c>
      <c r="AF15" s="19">
        <f>D40*171374</f>
        <v>19193888</v>
      </c>
      <c r="AG15" s="19">
        <v>114329</v>
      </c>
      <c r="AH15" s="40">
        <f t="shared" si="8"/>
        <v>5.9565315792193844E-3</v>
      </c>
    </row>
    <row r="16" spans="1:34" s="4" customFormat="1" x14ac:dyDescent="0.3">
      <c r="A16" s="16" t="s">
        <v>25</v>
      </c>
      <c r="B16" s="23" t="s">
        <v>32</v>
      </c>
      <c r="C16" s="19">
        <v>70000</v>
      </c>
      <c r="D16" s="19">
        <v>10000</v>
      </c>
      <c r="E16" s="40">
        <f t="shared" si="0"/>
        <v>0.14285714285714285</v>
      </c>
      <c r="F16" s="19">
        <v>58000</v>
      </c>
      <c r="G16" s="19">
        <v>8000</v>
      </c>
      <c r="H16" s="40">
        <f t="shared" si="1"/>
        <v>0.13793103448275862</v>
      </c>
      <c r="I16" s="23" t="s">
        <v>32</v>
      </c>
      <c r="J16" s="19">
        <v>45000</v>
      </c>
      <c r="K16" s="19">
        <v>6925</v>
      </c>
      <c r="L16" s="40">
        <f t="shared" si="2"/>
        <v>0.15388888888888888</v>
      </c>
      <c r="M16" s="23" t="s">
        <v>32</v>
      </c>
      <c r="N16" s="19"/>
      <c r="O16" s="19"/>
      <c r="P16" s="40" t="str">
        <f t="shared" si="3"/>
        <v/>
      </c>
      <c r="Q16" s="83" t="s">
        <v>32</v>
      </c>
      <c r="R16" s="85"/>
      <c r="S16" s="85"/>
      <c r="T16" s="40" t="str">
        <f t="shared" si="4"/>
        <v/>
      </c>
      <c r="U16" s="23" t="s">
        <v>32</v>
      </c>
      <c r="V16" s="19">
        <v>36504</v>
      </c>
      <c r="W16" s="19">
        <v>4300</v>
      </c>
      <c r="X16" s="40">
        <f t="shared" si="5"/>
        <v>0.11779531010300241</v>
      </c>
      <c r="Y16" s="19"/>
      <c r="Z16" s="19"/>
      <c r="AA16" s="40" t="str">
        <f t="shared" si="6"/>
        <v/>
      </c>
      <c r="AB16" s="19"/>
      <c r="AC16" s="19"/>
      <c r="AD16" s="40" t="str">
        <f t="shared" si="7"/>
        <v/>
      </c>
      <c r="AE16" s="23" t="s">
        <v>32</v>
      </c>
      <c r="AF16" s="19">
        <f>D40*1974</f>
        <v>221088</v>
      </c>
      <c r="AG16" s="19">
        <v>11297</v>
      </c>
      <c r="AH16" s="40">
        <f t="shared" si="8"/>
        <v>5.1097300622376607E-2</v>
      </c>
    </row>
    <row r="17" spans="1:34" s="4" customFormat="1" x14ac:dyDescent="0.3">
      <c r="A17" s="16" t="s">
        <v>26</v>
      </c>
      <c r="B17" s="23" t="s">
        <v>32</v>
      </c>
      <c r="C17" s="19"/>
      <c r="D17" s="19"/>
      <c r="E17" s="40" t="str">
        <f t="shared" si="0"/>
        <v/>
      </c>
      <c r="F17" s="19"/>
      <c r="G17" s="19"/>
      <c r="H17" s="40" t="str">
        <f t="shared" si="1"/>
        <v/>
      </c>
      <c r="I17" s="23" t="s">
        <v>32</v>
      </c>
      <c r="J17" s="19"/>
      <c r="K17" s="19"/>
      <c r="L17" s="40" t="str">
        <f t="shared" si="2"/>
        <v/>
      </c>
      <c r="M17" s="23" t="s">
        <v>32</v>
      </c>
      <c r="N17" s="19"/>
      <c r="O17" s="19"/>
      <c r="P17" s="40" t="str">
        <f t="shared" si="3"/>
        <v/>
      </c>
      <c r="Q17" s="83" t="s">
        <v>32</v>
      </c>
      <c r="R17" s="84">
        <f>374400+(2000*$D$41)</f>
        <v>894400</v>
      </c>
      <c r="S17" s="85">
        <f>63150+79000</f>
        <v>142150</v>
      </c>
      <c r="T17" s="40">
        <f t="shared" si="4"/>
        <v>0.15893336314847942</v>
      </c>
      <c r="U17" s="23" t="s">
        <v>32</v>
      </c>
      <c r="V17" s="23"/>
      <c r="W17" s="20"/>
      <c r="X17" s="40" t="str">
        <f t="shared" si="5"/>
        <v/>
      </c>
      <c r="Y17" s="19"/>
      <c r="Z17" s="19"/>
      <c r="AA17" s="40" t="str">
        <f t="shared" si="6"/>
        <v/>
      </c>
      <c r="AB17" s="19"/>
      <c r="AC17" s="19"/>
      <c r="AD17" s="40" t="str">
        <f t="shared" si="7"/>
        <v/>
      </c>
      <c r="AE17" s="23" t="s">
        <v>32</v>
      </c>
      <c r="AF17" s="19"/>
      <c r="AG17" s="19"/>
      <c r="AH17" s="40" t="str">
        <f t="shared" si="8"/>
        <v/>
      </c>
    </row>
    <row r="18" spans="1:34" s="4" customFormat="1" x14ac:dyDescent="0.3">
      <c r="A18" s="16" t="s">
        <v>27</v>
      </c>
      <c r="B18" s="23" t="s">
        <v>32</v>
      </c>
      <c r="C18" s="19"/>
      <c r="D18" s="19"/>
      <c r="E18" s="40" t="str">
        <f t="shared" si="0"/>
        <v/>
      </c>
      <c r="F18" s="19"/>
      <c r="G18" s="19"/>
      <c r="H18" s="40" t="str">
        <f t="shared" si="1"/>
        <v/>
      </c>
      <c r="I18" s="23" t="s">
        <v>32</v>
      </c>
      <c r="J18" s="19">
        <v>1758500</v>
      </c>
      <c r="K18" s="19">
        <v>6540</v>
      </c>
      <c r="L18" s="40">
        <f t="shared" si="2"/>
        <v>3.7190787603070801E-3</v>
      </c>
      <c r="M18" s="23" t="s">
        <v>32</v>
      </c>
      <c r="N18" s="19"/>
      <c r="O18" s="19"/>
      <c r="P18" s="40" t="str">
        <f t="shared" si="3"/>
        <v/>
      </c>
      <c r="Q18" s="23" t="s">
        <v>32</v>
      </c>
      <c r="R18" s="19"/>
      <c r="S18" s="19">
        <v>5800</v>
      </c>
      <c r="T18" s="40" t="str">
        <f t="shared" si="4"/>
        <v/>
      </c>
      <c r="U18" s="23" t="s">
        <v>32</v>
      </c>
      <c r="V18" s="23">
        <f>425870*36</f>
        <v>15331320</v>
      </c>
      <c r="W18" s="20">
        <f>77040/36</f>
        <v>2140</v>
      </c>
      <c r="X18" s="40">
        <f t="shared" si="5"/>
        <v>1.3958354531768953E-4</v>
      </c>
      <c r="Y18" s="19"/>
      <c r="Z18" s="19"/>
      <c r="AA18" s="40" t="str">
        <f t="shared" si="6"/>
        <v/>
      </c>
      <c r="AB18" s="19"/>
      <c r="AC18" s="19"/>
      <c r="AD18" s="40" t="str">
        <f t="shared" si="7"/>
        <v/>
      </c>
      <c r="AE18" s="23" t="s">
        <v>32</v>
      </c>
      <c r="AF18" s="19">
        <f>D40*322366</f>
        <v>36104992</v>
      </c>
      <c r="AG18" s="19">
        <v>17499</v>
      </c>
      <c r="AH18" s="40">
        <f t="shared" si="8"/>
        <v>4.8466982072728335E-4</v>
      </c>
    </row>
    <row r="19" spans="1:34" s="4" customFormat="1" ht="15.6" customHeight="1" x14ac:dyDescent="0.3">
      <c r="A19" s="16" t="s">
        <v>113</v>
      </c>
      <c r="B19" s="23"/>
      <c r="C19" s="19"/>
      <c r="D19" s="19"/>
      <c r="E19" s="40" t="str">
        <f t="shared" si="0"/>
        <v/>
      </c>
      <c r="F19" s="19"/>
      <c r="G19" s="19"/>
      <c r="H19" s="40" t="str">
        <f t="shared" si="1"/>
        <v/>
      </c>
      <c r="I19" s="23"/>
      <c r="J19" s="19"/>
      <c r="K19" s="19"/>
      <c r="L19" s="40" t="str">
        <f t="shared" si="2"/>
        <v/>
      </c>
      <c r="M19" s="23" t="s">
        <v>32</v>
      </c>
      <c r="N19" s="19">
        <v>25385796</v>
      </c>
      <c r="O19" s="19">
        <v>23249</v>
      </c>
      <c r="P19" s="40">
        <f t="shared" si="3"/>
        <v>9.1582710268372125E-4</v>
      </c>
      <c r="Q19" s="83" t="s">
        <v>32</v>
      </c>
      <c r="R19" s="86" t="s">
        <v>231</v>
      </c>
      <c r="S19" s="19">
        <f>22600+21000</f>
        <v>43600</v>
      </c>
      <c r="T19" s="40" t="str">
        <f t="shared" si="4"/>
        <v/>
      </c>
      <c r="U19" s="23" t="s">
        <v>32</v>
      </c>
      <c r="V19" s="23">
        <v>11727144</v>
      </c>
      <c r="W19" s="20">
        <v>21075</v>
      </c>
      <c r="X19" s="40">
        <f t="shared" si="5"/>
        <v>1.7971127497027409E-3</v>
      </c>
      <c r="Y19" s="19"/>
      <c r="Z19" s="19"/>
      <c r="AA19" s="40" t="str">
        <f t="shared" si="6"/>
        <v/>
      </c>
      <c r="AB19" s="19"/>
      <c r="AC19" s="19"/>
      <c r="AD19" s="40" t="str">
        <f t="shared" si="7"/>
        <v/>
      </c>
      <c r="AE19" s="23" t="s">
        <v>32</v>
      </c>
      <c r="AF19" s="19"/>
      <c r="AG19" s="19"/>
      <c r="AH19" s="40" t="str">
        <f t="shared" si="8"/>
        <v/>
      </c>
    </row>
    <row r="20" spans="1:34" s="4" customFormat="1" x14ac:dyDescent="0.3">
      <c r="A20" s="16" t="s">
        <v>28</v>
      </c>
      <c r="B20" s="23" t="s">
        <v>32</v>
      </c>
      <c r="C20" s="19"/>
      <c r="D20" s="19"/>
      <c r="E20" s="40" t="str">
        <f t="shared" si="0"/>
        <v/>
      </c>
      <c r="F20" s="19"/>
      <c r="G20" s="19"/>
      <c r="H20" s="40" t="str">
        <f t="shared" si="1"/>
        <v/>
      </c>
      <c r="I20" s="23" t="s">
        <v>32</v>
      </c>
      <c r="J20" s="19"/>
      <c r="K20" s="19"/>
      <c r="L20" s="40" t="str">
        <f t="shared" si="2"/>
        <v/>
      </c>
      <c r="M20" s="23" t="s">
        <v>32</v>
      </c>
      <c r="N20" s="19"/>
      <c r="O20" s="19"/>
      <c r="P20" s="40" t="str">
        <f t="shared" si="3"/>
        <v/>
      </c>
      <c r="Q20" s="83" t="s">
        <v>32</v>
      </c>
      <c r="R20" s="85"/>
      <c r="S20" s="85"/>
      <c r="T20" s="40" t="str">
        <f t="shared" si="4"/>
        <v/>
      </c>
      <c r="U20" s="23" t="s">
        <v>32</v>
      </c>
      <c r="V20" s="19">
        <v>10512</v>
      </c>
      <c r="W20" s="19">
        <v>2225</v>
      </c>
      <c r="X20" s="40">
        <f t="shared" si="5"/>
        <v>0.21166286149162861</v>
      </c>
      <c r="Y20" s="19"/>
      <c r="Z20" s="19"/>
      <c r="AA20" s="40" t="str">
        <f t="shared" si="6"/>
        <v/>
      </c>
      <c r="AB20" s="19"/>
      <c r="AC20" s="19"/>
      <c r="AD20" s="40" t="str">
        <f t="shared" si="7"/>
        <v/>
      </c>
      <c r="AE20" s="23" t="s">
        <v>32</v>
      </c>
      <c r="AF20" s="19">
        <f>D40*130</f>
        <v>14560</v>
      </c>
      <c r="AG20" s="19">
        <v>36478</v>
      </c>
      <c r="AH20" s="40">
        <f t="shared" si="8"/>
        <v>2.5053571428571431</v>
      </c>
    </row>
    <row r="21" spans="1:34" s="4" customFormat="1" x14ac:dyDescent="0.3">
      <c r="A21" s="16" t="s">
        <v>29</v>
      </c>
      <c r="B21" s="23" t="s">
        <v>32</v>
      </c>
      <c r="C21" s="19">
        <v>60000</v>
      </c>
      <c r="D21" s="19">
        <v>8800</v>
      </c>
      <c r="E21" s="40">
        <f t="shared" si="0"/>
        <v>0.14666666666666667</v>
      </c>
      <c r="F21" s="19">
        <v>50000</v>
      </c>
      <c r="G21" s="19">
        <v>7200</v>
      </c>
      <c r="H21" s="40">
        <f t="shared" si="1"/>
        <v>0.14399999999999999</v>
      </c>
      <c r="I21" s="23" t="s">
        <v>32</v>
      </c>
      <c r="J21" s="19"/>
      <c r="K21" s="19"/>
      <c r="L21" s="40" t="str">
        <f t="shared" si="2"/>
        <v/>
      </c>
      <c r="M21" s="23" t="s">
        <v>32</v>
      </c>
      <c r="N21" s="85">
        <f>(74772+18425)*36</f>
        <v>3355092</v>
      </c>
      <c r="O21" s="19">
        <v>11889</v>
      </c>
      <c r="P21" s="40">
        <f t="shared" si="3"/>
        <v>3.5435689990021137E-3</v>
      </c>
      <c r="Q21" s="83" t="s">
        <v>32</v>
      </c>
      <c r="R21" s="84">
        <f>378000+(4000*$D$41)</f>
        <v>1418000</v>
      </c>
      <c r="S21" s="85">
        <f>2200+8400</f>
        <v>10600</v>
      </c>
      <c r="T21" s="40">
        <f t="shared" si="4"/>
        <v>7.475317348377997E-3</v>
      </c>
      <c r="U21" s="23" t="s">
        <v>32</v>
      </c>
      <c r="V21" s="19">
        <f>(572+2427)*36</f>
        <v>107964</v>
      </c>
      <c r="W21" s="19">
        <f>190+776</f>
        <v>966</v>
      </c>
      <c r="X21" s="40">
        <f t="shared" si="5"/>
        <v>8.9474269200844718E-3</v>
      </c>
      <c r="Y21" s="19"/>
      <c r="Z21" s="19"/>
      <c r="AA21" s="40" t="str">
        <f t="shared" si="6"/>
        <v/>
      </c>
      <c r="AB21" s="19"/>
      <c r="AC21" s="19"/>
      <c r="AD21" s="40" t="str">
        <f t="shared" si="7"/>
        <v/>
      </c>
      <c r="AE21" s="23" t="s">
        <v>32</v>
      </c>
      <c r="AF21" s="19"/>
      <c r="AG21" s="19"/>
      <c r="AH21" s="40" t="str">
        <f t="shared" si="8"/>
        <v/>
      </c>
    </row>
    <row r="22" spans="1:34" s="4" customFormat="1" x14ac:dyDescent="0.3">
      <c r="A22" s="16" t="s">
        <v>242</v>
      </c>
      <c r="B22" s="23" t="s">
        <v>32</v>
      </c>
      <c r="C22" s="19">
        <v>30000</v>
      </c>
      <c r="D22" s="19">
        <v>3500</v>
      </c>
      <c r="E22" s="40">
        <f t="shared" si="0"/>
        <v>0.11666666666666667</v>
      </c>
      <c r="F22" s="19"/>
      <c r="G22" s="19"/>
      <c r="H22" s="40" t="str">
        <f t="shared" si="1"/>
        <v/>
      </c>
      <c r="I22" s="23" t="s">
        <v>32</v>
      </c>
      <c r="J22" s="19"/>
      <c r="K22" s="19"/>
      <c r="L22" s="40" t="str">
        <f t="shared" si="2"/>
        <v/>
      </c>
      <c r="M22" s="23" t="s">
        <v>32</v>
      </c>
      <c r="N22" s="19"/>
      <c r="O22" s="19"/>
      <c r="P22" s="40" t="str">
        <f t="shared" si="3"/>
        <v/>
      </c>
      <c r="Q22" s="83" t="s">
        <v>32</v>
      </c>
      <c r="R22" s="85"/>
      <c r="S22" s="85"/>
      <c r="T22" s="40" t="str">
        <f t="shared" si="4"/>
        <v/>
      </c>
      <c r="U22" s="23" t="s">
        <v>32</v>
      </c>
      <c r="V22" s="19">
        <v>1609416</v>
      </c>
      <c r="W22" s="19">
        <v>5750</v>
      </c>
      <c r="X22" s="40">
        <f t="shared" si="5"/>
        <v>3.5727245162220332E-3</v>
      </c>
      <c r="Y22" s="19"/>
      <c r="Z22" s="19"/>
      <c r="AA22" s="40" t="str">
        <f t="shared" si="6"/>
        <v/>
      </c>
      <c r="AB22" s="19"/>
      <c r="AC22" s="19"/>
      <c r="AD22" s="40" t="str">
        <f t="shared" si="7"/>
        <v/>
      </c>
      <c r="AE22" s="23" t="s">
        <v>32</v>
      </c>
      <c r="AF22" s="19"/>
      <c r="AG22" s="19"/>
      <c r="AH22" s="40" t="str">
        <f t="shared" si="8"/>
        <v/>
      </c>
    </row>
    <row r="23" spans="1:34" s="4" customFormat="1" x14ac:dyDescent="0.3">
      <c r="A23" s="16" t="s">
        <v>30</v>
      </c>
      <c r="B23" s="23" t="s">
        <v>32</v>
      </c>
      <c r="C23" s="19">
        <v>76000</v>
      </c>
      <c r="D23" s="19">
        <v>4800</v>
      </c>
      <c r="E23" s="40">
        <f t="shared" si="0"/>
        <v>6.3157894736842107E-2</v>
      </c>
      <c r="F23" s="19">
        <v>95000</v>
      </c>
      <c r="G23" s="19">
        <v>6000</v>
      </c>
      <c r="H23" s="40">
        <f t="shared" si="1"/>
        <v>6.3157894736842107E-2</v>
      </c>
      <c r="I23" s="23" t="s">
        <v>32</v>
      </c>
      <c r="J23" s="19">
        <v>34500</v>
      </c>
      <c r="K23" s="19">
        <v>3080</v>
      </c>
      <c r="L23" s="40">
        <f t="shared" si="2"/>
        <v>8.9275362318840576E-2</v>
      </c>
      <c r="M23" s="23" t="s">
        <v>32</v>
      </c>
      <c r="N23" s="19"/>
      <c r="O23" s="19"/>
      <c r="P23" s="40" t="str">
        <f t="shared" si="3"/>
        <v/>
      </c>
      <c r="Q23" s="23" t="s">
        <v>32</v>
      </c>
      <c r="R23" s="19"/>
      <c r="S23" s="19"/>
      <c r="T23" s="40" t="str">
        <f t="shared" si="4"/>
        <v/>
      </c>
      <c r="U23" s="23" t="s">
        <v>32</v>
      </c>
      <c r="V23" s="23"/>
      <c r="W23" s="19"/>
      <c r="X23" s="40" t="str">
        <f t="shared" si="5"/>
        <v/>
      </c>
      <c r="Y23" s="19"/>
      <c r="Z23" s="19"/>
      <c r="AA23" s="40" t="str">
        <f t="shared" si="6"/>
        <v/>
      </c>
      <c r="AB23" s="19"/>
      <c r="AC23" s="19"/>
      <c r="AD23" s="40" t="str">
        <f t="shared" si="7"/>
        <v/>
      </c>
      <c r="AE23" s="23" t="s">
        <v>32</v>
      </c>
      <c r="AF23" s="19"/>
      <c r="AG23" s="19"/>
      <c r="AH23" s="40" t="str">
        <f t="shared" si="8"/>
        <v/>
      </c>
    </row>
    <row r="24" spans="1:34" s="4" customFormat="1" x14ac:dyDescent="0.3">
      <c r="A24" s="16" t="s">
        <v>169</v>
      </c>
      <c r="B24" s="23" t="s">
        <v>32</v>
      </c>
      <c r="C24" s="19"/>
      <c r="D24" s="19"/>
      <c r="E24" s="40" t="str">
        <f t="shared" si="0"/>
        <v/>
      </c>
      <c r="F24" s="19"/>
      <c r="G24" s="19"/>
      <c r="H24" s="40" t="str">
        <f t="shared" si="1"/>
        <v/>
      </c>
      <c r="I24" s="23" t="s">
        <v>32</v>
      </c>
      <c r="J24" s="19"/>
      <c r="K24" s="19"/>
      <c r="L24" s="40" t="str">
        <f t="shared" si="2"/>
        <v/>
      </c>
      <c r="M24" s="23" t="s">
        <v>32</v>
      </c>
      <c r="N24" s="19"/>
      <c r="O24" s="19"/>
      <c r="P24" s="40" t="str">
        <f t="shared" si="3"/>
        <v/>
      </c>
      <c r="Q24" s="23" t="s">
        <v>32</v>
      </c>
      <c r="R24" s="19"/>
      <c r="S24" s="19"/>
      <c r="T24" s="40" t="str">
        <f t="shared" si="4"/>
        <v/>
      </c>
      <c r="U24" s="23" t="s">
        <v>32</v>
      </c>
      <c r="V24" s="19">
        <v>8100</v>
      </c>
      <c r="W24" s="19">
        <v>17000</v>
      </c>
      <c r="X24" s="40">
        <f t="shared" si="5"/>
        <v>2.0987654320987654</v>
      </c>
      <c r="Y24" s="19"/>
      <c r="Z24" s="19"/>
      <c r="AA24" s="40" t="str">
        <f t="shared" si="6"/>
        <v/>
      </c>
      <c r="AB24" s="19"/>
      <c r="AC24" s="19"/>
      <c r="AD24" s="40" t="str">
        <f t="shared" si="7"/>
        <v/>
      </c>
      <c r="AE24" s="23" t="s">
        <v>32</v>
      </c>
      <c r="AF24" s="19"/>
      <c r="AG24" s="19"/>
      <c r="AH24" s="40" t="str">
        <f t="shared" si="8"/>
        <v/>
      </c>
    </row>
    <row r="25" spans="1:34" s="4" customFormat="1" x14ac:dyDescent="0.3">
      <c r="A25" s="16" t="s">
        <v>229</v>
      </c>
      <c r="B25" s="23" t="s">
        <v>32</v>
      </c>
      <c r="C25" s="19"/>
      <c r="D25" s="19"/>
      <c r="E25" s="40" t="str">
        <f t="shared" si="0"/>
        <v/>
      </c>
      <c r="F25" s="19"/>
      <c r="G25" s="19"/>
      <c r="H25" s="40" t="str">
        <f t="shared" si="1"/>
        <v/>
      </c>
      <c r="I25" s="23" t="s">
        <v>32</v>
      </c>
      <c r="J25" s="19"/>
      <c r="K25" s="19"/>
      <c r="L25" s="40" t="str">
        <f t="shared" si="2"/>
        <v/>
      </c>
      <c r="M25" s="23" t="s">
        <v>32</v>
      </c>
      <c r="N25" s="19"/>
      <c r="O25" s="19"/>
      <c r="P25" s="40" t="str">
        <f t="shared" si="3"/>
        <v/>
      </c>
      <c r="Q25" s="23" t="s">
        <v>32</v>
      </c>
      <c r="R25" s="19"/>
      <c r="S25" s="19"/>
      <c r="T25" s="40" t="str">
        <f t="shared" si="4"/>
        <v/>
      </c>
      <c r="U25" s="23" t="s">
        <v>32</v>
      </c>
      <c r="V25" s="19">
        <v>900</v>
      </c>
      <c r="W25" s="19">
        <v>3000</v>
      </c>
      <c r="X25" s="40">
        <f t="shared" si="5"/>
        <v>3.3333333333333335</v>
      </c>
      <c r="Y25" s="19"/>
      <c r="Z25" s="19"/>
      <c r="AA25" s="40" t="str">
        <f t="shared" si="6"/>
        <v/>
      </c>
      <c r="AB25" s="19"/>
      <c r="AC25" s="19"/>
      <c r="AD25" s="40" t="str">
        <f t="shared" si="7"/>
        <v/>
      </c>
      <c r="AE25" s="23" t="s">
        <v>32</v>
      </c>
      <c r="AF25" s="19"/>
      <c r="AG25" s="19"/>
      <c r="AH25" s="40" t="str">
        <f t="shared" si="8"/>
        <v/>
      </c>
    </row>
    <row r="26" spans="1:34" s="4" customFormat="1" x14ac:dyDescent="0.3">
      <c r="A26" s="16" t="s">
        <v>31</v>
      </c>
      <c r="B26" s="23" t="s">
        <v>32</v>
      </c>
      <c r="C26" s="19"/>
      <c r="D26" s="19"/>
      <c r="E26" s="40" t="str">
        <f t="shared" si="0"/>
        <v/>
      </c>
      <c r="F26" s="19"/>
      <c r="G26" s="19"/>
      <c r="H26" s="40" t="str">
        <f t="shared" si="1"/>
        <v/>
      </c>
      <c r="I26" s="23" t="s">
        <v>32</v>
      </c>
      <c r="J26" s="19"/>
      <c r="K26" s="19"/>
      <c r="L26" s="40" t="str">
        <f t="shared" si="2"/>
        <v/>
      </c>
      <c r="M26" s="23" t="s">
        <v>32</v>
      </c>
      <c r="N26" s="19">
        <v>38700</v>
      </c>
      <c r="O26" s="19">
        <v>48</v>
      </c>
      <c r="P26" s="40">
        <f t="shared" si="3"/>
        <v>1.2403100775193799E-3</v>
      </c>
      <c r="Q26" s="23" t="s">
        <v>32</v>
      </c>
      <c r="R26" s="19"/>
      <c r="S26" s="19"/>
      <c r="T26" s="40" t="str">
        <f t="shared" si="4"/>
        <v/>
      </c>
      <c r="U26" s="23" t="s">
        <v>32</v>
      </c>
      <c r="V26" s="23"/>
      <c r="W26" s="19"/>
      <c r="X26" s="40" t="str">
        <f t="shared" si="5"/>
        <v/>
      </c>
      <c r="Y26" s="19"/>
      <c r="Z26" s="19"/>
      <c r="AA26" s="40" t="str">
        <f t="shared" si="6"/>
        <v/>
      </c>
      <c r="AB26" s="19"/>
      <c r="AC26" s="19"/>
      <c r="AD26" s="40" t="str">
        <f t="shared" si="7"/>
        <v/>
      </c>
      <c r="AE26" s="23" t="s">
        <v>32</v>
      </c>
      <c r="AF26" s="19"/>
      <c r="AG26" s="19"/>
      <c r="AH26" s="40" t="str">
        <f t="shared" si="8"/>
        <v/>
      </c>
    </row>
    <row r="27" spans="1:34" s="4" customFormat="1" x14ac:dyDescent="0.3">
      <c r="A27" s="16" t="s">
        <v>232</v>
      </c>
      <c r="B27" s="23" t="s">
        <v>32</v>
      </c>
      <c r="C27" s="19"/>
      <c r="D27" s="19"/>
      <c r="E27" s="40" t="str">
        <f t="shared" si="0"/>
        <v/>
      </c>
      <c r="F27" s="19"/>
      <c r="G27" s="19"/>
      <c r="H27" s="40" t="str">
        <f t="shared" si="1"/>
        <v/>
      </c>
      <c r="I27" s="23" t="s">
        <v>32</v>
      </c>
      <c r="J27" s="19"/>
      <c r="K27" s="19"/>
      <c r="L27" s="40" t="str">
        <f t="shared" si="2"/>
        <v/>
      </c>
      <c r="M27" s="23" t="s">
        <v>32</v>
      </c>
      <c r="N27" s="19">
        <v>658</v>
      </c>
      <c r="O27" s="19">
        <v>280</v>
      </c>
      <c r="P27" s="40">
        <f t="shared" si="3"/>
        <v>0.42553191489361702</v>
      </c>
      <c r="Q27" s="23" t="s">
        <v>32</v>
      </c>
      <c r="R27" s="19"/>
      <c r="S27" s="19"/>
      <c r="T27" s="40" t="str">
        <f t="shared" si="4"/>
        <v/>
      </c>
      <c r="U27" s="23" t="s">
        <v>32</v>
      </c>
      <c r="V27" s="23"/>
      <c r="W27" s="19"/>
      <c r="X27" s="40" t="str">
        <f t="shared" si="5"/>
        <v/>
      </c>
      <c r="Y27" s="19"/>
      <c r="Z27" s="19"/>
      <c r="AA27" s="40" t="str">
        <f t="shared" si="6"/>
        <v/>
      </c>
      <c r="AB27" s="19"/>
      <c r="AC27" s="19"/>
      <c r="AD27" s="40" t="str">
        <f t="shared" si="7"/>
        <v/>
      </c>
      <c r="AE27" s="23" t="s">
        <v>32</v>
      </c>
      <c r="AF27" s="19"/>
      <c r="AG27" s="19"/>
      <c r="AH27" s="40" t="str">
        <f t="shared" si="8"/>
        <v/>
      </c>
    </row>
    <row r="28" spans="1:34" s="4" customFormat="1" ht="12.6" customHeight="1" x14ac:dyDescent="0.3">
      <c r="A28" s="16" t="s">
        <v>33</v>
      </c>
      <c r="B28" s="23" t="s">
        <v>32</v>
      </c>
      <c r="E28" s="40" t="str">
        <f t="shared" si="0"/>
        <v/>
      </c>
      <c r="F28" s="19"/>
      <c r="G28" s="19"/>
      <c r="H28" s="40" t="str">
        <f t="shared" si="1"/>
        <v/>
      </c>
      <c r="I28" s="23" t="s">
        <v>32</v>
      </c>
      <c r="J28" s="19"/>
      <c r="K28" s="19"/>
      <c r="L28" s="40" t="str">
        <f t="shared" si="2"/>
        <v/>
      </c>
      <c r="M28" s="23" t="s">
        <v>32</v>
      </c>
      <c r="N28" s="19"/>
      <c r="O28" s="19"/>
      <c r="P28" s="40" t="str">
        <f t="shared" si="3"/>
        <v/>
      </c>
      <c r="Q28" s="23" t="s">
        <v>32</v>
      </c>
      <c r="R28" s="19"/>
      <c r="S28" s="19"/>
      <c r="T28" s="40" t="str">
        <f t="shared" si="4"/>
        <v/>
      </c>
      <c r="U28" s="23" t="s">
        <v>32</v>
      </c>
      <c r="V28" s="19">
        <v>79920</v>
      </c>
      <c r="W28" s="19">
        <v>750</v>
      </c>
      <c r="X28" s="40">
        <f t="shared" si="5"/>
        <v>9.3843843843843845E-3</v>
      </c>
      <c r="Y28" s="19"/>
      <c r="Z28" s="19"/>
      <c r="AA28" s="40" t="str">
        <f t="shared" si="6"/>
        <v/>
      </c>
      <c r="AB28" s="19"/>
      <c r="AC28" s="19"/>
      <c r="AD28" s="40" t="str">
        <f t="shared" si="7"/>
        <v/>
      </c>
      <c r="AE28" s="23" t="s">
        <v>32</v>
      </c>
      <c r="AF28" s="19"/>
      <c r="AG28" s="19"/>
      <c r="AH28" s="40" t="str">
        <f t="shared" si="8"/>
        <v/>
      </c>
    </row>
    <row r="29" spans="1:34" s="4" customFormat="1" x14ac:dyDescent="0.3">
      <c r="A29" s="16" t="s">
        <v>34</v>
      </c>
      <c r="B29" s="23" t="s">
        <v>32</v>
      </c>
      <c r="C29" s="19"/>
      <c r="D29" s="19"/>
      <c r="E29" s="40" t="str">
        <f t="shared" si="0"/>
        <v/>
      </c>
      <c r="F29" s="19"/>
      <c r="G29" s="19"/>
      <c r="H29" s="40" t="str">
        <f t="shared" si="1"/>
        <v/>
      </c>
      <c r="I29" s="23" t="s">
        <v>32</v>
      </c>
      <c r="J29" s="19"/>
      <c r="K29" s="19"/>
      <c r="L29" s="40" t="str">
        <f t="shared" si="2"/>
        <v/>
      </c>
      <c r="M29" s="23" t="s">
        <v>32</v>
      </c>
      <c r="N29" s="19">
        <v>39744</v>
      </c>
      <c r="O29" s="19">
        <v>316</v>
      </c>
      <c r="P29" s="40">
        <f t="shared" si="3"/>
        <v>7.9508856682769732E-3</v>
      </c>
      <c r="Q29" s="23" t="s">
        <v>32</v>
      </c>
      <c r="R29" s="19"/>
      <c r="S29" s="19"/>
      <c r="T29" s="40" t="str">
        <f t="shared" si="4"/>
        <v/>
      </c>
      <c r="U29" s="23" t="s">
        <v>32</v>
      </c>
      <c r="V29" s="19">
        <v>19944</v>
      </c>
      <c r="W29" s="19">
        <v>120</v>
      </c>
      <c r="X29" s="40">
        <f t="shared" si="5"/>
        <v>6.0168471720818293E-3</v>
      </c>
      <c r="Y29" s="19"/>
      <c r="Z29" s="19"/>
      <c r="AA29" s="40" t="str">
        <f t="shared" si="6"/>
        <v/>
      </c>
      <c r="AB29" s="19"/>
      <c r="AC29" s="19"/>
      <c r="AD29" s="40" t="str">
        <f t="shared" si="7"/>
        <v/>
      </c>
      <c r="AE29" s="23" t="s">
        <v>32</v>
      </c>
      <c r="AF29" s="19"/>
      <c r="AG29" s="19"/>
      <c r="AH29" s="40" t="str">
        <f t="shared" si="8"/>
        <v/>
      </c>
    </row>
    <row r="30" spans="1:34" s="4" customFormat="1" x14ac:dyDescent="0.3">
      <c r="A30" s="16" t="s">
        <v>35</v>
      </c>
      <c r="B30" s="23" t="s">
        <v>32</v>
      </c>
      <c r="E30" s="40" t="str">
        <f t="shared" si="0"/>
        <v/>
      </c>
      <c r="F30" s="19"/>
      <c r="G30" s="19"/>
      <c r="H30" s="40" t="str">
        <f t="shared" si="1"/>
        <v/>
      </c>
      <c r="I30" s="23" t="s">
        <v>32</v>
      </c>
      <c r="J30" s="19"/>
      <c r="K30" s="19"/>
      <c r="L30" s="40" t="str">
        <f t="shared" si="2"/>
        <v/>
      </c>
      <c r="M30" s="23" t="s">
        <v>32</v>
      </c>
      <c r="N30" s="19"/>
      <c r="O30" s="19"/>
      <c r="P30" s="40" t="str">
        <f t="shared" si="3"/>
        <v/>
      </c>
      <c r="Q30" s="23" t="s">
        <v>32</v>
      </c>
      <c r="R30" s="19"/>
      <c r="S30" s="19"/>
      <c r="T30" s="40" t="str">
        <f t="shared" si="4"/>
        <v/>
      </c>
      <c r="U30" s="23" t="s">
        <v>32</v>
      </c>
      <c r="V30" s="19">
        <v>95796</v>
      </c>
      <c r="W30" s="19">
        <v>1000</v>
      </c>
      <c r="X30" s="40">
        <f t="shared" si="5"/>
        <v>1.0438849221261847E-2</v>
      </c>
      <c r="Y30" s="19"/>
      <c r="Z30" s="19"/>
      <c r="AA30" s="40" t="str">
        <f t="shared" si="6"/>
        <v/>
      </c>
      <c r="AB30" s="19"/>
      <c r="AC30" s="19"/>
      <c r="AD30" s="40" t="str">
        <f t="shared" si="7"/>
        <v/>
      </c>
      <c r="AE30" s="23" t="s">
        <v>32</v>
      </c>
      <c r="AF30" s="19"/>
      <c r="AG30" s="19"/>
      <c r="AH30" s="40" t="str">
        <f t="shared" si="8"/>
        <v/>
      </c>
    </row>
    <row r="31" spans="1:34" s="4" customFormat="1" x14ac:dyDescent="0.3">
      <c r="A31" s="16" t="s">
        <v>36</v>
      </c>
      <c r="B31" s="23" t="s">
        <v>32</v>
      </c>
      <c r="C31" s="19"/>
      <c r="D31" s="19"/>
      <c r="E31" s="40" t="str">
        <f t="shared" si="0"/>
        <v/>
      </c>
      <c r="F31" s="19"/>
      <c r="G31" s="19"/>
      <c r="H31" s="40" t="str">
        <f t="shared" si="1"/>
        <v/>
      </c>
      <c r="I31" s="23" t="s">
        <v>32</v>
      </c>
      <c r="J31" s="19"/>
      <c r="K31" s="19"/>
      <c r="L31" s="40" t="str">
        <f t="shared" si="2"/>
        <v/>
      </c>
      <c r="M31" s="23" t="s">
        <v>32</v>
      </c>
      <c r="N31" s="19">
        <v>38232</v>
      </c>
      <c r="O31" s="19">
        <v>402</v>
      </c>
      <c r="P31" s="40">
        <f t="shared" si="3"/>
        <v>1.0514752040175769E-2</v>
      </c>
      <c r="Q31" s="23" t="s">
        <v>32</v>
      </c>
      <c r="R31" s="19"/>
      <c r="S31" s="19"/>
      <c r="T31" s="40" t="str">
        <f t="shared" si="4"/>
        <v/>
      </c>
      <c r="U31" s="23" t="s">
        <v>32</v>
      </c>
      <c r="V31" s="23"/>
      <c r="W31" s="19"/>
      <c r="X31" s="40" t="str">
        <f t="shared" si="5"/>
        <v/>
      </c>
      <c r="Y31" s="19"/>
      <c r="Z31" s="19"/>
      <c r="AA31" s="40" t="str">
        <f t="shared" si="6"/>
        <v/>
      </c>
      <c r="AB31" s="19"/>
      <c r="AC31" s="19"/>
      <c r="AD31" s="40" t="str">
        <f t="shared" si="7"/>
        <v/>
      </c>
      <c r="AE31" s="23" t="s">
        <v>32</v>
      </c>
      <c r="AF31" s="19"/>
      <c r="AG31" s="19"/>
      <c r="AH31" s="40" t="str">
        <f t="shared" si="8"/>
        <v/>
      </c>
    </row>
    <row r="32" spans="1:34" s="4" customFormat="1" x14ac:dyDescent="0.3">
      <c r="A32" s="16" t="s">
        <v>37</v>
      </c>
      <c r="B32" s="23" t="s">
        <v>32</v>
      </c>
      <c r="C32" s="19"/>
      <c r="D32" s="19"/>
      <c r="E32" s="40" t="str">
        <f t="shared" si="0"/>
        <v/>
      </c>
      <c r="F32" s="19"/>
      <c r="G32" s="19"/>
      <c r="H32" s="40" t="str">
        <f t="shared" si="1"/>
        <v/>
      </c>
      <c r="I32" s="23" t="s">
        <v>32</v>
      </c>
      <c r="J32" s="19"/>
      <c r="K32" s="19"/>
      <c r="L32" s="40" t="str">
        <f t="shared" si="2"/>
        <v/>
      </c>
      <c r="M32" s="23" t="s">
        <v>32</v>
      </c>
      <c r="N32" s="19">
        <v>14400</v>
      </c>
      <c r="O32" s="19">
        <v>1118</v>
      </c>
      <c r="P32" s="40">
        <f t="shared" si="3"/>
        <v>7.7638888888888882E-2</v>
      </c>
      <c r="Q32" s="23" t="s">
        <v>32</v>
      </c>
      <c r="R32" s="19"/>
      <c r="S32" s="19"/>
      <c r="T32" s="40" t="str">
        <f t="shared" si="4"/>
        <v/>
      </c>
      <c r="U32" s="23" t="s">
        <v>32</v>
      </c>
      <c r="V32" s="23"/>
      <c r="W32" s="19"/>
      <c r="X32" s="40" t="str">
        <f t="shared" si="5"/>
        <v/>
      </c>
      <c r="Y32" s="19"/>
      <c r="Z32" s="19"/>
      <c r="AA32" s="40" t="str">
        <f t="shared" si="6"/>
        <v/>
      </c>
      <c r="AB32" s="19"/>
      <c r="AC32" s="19"/>
      <c r="AD32" s="40" t="str">
        <f t="shared" si="7"/>
        <v/>
      </c>
      <c r="AE32" s="23" t="s">
        <v>32</v>
      </c>
      <c r="AF32" s="19"/>
      <c r="AG32" s="19"/>
      <c r="AH32" s="40" t="str">
        <f t="shared" si="8"/>
        <v/>
      </c>
    </row>
    <row r="33" spans="1:34" s="4" customFormat="1" x14ac:dyDescent="0.3">
      <c r="A33" s="16" t="s">
        <v>171</v>
      </c>
      <c r="B33" s="23" t="s">
        <v>32</v>
      </c>
      <c r="E33" s="40" t="str">
        <f t="shared" si="0"/>
        <v/>
      </c>
      <c r="F33" s="19"/>
      <c r="G33" s="19"/>
      <c r="H33" s="40" t="str">
        <f t="shared" si="1"/>
        <v/>
      </c>
      <c r="I33" s="23" t="s">
        <v>32</v>
      </c>
      <c r="J33" s="19"/>
      <c r="K33" s="19"/>
      <c r="L33" s="40" t="str">
        <f t="shared" si="2"/>
        <v/>
      </c>
      <c r="M33" s="23" t="s">
        <v>32</v>
      </c>
      <c r="O33" s="19"/>
      <c r="P33" s="40"/>
      <c r="Q33" s="23" t="s">
        <v>32</v>
      </c>
      <c r="R33" s="19"/>
      <c r="S33" s="19"/>
      <c r="T33" s="40" t="str">
        <f t="shared" si="4"/>
        <v/>
      </c>
      <c r="U33" s="23" t="s">
        <v>32</v>
      </c>
      <c r="V33" s="19">
        <v>661212</v>
      </c>
      <c r="W33" s="19">
        <v>3400</v>
      </c>
      <c r="X33" s="40">
        <f t="shared" si="5"/>
        <v>5.1420724366768901E-3</v>
      </c>
      <c r="Y33" s="19"/>
      <c r="Z33" s="19"/>
      <c r="AA33" s="40" t="str">
        <f t="shared" si="6"/>
        <v/>
      </c>
      <c r="AB33" s="19"/>
      <c r="AC33" s="19"/>
      <c r="AD33" s="40" t="str">
        <f t="shared" si="7"/>
        <v/>
      </c>
      <c r="AE33" s="23" t="s">
        <v>32</v>
      </c>
      <c r="AF33" s="19"/>
      <c r="AG33" s="19"/>
      <c r="AH33" s="40" t="str">
        <f t="shared" si="8"/>
        <v/>
      </c>
    </row>
    <row r="34" spans="1:34" s="4" customFormat="1" x14ac:dyDescent="0.3">
      <c r="A34" s="16" t="s">
        <v>172</v>
      </c>
      <c r="B34" s="23" t="s">
        <v>32</v>
      </c>
      <c r="E34" s="40" t="str">
        <f t="shared" si="0"/>
        <v/>
      </c>
      <c r="F34" s="19"/>
      <c r="G34" s="19"/>
      <c r="H34" s="40" t="str">
        <f t="shared" si="1"/>
        <v/>
      </c>
      <c r="I34" s="23" t="s">
        <v>32</v>
      </c>
      <c r="J34" s="19"/>
      <c r="K34" s="19"/>
      <c r="L34" s="40" t="str">
        <f t="shared" si="2"/>
        <v/>
      </c>
      <c r="M34" s="23" t="s">
        <v>32</v>
      </c>
      <c r="N34" s="19"/>
      <c r="O34" s="19"/>
      <c r="P34" s="40" t="str">
        <f t="shared" si="3"/>
        <v/>
      </c>
      <c r="Q34" s="23" t="s">
        <v>32</v>
      </c>
      <c r="R34" s="19"/>
      <c r="S34" s="19"/>
      <c r="T34" s="40" t="str">
        <f t="shared" si="4"/>
        <v/>
      </c>
      <c r="U34" s="23" t="s">
        <v>32</v>
      </c>
      <c r="V34" s="19">
        <v>114012</v>
      </c>
      <c r="W34" s="19">
        <v>550</v>
      </c>
      <c r="X34" s="40">
        <f t="shared" si="5"/>
        <v>4.8240536083920989E-3</v>
      </c>
      <c r="Y34" s="19"/>
      <c r="Z34" s="19"/>
      <c r="AA34" s="40" t="str">
        <f t="shared" si="6"/>
        <v/>
      </c>
      <c r="AB34" s="19"/>
      <c r="AC34" s="19"/>
      <c r="AD34" s="40" t="str">
        <f t="shared" si="7"/>
        <v/>
      </c>
      <c r="AE34" s="23" t="s">
        <v>32</v>
      </c>
      <c r="AF34" s="19"/>
      <c r="AG34" s="19"/>
      <c r="AH34" s="40" t="str">
        <f t="shared" si="8"/>
        <v/>
      </c>
    </row>
    <row r="35" spans="1:34" s="4" customFormat="1" x14ac:dyDescent="0.3">
      <c r="A35" s="13" t="s">
        <v>7</v>
      </c>
      <c r="C35" s="19"/>
      <c r="D35" s="19"/>
      <c r="E35" s="19"/>
      <c r="F35" s="19"/>
      <c r="G35" s="19"/>
      <c r="H35" s="19"/>
      <c r="J35" s="19"/>
      <c r="K35" s="19">
        <v>136055</v>
      </c>
      <c r="L35" s="19"/>
      <c r="N35" s="19"/>
      <c r="O35" s="19">
        <v>673499</v>
      </c>
      <c r="P35" s="19"/>
      <c r="R35" s="19"/>
      <c r="S35" s="19">
        <f>364350+510375</f>
        <v>874725</v>
      </c>
      <c r="T35" s="19"/>
      <c r="W35" s="19">
        <v>974767</v>
      </c>
      <c r="X35" s="19"/>
      <c r="Z35" s="19">
        <v>1152479</v>
      </c>
      <c r="AA35" s="19"/>
      <c r="AC35" s="19">
        <v>842655</v>
      </c>
      <c r="AD35" s="19"/>
      <c r="AF35" s="19"/>
      <c r="AG35" s="19">
        <v>1336283</v>
      </c>
      <c r="AH35" s="19"/>
    </row>
    <row r="36" spans="1:34" s="4" customFormat="1" x14ac:dyDescent="0.3">
      <c r="A36" s="16"/>
      <c r="B36" s="22"/>
      <c r="C36" s="3"/>
      <c r="F36" s="3"/>
      <c r="I36" s="22"/>
      <c r="J36" s="3"/>
      <c r="M36" s="22"/>
      <c r="N36" s="22"/>
      <c r="O36" s="22"/>
      <c r="Q36" s="22"/>
      <c r="R36" s="22"/>
      <c r="S36" s="22"/>
      <c r="U36" s="22"/>
      <c r="V36" s="22"/>
      <c r="W36" s="22"/>
      <c r="Y36" s="3"/>
      <c r="Z36" s="3"/>
      <c r="AB36" s="3"/>
      <c r="AC36" s="3"/>
      <c r="AE36" s="22"/>
      <c r="AF36" s="3"/>
      <c r="AG36" s="3"/>
    </row>
    <row r="37" spans="1:34" s="4" customFormat="1" x14ac:dyDescent="0.3">
      <c r="A37" s="16"/>
      <c r="B37" s="22"/>
      <c r="C37" s="3"/>
      <c r="F37" s="3"/>
      <c r="I37" s="22"/>
      <c r="J37" s="3"/>
      <c r="M37" s="22"/>
      <c r="N37" s="19"/>
      <c r="O37" s="22"/>
      <c r="Q37" s="22"/>
      <c r="R37" s="22"/>
      <c r="S37" s="22"/>
      <c r="U37" s="22"/>
      <c r="V37" s="22"/>
      <c r="W37" s="22"/>
      <c r="Y37" s="3"/>
      <c r="Z37" s="3"/>
      <c r="AB37" s="3"/>
      <c r="AC37" s="3"/>
      <c r="AE37" s="22"/>
      <c r="AF37" s="3"/>
      <c r="AG37" s="3"/>
    </row>
    <row r="38" spans="1:34" s="4" customFormat="1" x14ac:dyDescent="0.3">
      <c r="A38" s="16"/>
      <c r="B38" s="22"/>
      <c r="C38" s="3"/>
      <c r="F38" s="3"/>
      <c r="I38" s="22"/>
      <c r="J38" s="3"/>
      <c r="M38" s="22"/>
      <c r="N38" s="22"/>
      <c r="O38" s="22"/>
      <c r="Q38" s="22"/>
      <c r="R38" s="22"/>
      <c r="S38" s="22"/>
      <c r="U38" s="22"/>
      <c r="V38" s="22"/>
      <c r="W38" s="22"/>
      <c r="Y38" s="3"/>
      <c r="Z38" s="3"/>
      <c r="AB38" s="3"/>
      <c r="AC38" s="3"/>
      <c r="AE38" s="22"/>
      <c r="AF38" s="3"/>
      <c r="AG38" s="3"/>
    </row>
    <row r="39" spans="1:34" s="4" customFormat="1" x14ac:dyDescent="0.3">
      <c r="A39" s="16"/>
      <c r="B39" s="36" t="s">
        <v>177</v>
      </c>
      <c r="I39" s="22"/>
      <c r="J39" s="3"/>
      <c r="M39" s="22"/>
      <c r="N39" s="22"/>
      <c r="O39" s="22"/>
      <c r="Q39" s="22"/>
      <c r="R39" s="22"/>
      <c r="S39" s="22"/>
      <c r="U39" s="22"/>
      <c r="V39" s="22"/>
      <c r="W39" s="22"/>
      <c r="Y39" s="3"/>
      <c r="Z39" s="3"/>
      <c r="AB39" s="3"/>
      <c r="AC39" s="3"/>
      <c r="AE39" s="22"/>
      <c r="AF39" s="3"/>
      <c r="AG39" s="3"/>
    </row>
    <row r="40" spans="1:34" s="4" customFormat="1" ht="13.2" customHeight="1" x14ac:dyDescent="0.3">
      <c r="A40" s="16"/>
      <c r="B40" s="4">
        <v>1</v>
      </c>
      <c r="C40" s="36" t="s">
        <v>14</v>
      </c>
      <c r="D40" s="4">
        <v>112</v>
      </c>
      <c r="E40" s="36" t="s">
        <v>32</v>
      </c>
      <c r="H40" s="36"/>
      <c r="I40" s="22"/>
      <c r="J40" s="3"/>
      <c r="L40" s="36"/>
      <c r="M40" s="22"/>
      <c r="N40" s="22"/>
      <c r="O40" s="22"/>
      <c r="P40" s="36"/>
      <c r="Q40" s="22"/>
      <c r="R40" s="22"/>
      <c r="S40" s="22"/>
      <c r="T40" s="36"/>
      <c r="U40" s="22"/>
      <c r="V40" s="22"/>
      <c r="W40" s="22"/>
      <c r="X40" s="36"/>
      <c r="Y40" s="3"/>
      <c r="Z40" s="3"/>
      <c r="AA40" s="36"/>
      <c r="AB40" s="3"/>
      <c r="AC40" s="3"/>
      <c r="AD40" s="36"/>
      <c r="AE40" s="22"/>
      <c r="AF40" s="3"/>
      <c r="AG40" s="3"/>
      <c r="AH40" s="36"/>
    </row>
    <row r="41" spans="1:34" s="4" customFormat="1" x14ac:dyDescent="0.3">
      <c r="A41" s="16"/>
      <c r="B41" s="4">
        <v>1</v>
      </c>
      <c r="C41" s="36" t="s">
        <v>230</v>
      </c>
      <c r="D41" s="4">
        <v>260</v>
      </c>
      <c r="E41" s="36" t="s">
        <v>32</v>
      </c>
      <c r="F41" s="3"/>
      <c r="I41" s="22"/>
      <c r="J41" s="3"/>
      <c r="M41" s="22"/>
      <c r="N41" s="22"/>
      <c r="O41" s="22"/>
      <c r="Q41" s="22"/>
      <c r="R41" s="22"/>
      <c r="S41" s="22"/>
      <c r="U41" s="22"/>
      <c r="V41" s="22"/>
      <c r="W41" s="22"/>
      <c r="Y41" s="3"/>
      <c r="Z41" s="3"/>
      <c r="AB41" s="3"/>
      <c r="AC41" s="3"/>
      <c r="AE41" s="22"/>
      <c r="AF41" s="3"/>
      <c r="AG41" s="3"/>
    </row>
    <row r="42" spans="1:34" s="4" customFormat="1" x14ac:dyDescent="0.3">
      <c r="A42" s="16"/>
      <c r="B42" s="22"/>
      <c r="C42" s="3"/>
      <c r="F42" s="3"/>
      <c r="I42" s="22"/>
      <c r="J42" s="3"/>
      <c r="M42" s="22"/>
      <c r="N42" s="22"/>
      <c r="O42" s="22"/>
      <c r="Q42" s="22"/>
      <c r="R42" s="22"/>
      <c r="S42" s="22"/>
      <c r="U42" s="22"/>
      <c r="V42" s="22"/>
      <c r="W42" s="22"/>
      <c r="Y42" s="3"/>
      <c r="Z42" s="3"/>
      <c r="AB42" s="3"/>
      <c r="AC42" s="3"/>
      <c r="AE42" s="22"/>
      <c r="AF42" s="3"/>
      <c r="AG42" s="3"/>
    </row>
    <row r="43" spans="1:34" s="4" customFormat="1" x14ac:dyDescent="0.3">
      <c r="A43" s="16"/>
      <c r="B43" s="22"/>
      <c r="C43" s="3"/>
      <c r="F43" s="3"/>
      <c r="I43" s="22"/>
      <c r="J43" s="3"/>
      <c r="M43" s="22"/>
      <c r="N43" s="22"/>
      <c r="O43" s="22"/>
      <c r="Q43" s="22"/>
      <c r="R43" s="22"/>
      <c r="S43" s="22"/>
      <c r="U43" s="22"/>
      <c r="V43" s="22"/>
      <c r="W43" s="22"/>
      <c r="Y43" s="3"/>
      <c r="Z43" s="3"/>
      <c r="AB43" s="3"/>
      <c r="AC43" s="3"/>
      <c r="AE43" s="22"/>
      <c r="AF43" s="3"/>
      <c r="AG43" s="3"/>
    </row>
    <row r="44" spans="1:34" s="4" customFormat="1" x14ac:dyDescent="0.3">
      <c r="A44" s="16"/>
      <c r="B44" s="22"/>
      <c r="C44" s="3"/>
      <c r="F44" s="3"/>
      <c r="I44" s="22"/>
      <c r="J44" s="3"/>
      <c r="M44" s="22"/>
      <c r="N44" s="22"/>
      <c r="O44" s="22"/>
      <c r="Q44" s="22"/>
      <c r="R44" s="22"/>
      <c r="S44" s="22"/>
      <c r="U44" s="22"/>
      <c r="V44" s="22"/>
      <c r="W44" s="22"/>
      <c r="Y44" s="3"/>
      <c r="Z44" s="3"/>
      <c r="AB44" s="3"/>
      <c r="AC44" s="3"/>
      <c r="AE44" s="22"/>
      <c r="AF44" s="3"/>
      <c r="AG44" s="3"/>
    </row>
    <row r="45" spans="1:34" s="4" customFormat="1" x14ac:dyDescent="0.3">
      <c r="A45" s="16"/>
      <c r="B45" s="22"/>
      <c r="C45" s="3"/>
      <c r="F45" s="3"/>
      <c r="I45" s="22"/>
      <c r="J45" s="3"/>
      <c r="M45" s="22"/>
      <c r="N45" s="22"/>
      <c r="O45" s="22"/>
      <c r="Q45" s="22"/>
      <c r="R45" s="22"/>
      <c r="S45" s="22"/>
      <c r="U45" s="22"/>
      <c r="V45" s="22"/>
      <c r="W45" s="22"/>
      <c r="Y45" s="3"/>
      <c r="Z45" s="3"/>
      <c r="AB45" s="3"/>
      <c r="AC45" s="3"/>
      <c r="AE45" s="22"/>
      <c r="AF45" s="3"/>
      <c r="AG45" s="3"/>
    </row>
    <row r="46" spans="1:34" s="4" customFormat="1" x14ac:dyDescent="0.3">
      <c r="A46" s="16"/>
      <c r="B46" s="22"/>
      <c r="C46" s="3"/>
      <c r="F46" s="3"/>
      <c r="I46" s="22"/>
      <c r="J46" s="3"/>
      <c r="M46" s="22"/>
      <c r="N46" s="22"/>
      <c r="O46" s="22"/>
      <c r="Q46" s="22"/>
      <c r="R46" s="22"/>
      <c r="S46" s="22"/>
      <c r="U46" s="22"/>
      <c r="V46" s="22"/>
      <c r="W46" s="22"/>
      <c r="Y46" s="3"/>
      <c r="Z46" s="3"/>
      <c r="AB46" s="3"/>
      <c r="AC46" s="3"/>
      <c r="AE46" s="22"/>
      <c r="AF46" s="3"/>
      <c r="AG46" s="3"/>
    </row>
    <row r="47" spans="1:34" s="4" customFormat="1" x14ac:dyDescent="0.3">
      <c r="A47" s="16"/>
      <c r="B47" s="22"/>
      <c r="C47" s="3"/>
      <c r="F47" s="3"/>
      <c r="I47" s="22"/>
      <c r="J47" s="3"/>
      <c r="M47" s="22"/>
      <c r="N47" s="22"/>
      <c r="O47" s="22"/>
      <c r="Q47" s="22"/>
      <c r="R47" s="22"/>
      <c r="S47" s="22"/>
      <c r="U47" s="22"/>
      <c r="V47" s="22"/>
      <c r="W47" s="22"/>
      <c r="Y47" s="3"/>
      <c r="Z47" s="3"/>
      <c r="AB47" s="3"/>
      <c r="AC47" s="3"/>
      <c r="AE47" s="22"/>
      <c r="AF47" s="3"/>
      <c r="AG47" s="3"/>
    </row>
    <row r="48" spans="1:34" s="4" customFormat="1" x14ac:dyDescent="0.3">
      <c r="A48" s="16"/>
      <c r="B48" s="22"/>
      <c r="C48" s="3"/>
      <c r="F48" s="3"/>
      <c r="I48" s="22"/>
      <c r="J48" s="3"/>
      <c r="M48" s="22"/>
      <c r="N48" s="22"/>
      <c r="O48" s="22"/>
      <c r="Q48" s="22"/>
      <c r="R48" s="22"/>
      <c r="S48" s="22"/>
      <c r="U48" s="22"/>
      <c r="V48" s="22"/>
      <c r="W48" s="22"/>
      <c r="Y48" s="3"/>
      <c r="Z48" s="3"/>
      <c r="AB48" s="3"/>
      <c r="AC48" s="3"/>
      <c r="AE48" s="22"/>
      <c r="AF48" s="3"/>
      <c r="AG48" s="3"/>
    </row>
    <row r="49" spans="1:33" s="4" customFormat="1" x14ac:dyDescent="0.3">
      <c r="A49" s="16"/>
      <c r="B49" s="22"/>
      <c r="C49" s="3"/>
      <c r="F49" s="3"/>
      <c r="I49" s="22"/>
      <c r="J49" s="3"/>
      <c r="M49" s="22"/>
      <c r="N49" s="22"/>
      <c r="O49" s="22"/>
      <c r="Q49" s="22"/>
      <c r="R49" s="22"/>
      <c r="S49" s="22"/>
      <c r="U49" s="22"/>
      <c r="V49" s="22"/>
      <c r="W49" s="22"/>
      <c r="Y49" s="3"/>
      <c r="Z49" s="3"/>
      <c r="AB49" s="3"/>
      <c r="AC49" s="3"/>
      <c r="AE49" s="22"/>
      <c r="AF49" s="3"/>
      <c r="AG49" s="3"/>
    </row>
    <row r="50" spans="1:33" s="4" customFormat="1" x14ac:dyDescent="0.3">
      <c r="A50" s="16"/>
      <c r="B50" s="22"/>
      <c r="C50" s="3"/>
      <c r="F50" s="3"/>
      <c r="I50" s="22"/>
      <c r="J50" s="3"/>
      <c r="M50" s="22"/>
      <c r="N50" s="22"/>
      <c r="O50" s="22"/>
      <c r="Q50" s="22"/>
      <c r="R50" s="22"/>
      <c r="S50" s="22"/>
      <c r="U50" s="22"/>
      <c r="V50" s="22"/>
      <c r="W50" s="22"/>
      <c r="Y50" s="3"/>
      <c r="Z50" s="3"/>
      <c r="AB50" s="3"/>
      <c r="AC50" s="3"/>
      <c r="AE50" s="22"/>
      <c r="AF50" s="3"/>
      <c r="AG50" s="3"/>
    </row>
    <row r="51" spans="1:33" s="4" customFormat="1" x14ac:dyDescent="0.3">
      <c r="A51" s="16"/>
      <c r="B51" s="22"/>
      <c r="C51" s="3"/>
      <c r="F51" s="3"/>
      <c r="I51" s="22"/>
      <c r="J51" s="3"/>
      <c r="M51" s="22"/>
      <c r="N51" s="22"/>
      <c r="O51" s="22"/>
      <c r="Q51" s="22"/>
      <c r="R51" s="22"/>
      <c r="S51" s="22"/>
      <c r="U51" s="22"/>
      <c r="V51" s="22"/>
      <c r="W51" s="22"/>
      <c r="Y51" s="3"/>
      <c r="Z51" s="3"/>
      <c r="AB51" s="3"/>
      <c r="AC51" s="3"/>
      <c r="AE51" s="22"/>
      <c r="AF51" s="3"/>
      <c r="AG51" s="3"/>
    </row>
    <row r="52" spans="1:33" s="4" customFormat="1" x14ac:dyDescent="0.3">
      <c r="A52" s="16"/>
      <c r="B52" s="22"/>
      <c r="C52" s="3"/>
      <c r="F52" s="3"/>
      <c r="I52" s="22"/>
      <c r="J52" s="3"/>
      <c r="M52" s="22"/>
      <c r="N52" s="22"/>
      <c r="O52" s="22"/>
      <c r="Q52" s="22"/>
      <c r="R52" s="22"/>
      <c r="S52" s="22"/>
      <c r="U52" s="22"/>
      <c r="V52" s="22"/>
      <c r="W52" s="22"/>
      <c r="Y52" s="3"/>
      <c r="Z52" s="3"/>
      <c r="AB52" s="3"/>
      <c r="AC52" s="3"/>
      <c r="AE52" s="22"/>
      <c r="AF52" s="3"/>
      <c r="AG52" s="3"/>
    </row>
    <row r="53" spans="1:33" s="4" customFormat="1" x14ac:dyDescent="0.3">
      <c r="A53" s="16"/>
      <c r="B53" s="22"/>
      <c r="C53" s="3"/>
      <c r="F53" s="3"/>
      <c r="I53" s="22"/>
      <c r="J53" s="3"/>
      <c r="M53" s="22"/>
      <c r="N53" s="22"/>
      <c r="O53" s="22"/>
      <c r="Q53" s="22"/>
      <c r="R53" s="22"/>
      <c r="S53" s="22"/>
      <c r="U53" s="22"/>
      <c r="V53" s="22"/>
      <c r="W53" s="22"/>
      <c r="Y53" s="3"/>
      <c r="Z53" s="3"/>
      <c r="AB53" s="3"/>
      <c r="AC53" s="3"/>
      <c r="AE53" s="22"/>
      <c r="AF53" s="3"/>
      <c r="AG53" s="3"/>
    </row>
    <row r="54" spans="1:33" s="4" customFormat="1" x14ac:dyDescent="0.3">
      <c r="A54" s="16"/>
      <c r="B54" s="22"/>
      <c r="C54" s="3"/>
      <c r="F54" s="3"/>
      <c r="I54" s="22"/>
      <c r="J54" s="3"/>
      <c r="M54" s="22"/>
      <c r="N54" s="22"/>
      <c r="O54" s="22"/>
      <c r="Q54" s="22"/>
      <c r="R54" s="22"/>
      <c r="S54" s="22"/>
      <c r="U54" s="22"/>
      <c r="V54" s="22"/>
      <c r="W54" s="22"/>
      <c r="Y54" s="3"/>
      <c r="Z54" s="3"/>
      <c r="AB54" s="3"/>
      <c r="AC54" s="3"/>
      <c r="AE54" s="22"/>
      <c r="AF54" s="3"/>
      <c r="AG54" s="3"/>
    </row>
    <row r="55" spans="1:33" s="4" customFormat="1" x14ac:dyDescent="0.3">
      <c r="A55" s="16"/>
      <c r="B55" s="22"/>
      <c r="C55" s="3"/>
      <c r="F55" s="3"/>
      <c r="I55" s="22"/>
      <c r="J55" s="3"/>
      <c r="M55" s="22"/>
      <c r="N55" s="22"/>
      <c r="O55" s="22"/>
      <c r="Q55" s="22"/>
      <c r="R55" s="22"/>
      <c r="S55" s="22"/>
      <c r="U55" s="22"/>
      <c r="V55" s="22"/>
      <c r="W55" s="22"/>
      <c r="Y55" s="3"/>
      <c r="Z55" s="3"/>
      <c r="AB55" s="3"/>
      <c r="AC55" s="3"/>
      <c r="AE55" s="22"/>
      <c r="AF55" s="3"/>
      <c r="AG55" s="3"/>
    </row>
    <row r="56" spans="1:33" s="4" customFormat="1" x14ac:dyDescent="0.3">
      <c r="A56" s="16"/>
      <c r="B56" s="22"/>
      <c r="C56" s="3"/>
      <c r="F56" s="3"/>
      <c r="I56" s="22"/>
      <c r="J56" s="3"/>
      <c r="M56" s="22"/>
      <c r="N56" s="22"/>
      <c r="O56" s="22"/>
      <c r="Q56" s="22"/>
      <c r="R56" s="22"/>
      <c r="S56" s="22"/>
      <c r="U56" s="22"/>
      <c r="V56" s="22"/>
      <c r="W56" s="22"/>
      <c r="Y56" s="3"/>
      <c r="Z56" s="3"/>
      <c r="AB56" s="3"/>
      <c r="AC56" s="3"/>
      <c r="AE56" s="22"/>
      <c r="AF56" s="3"/>
      <c r="AG56" s="3"/>
    </row>
    <row r="57" spans="1:33" s="4" customFormat="1" x14ac:dyDescent="0.3">
      <c r="A57" s="16"/>
      <c r="B57" s="22"/>
      <c r="C57" s="3"/>
      <c r="F57" s="3"/>
      <c r="I57" s="22"/>
      <c r="J57" s="3"/>
      <c r="M57" s="22"/>
      <c r="N57" s="22"/>
      <c r="O57" s="22"/>
      <c r="Q57" s="22"/>
      <c r="R57" s="22"/>
      <c r="S57" s="22"/>
      <c r="U57" s="22"/>
      <c r="V57" s="22"/>
      <c r="W57" s="22"/>
      <c r="Y57" s="3"/>
      <c r="Z57" s="3"/>
      <c r="AB57" s="3"/>
      <c r="AC57" s="3"/>
      <c r="AE57" s="22"/>
      <c r="AF57" s="3"/>
      <c r="AG57" s="3"/>
    </row>
    <row r="58" spans="1:33" s="4" customFormat="1" x14ac:dyDescent="0.3">
      <c r="A58" s="16"/>
      <c r="B58" s="22"/>
      <c r="C58" s="3"/>
      <c r="F58" s="3"/>
      <c r="I58" s="22"/>
      <c r="J58" s="3"/>
      <c r="M58" s="22"/>
      <c r="N58" s="22"/>
      <c r="O58" s="22"/>
      <c r="Q58" s="22"/>
      <c r="R58" s="22"/>
      <c r="S58" s="22"/>
      <c r="U58" s="22"/>
      <c r="V58" s="22"/>
      <c r="W58" s="22"/>
      <c r="Y58" s="3"/>
      <c r="Z58" s="3"/>
      <c r="AB58" s="3"/>
      <c r="AC58" s="3"/>
      <c r="AE58" s="22"/>
      <c r="AF58" s="3"/>
      <c r="AG58" s="3"/>
    </row>
    <row r="59" spans="1:33" s="4" customFormat="1" x14ac:dyDescent="0.3">
      <c r="A59" s="16"/>
      <c r="B59" s="22"/>
      <c r="C59" s="3"/>
      <c r="F59" s="3"/>
      <c r="I59" s="22"/>
      <c r="J59" s="3"/>
      <c r="M59" s="22"/>
      <c r="N59" s="22"/>
      <c r="O59" s="22"/>
      <c r="Q59" s="22"/>
      <c r="R59" s="22"/>
      <c r="S59" s="22"/>
      <c r="U59" s="22"/>
      <c r="V59" s="22"/>
      <c r="W59" s="22"/>
      <c r="Y59" s="3"/>
      <c r="Z59" s="3"/>
      <c r="AB59" s="3"/>
      <c r="AC59" s="3"/>
      <c r="AE59" s="22"/>
      <c r="AF59" s="3"/>
      <c r="AG59" s="3"/>
    </row>
    <row r="60" spans="1:33" s="4" customFormat="1" x14ac:dyDescent="0.3">
      <c r="A60" s="16"/>
      <c r="B60" s="22"/>
      <c r="C60" s="3"/>
      <c r="F60" s="3"/>
      <c r="I60" s="22"/>
      <c r="J60" s="3"/>
      <c r="M60" s="22"/>
      <c r="N60" s="22"/>
      <c r="O60" s="22"/>
      <c r="Q60" s="22"/>
      <c r="R60" s="22"/>
      <c r="S60" s="22"/>
      <c r="U60" s="22"/>
      <c r="V60" s="22"/>
      <c r="W60" s="22"/>
      <c r="Y60" s="3"/>
      <c r="Z60" s="3"/>
      <c r="AB60" s="3"/>
      <c r="AC60" s="3"/>
      <c r="AE60" s="22"/>
      <c r="AF60" s="3"/>
      <c r="AG60" s="3"/>
    </row>
    <row r="61" spans="1:33" s="4" customFormat="1" x14ac:dyDescent="0.3">
      <c r="A61" s="16"/>
      <c r="B61" s="22"/>
      <c r="C61" s="3"/>
      <c r="F61" s="3"/>
      <c r="I61" s="22"/>
      <c r="J61" s="3"/>
      <c r="M61" s="22"/>
      <c r="N61" s="22"/>
      <c r="O61" s="22"/>
      <c r="Q61" s="22"/>
      <c r="R61" s="22"/>
      <c r="S61" s="22"/>
      <c r="U61" s="22"/>
      <c r="V61" s="22"/>
      <c r="W61" s="22"/>
      <c r="Y61" s="3"/>
      <c r="Z61" s="3"/>
      <c r="AB61" s="3"/>
      <c r="AC61" s="3"/>
      <c r="AE61" s="22"/>
      <c r="AF61" s="3"/>
      <c r="AG61" s="3"/>
    </row>
    <row r="62" spans="1:33" s="4" customFormat="1" x14ac:dyDescent="0.3">
      <c r="A62" s="16"/>
      <c r="B62" s="22"/>
      <c r="C62" s="3"/>
      <c r="F62" s="3"/>
      <c r="I62" s="22"/>
      <c r="J62" s="3"/>
      <c r="M62" s="22"/>
      <c r="N62" s="22"/>
      <c r="O62" s="22"/>
      <c r="Q62" s="22"/>
      <c r="R62" s="22"/>
      <c r="S62" s="22"/>
      <c r="U62" s="22"/>
      <c r="V62" s="22"/>
      <c r="W62" s="22"/>
      <c r="Y62" s="3"/>
      <c r="Z62" s="3"/>
      <c r="AB62" s="3"/>
      <c r="AC62" s="3"/>
      <c r="AE62" s="22"/>
      <c r="AF62" s="3"/>
      <c r="AG62" s="3"/>
    </row>
    <row r="63" spans="1:33" s="4" customFormat="1" x14ac:dyDescent="0.3">
      <c r="A63" s="16"/>
      <c r="B63" s="22"/>
      <c r="C63" s="3"/>
      <c r="F63" s="3"/>
      <c r="I63" s="22"/>
      <c r="J63" s="3"/>
      <c r="M63" s="22"/>
      <c r="N63" s="22"/>
      <c r="O63" s="22"/>
      <c r="Q63" s="22"/>
      <c r="R63" s="22"/>
      <c r="S63" s="22"/>
      <c r="U63" s="22"/>
      <c r="V63" s="22"/>
      <c r="W63" s="22"/>
      <c r="Y63" s="3"/>
      <c r="Z63" s="3"/>
      <c r="AB63" s="3"/>
      <c r="AC63" s="3"/>
      <c r="AE63" s="22"/>
      <c r="AF63" s="3"/>
      <c r="AG63" s="3"/>
    </row>
    <row r="64" spans="1:33" s="4" customFormat="1" x14ac:dyDescent="0.3">
      <c r="A64" s="16"/>
      <c r="B64" s="22"/>
      <c r="C64" s="3"/>
      <c r="F64" s="3"/>
      <c r="I64" s="22"/>
      <c r="J64" s="3"/>
      <c r="M64" s="22"/>
      <c r="N64" s="22"/>
      <c r="O64" s="22"/>
      <c r="Q64" s="22"/>
      <c r="R64" s="22"/>
      <c r="S64" s="22"/>
      <c r="U64" s="22"/>
      <c r="V64" s="22"/>
      <c r="W64" s="22"/>
      <c r="Y64" s="3"/>
      <c r="Z64" s="3"/>
      <c r="AB64" s="3"/>
      <c r="AC64" s="3"/>
      <c r="AE64" s="22"/>
      <c r="AF64" s="3"/>
      <c r="AG64" s="3"/>
    </row>
    <row r="65" spans="1:33" s="4" customFormat="1" x14ac:dyDescent="0.3">
      <c r="A65" s="16"/>
      <c r="B65" s="22"/>
      <c r="C65" s="3"/>
      <c r="F65" s="3"/>
      <c r="I65" s="22"/>
      <c r="J65" s="3"/>
      <c r="M65" s="22"/>
      <c r="N65" s="22"/>
      <c r="O65" s="22"/>
      <c r="Q65" s="22"/>
      <c r="R65" s="22"/>
      <c r="S65" s="22"/>
      <c r="U65" s="22"/>
      <c r="V65" s="22"/>
      <c r="W65" s="22"/>
      <c r="Y65" s="3"/>
      <c r="Z65" s="3"/>
      <c r="AB65" s="3"/>
      <c r="AC65" s="3"/>
      <c r="AE65" s="22"/>
      <c r="AF65" s="3"/>
      <c r="AG65" s="3"/>
    </row>
    <row r="66" spans="1:33" s="4" customFormat="1" x14ac:dyDescent="0.3">
      <c r="A66" s="16"/>
      <c r="B66" s="22"/>
      <c r="C66" s="3"/>
      <c r="F66" s="3"/>
      <c r="I66" s="22"/>
      <c r="J66" s="3"/>
      <c r="M66" s="22"/>
      <c r="N66" s="22"/>
      <c r="O66" s="22"/>
      <c r="Q66" s="22"/>
      <c r="R66" s="22"/>
      <c r="S66" s="22"/>
      <c r="U66" s="22"/>
      <c r="V66" s="22"/>
      <c r="W66" s="22"/>
      <c r="Y66" s="3"/>
      <c r="Z66" s="3"/>
      <c r="AB66" s="3"/>
      <c r="AC66" s="3"/>
      <c r="AE66" s="22"/>
      <c r="AF66" s="3"/>
      <c r="AG66" s="3"/>
    </row>
    <row r="67" spans="1:33" s="4" customFormat="1" x14ac:dyDescent="0.3">
      <c r="A67" s="16"/>
      <c r="B67" s="22"/>
      <c r="C67" s="3"/>
      <c r="F67" s="3"/>
      <c r="I67" s="22"/>
      <c r="J67" s="3"/>
      <c r="M67" s="22"/>
      <c r="N67" s="22"/>
      <c r="O67" s="22"/>
      <c r="Q67" s="22"/>
      <c r="R67" s="22"/>
      <c r="S67" s="22"/>
      <c r="U67" s="22"/>
      <c r="V67" s="22"/>
      <c r="W67" s="22"/>
      <c r="Y67" s="3"/>
      <c r="Z67" s="3"/>
      <c r="AB67" s="3"/>
      <c r="AC67" s="3"/>
      <c r="AE67" s="22"/>
      <c r="AF67" s="3"/>
      <c r="AG67" s="3"/>
    </row>
    <row r="68" spans="1:33" s="4" customFormat="1" x14ac:dyDescent="0.3">
      <c r="A68" s="16"/>
      <c r="B68" s="22"/>
      <c r="C68" s="3"/>
      <c r="F68" s="3"/>
      <c r="I68" s="22"/>
      <c r="J68" s="3"/>
      <c r="M68" s="22"/>
      <c r="N68" s="22"/>
      <c r="O68" s="22"/>
      <c r="Q68" s="22"/>
      <c r="R68" s="22"/>
      <c r="S68" s="22"/>
      <c r="U68" s="22"/>
      <c r="V68" s="22"/>
      <c r="W68" s="22"/>
      <c r="Y68" s="3"/>
      <c r="Z68" s="3"/>
      <c r="AB68" s="3"/>
      <c r="AC68" s="3"/>
      <c r="AE68" s="22"/>
      <c r="AF68" s="3"/>
      <c r="AG68" s="3"/>
    </row>
    <row r="69" spans="1:33" s="4" customFormat="1" x14ac:dyDescent="0.3">
      <c r="A69" s="16"/>
      <c r="B69" s="22"/>
      <c r="C69" s="3"/>
      <c r="F69" s="3"/>
      <c r="I69" s="22"/>
      <c r="J69" s="3"/>
      <c r="M69" s="22"/>
      <c r="N69" s="22"/>
      <c r="O69" s="22"/>
      <c r="Q69" s="22"/>
      <c r="R69" s="22"/>
      <c r="S69" s="22"/>
      <c r="U69" s="22"/>
      <c r="V69" s="22"/>
      <c r="W69" s="22"/>
      <c r="Y69" s="3"/>
      <c r="Z69" s="3"/>
      <c r="AB69" s="3"/>
      <c r="AC69" s="3"/>
      <c r="AE69" s="22"/>
      <c r="AF69" s="3"/>
      <c r="AG69" s="3"/>
    </row>
    <row r="70" spans="1:33" s="4" customFormat="1" x14ac:dyDescent="0.3">
      <c r="A70" s="16"/>
      <c r="B70" s="22"/>
      <c r="C70" s="3"/>
      <c r="F70" s="3"/>
      <c r="I70" s="22"/>
      <c r="J70" s="3"/>
      <c r="M70" s="22"/>
      <c r="N70" s="22"/>
      <c r="O70" s="22"/>
      <c r="Q70" s="22"/>
      <c r="R70" s="22"/>
      <c r="S70" s="22"/>
      <c r="U70" s="22"/>
      <c r="V70" s="22"/>
      <c r="W70" s="22"/>
      <c r="Y70" s="3"/>
      <c r="Z70" s="3"/>
      <c r="AB70" s="3"/>
      <c r="AC70" s="3"/>
      <c r="AE70" s="22"/>
      <c r="AF70" s="3"/>
      <c r="AG70" s="3"/>
    </row>
    <row r="71" spans="1:33" s="4" customFormat="1" x14ac:dyDescent="0.3">
      <c r="A71" s="16"/>
      <c r="B71" s="22"/>
      <c r="C71" s="3"/>
      <c r="F71" s="3"/>
      <c r="I71" s="22"/>
      <c r="J71" s="3"/>
      <c r="M71" s="22"/>
      <c r="N71" s="22"/>
      <c r="O71" s="22"/>
      <c r="Q71" s="22"/>
      <c r="R71" s="22"/>
      <c r="S71" s="22"/>
      <c r="U71" s="22"/>
      <c r="V71" s="22"/>
      <c r="W71" s="22"/>
      <c r="Y71" s="3"/>
      <c r="Z71" s="3"/>
      <c r="AB71" s="3"/>
      <c r="AC71" s="3"/>
      <c r="AE71" s="22"/>
      <c r="AF71" s="3"/>
      <c r="AG71" s="3"/>
    </row>
    <row r="72" spans="1:33" s="4" customFormat="1" x14ac:dyDescent="0.3">
      <c r="A72" s="16"/>
      <c r="B72" s="22"/>
      <c r="C72" s="3"/>
      <c r="F72" s="3"/>
      <c r="I72" s="22"/>
      <c r="J72" s="3"/>
      <c r="M72" s="22"/>
      <c r="N72" s="22"/>
      <c r="O72" s="22"/>
      <c r="Q72" s="22"/>
      <c r="R72" s="22"/>
      <c r="S72" s="22"/>
      <c r="U72" s="22"/>
      <c r="V72" s="22"/>
      <c r="W72" s="22"/>
      <c r="Y72" s="3"/>
      <c r="Z72" s="3"/>
      <c r="AB72" s="3"/>
      <c r="AC72" s="3"/>
      <c r="AE72" s="22"/>
      <c r="AF72" s="3"/>
      <c r="AG72" s="3"/>
    </row>
    <row r="73" spans="1:33" s="4" customFormat="1" x14ac:dyDescent="0.3">
      <c r="A73" s="16"/>
      <c r="B73" s="22"/>
      <c r="C73" s="3"/>
      <c r="F73" s="3"/>
      <c r="I73" s="22"/>
      <c r="J73" s="3"/>
      <c r="M73" s="22"/>
      <c r="N73" s="22"/>
      <c r="O73" s="22"/>
      <c r="Q73" s="22"/>
      <c r="R73" s="22"/>
      <c r="S73" s="22"/>
      <c r="U73" s="22"/>
      <c r="V73" s="22"/>
      <c r="W73" s="22"/>
      <c r="Y73" s="3"/>
      <c r="Z73" s="3"/>
      <c r="AB73" s="3"/>
      <c r="AC73" s="3"/>
      <c r="AE73" s="22"/>
      <c r="AF73" s="3"/>
      <c r="AG73" s="3"/>
    </row>
    <row r="74" spans="1:33" s="4" customFormat="1" x14ac:dyDescent="0.3">
      <c r="A74" s="16"/>
      <c r="B74" s="22"/>
      <c r="C74" s="3"/>
      <c r="F74" s="3"/>
      <c r="I74" s="22"/>
      <c r="J74" s="3"/>
      <c r="M74" s="22"/>
      <c r="N74" s="22"/>
      <c r="O74" s="22"/>
      <c r="Q74" s="22"/>
      <c r="R74" s="22"/>
      <c r="S74" s="22"/>
      <c r="U74" s="22"/>
      <c r="V74" s="22"/>
      <c r="W74" s="22"/>
      <c r="Y74" s="3"/>
      <c r="Z74" s="3"/>
      <c r="AB74" s="3"/>
      <c r="AC74" s="3"/>
      <c r="AE74" s="22"/>
      <c r="AF74" s="3"/>
      <c r="AG74" s="3"/>
    </row>
    <row r="75" spans="1:33" s="4" customFormat="1" x14ac:dyDescent="0.3">
      <c r="A75" s="16"/>
      <c r="B75" s="22"/>
      <c r="C75" s="3"/>
      <c r="F75" s="3"/>
      <c r="I75" s="22"/>
      <c r="J75" s="3"/>
      <c r="M75" s="22"/>
      <c r="N75" s="22"/>
      <c r="O75" s="22"/>
      <c r="Q75" s="22"/>
      <c r="R75" s="22"/>
      <c r="S75" s="22"/>
      <c r="U75" s="22"/>
      <c r="V75" s="22"/>
      <c r="W75" s="22"/>
      <c r="Y75" s="3"/>
      <c r="Z75" s="3"/>
      <c r="AB75" s="3"/>
      <c r="AC75" s="3"/>
      <c r="AE75" s="22"/>
      <c r="AF75" s="3"/>
      <c r="AG75" s="3"/>
    </row>
    <row r="76" spans="1:33" s="4" customFormat="1" x14ac:dyDescent="0.3">
      <c r="A76" s="16"/>
      <c r="B76" s="22"/>
      <c r="C76" s="3"/>
      <c r="F76" s="3"/>
      <c r="I76" s="22"/>
      <c r="J76" s="3"/>
      <c r="M76" s="22"/>
      <c r="N76" s="22"/>
      <c r="O76" s="22"/>
      <c r="Q76" s="22"/>
      <c r="R76" s="22"/>
      <c r="S76" s="22"/>
      <c r="U76" s="22"/>
      <c r="V76" s="22"/>
      <c r="W76" s="22"/>
      <c r="Y76" s="3"/>
      <c r="Z76" s="3"/>
      <c r="AB76" s="3"/>
      <c r="AC76" s="3"/>
      <c r="AE76" s="22"/>
      <c r="AF76" s="3"/>
      <c r="AG76" s="3"/>
    </row>
    <row r="77" spans="1:33" s="4" customFormat="1" x14ac:dyDescent="0.3">
      <c r="A77" s="16"/>
      <c r="B77" s="22"/>
      <c r="C77" s="3"/>
      <c r="F77" s="3"/>
      <c r="I77" s="22"/>
      <c r="J77" s="3"/>
      <c r="M77" s="22"/>
      <c r="N77" s="22"/>
      <c r="O77" s="22"/>
      <c r="Q77" s="22"/>
      <c r="R77" s="22"/>
      <c r="S77" s="22"/>
      <c r="U77" s="22"/>
      <c r="V77" s="22"/>
      <c r="W77" s="22"/>
      <c r="Y77" s="3"/>
      <c r="Z77" s="3"/>
      <c r="AB77" s="3"/>
      <c r="AC77" s="3"/>
      <c r="AE77" s="22"/>
      <c r="AF77" s="3"/>
      <c r="AG77" s="3"/>
    </row>
    <row r="78" spans="1:33" s="4" customFormat="1" x14ac:dyDescent="0.3">
      <c r="A78" s="16"/>
      <c r="B78" s="22"/>
      <c r="C78" s="3"/>
      <c r="F78" s="3"/>
      <c r="I78" s="22"/>
      <c r="J78" s="3"/>
      <c r="M78" s="22"/>
      <c r="N78" s="22"/>
      <c r="O78" s="22"/>
      <c r="Q78" s="22"/>
      <c r="R78" s="22"/>
      <c r="S78" s="22"/>
      <c r="U78" s="22"/>
      <c r="V78" s="22"/>
      <c r="W78" s="22"/>
      <c r="Y78" s="3"/>
      <c r="Z78" s="3"/>
      <c r="AB78" s="3"/>
      <c r="AC78" s="3"/>
      <c r="AE78" s="22"/>
      <c r="AF78" s="3"/>
      <c r="AG78" s="3"/>
    </row>
    <row r="79" spans="1:33" s="4" customFormat="1" x14ac:dyDescent="0.3">
      <c r="A79" s="16"/>
      <c r="B79" s="22"/>
      <c r="C79" s="3"/>
      <c r="F79" s="3"/>
      <c r="I79" s="22"/>
      <c r="J79" s="3"/>
      <c r="M79" s="22"/>
      <c r="N79" s="22"/>
      <c r="O79" s="22"/>
      <c r="Q79" s="22"/>
      <c r="R79" s="22"/>
      <c r="S79" s="22"/>
      <c r="U79" s="22"/>
      <c r="V79" s="22"/>
      <c r="W79" s="22"/>
      <c r="Y79" s="3"/>
      <c r="Z79" s="3"/>
      <c r="AB79" s="3"/>
      <c r="AC79" s="3"/>
      <c r="AE79" s="22"/>
      <c r="AF79" s="3"/>
      <c r="AG79" s="3"/>
    </row>
    <row r="80" spans="1:33" s="4" customFormat="1" x14ac:dyDescent="0.3">
      <c r="A80" s="16"/>
      <c r="B80" s="22"/>
      <c r="C80" s="3"/>
      <c r="F80" s="3"/>
      <c r="I80" s="22"/>
      <c r="J80" s="3"/>
      <c r="M80" s="22"/>
      <c r="N80" s="22"/>
      <c r="O80" s="22"/>
      <c r="Q80" s="22"/>
      <c r="R80" s="22"/>
      <c r="S80" s="22"/>
      <c r="U80" s="22"/>
      <c r="V80" s="22"/>
      <c r="W80" s="22"/>
      <c r="Y80" s="3"/>
      <c r="Z80" s="3"/>
      <c r="AB80" s="3"/>
      <c r="AC80" s="3"/>
      <c r="AE80" s="22"/>
      <c r="AF80" s="3"/>
      <c r="AG80" s="3"/>
    </row>
    <row r="81" spans="1:33" s="4" customFormat="1" x14ac:dyDescent="0.3">
      <c r="A81" s="16"/>
      <c r="B81" s="22"/>
      <c r="I81" s="22"/>
      <c r="M81" s="22"/>
      <c r="N81" s="22"/>
      <c r="O81" s="22"/>
      <c r="Q81" s="22"/>
      <c r="R81" s="22"/>
      <c r="S81" s="22"/>
      <c r="U81" s="22"/>
      <c r="V81" s="22"/>
      <c r="W81" s="22"/>
      <c r="AE81" s="22"/>
    </row>
    <row r="82" spans="1:33" s="4" customFormat="1" x14ac:dyDescent="0.3">
      <c r="A82" s="16"/>
      <c r="B82" s="22"/>
      <c r="I82" s="22"/>
      <c r="M82" s="22"/>
      <c r="N82" s="22"/>
      <c r="O82" s="22"/>
      <c r="Q82" s="22"/>
      <c r="R82" s="22"/>
      <c r="S82" s="22"/>
      <c r="U82" s="22"/>
      <c r="V82" s="22"/>
      <c r="W82" s="22"/>
      <c r="AE82" s="22"/>
    </row>
    <row r="83" spans="1:33" s="4" customFormat="1" x14ac:dyDescent="0.3">
      <c r="A83" s="16"/>
      <c r="B83" s="22"/>
      <c r="I83" s="22"/>
      <c r="M83" s="22"/>
      <c r="N83" s="22"/>
      <c r="O83" s="22"/>
      <c r="Q83" s="22"/>
      <c r="R83" s="22"/>
      <c r="S83" s="22"/>
      <c r="U83" s="22"/>
      <c r="V83" s="22"/>
      <c r="W83" s="22"/>
      <c r="AE83" s="22"/>
    </row>
    <row r="84" spans="1:33" s="4" customFormat="1" x14ac:dyDescent="0.3">
      <c r="A84" s="16"/>
      <c r="B84" s="22"/>
      <c r="I84" s="22"/>
      <c r="M84" s="22"/>
      <c r="N84" s="22"/>
      <c r="O84" s="22"/>
      <c r="Q84" s="22"/>
      <c r="R84" s="22"/>
      <c r="S84" s="22"/>
      <c r="U84" s="22"/>
      <c r="V84" s="22"/>
      <c r="W84" s="22"/>
      <c r="AE84" s="22"/>
    </row>
    <row r="85" spans="1:33" s="4" customFormat="1" x14ac:dyDescent="0.3">
      <c r="A85" s="16"/>
      <c r="B85" s="22"/>
      <c r="I85" s="22"/>
      <c r="M85" s="22"/>
      <c r="N85" s="22"/>
      <c r="O85" s="22"/>
      <c r="Q85" s="22"/>
      <c r="R85" s="22"/>
      <c r="S85" s="22"/>
      <c r="U85" s="22"/>
      <c r="V85" s="22"/>
      <c r="W85" s="22"/>
      <c r="AE85" s="22"/>
    </row>
    <row r="86" spans="1:33" s="4" customFormat="1" x14ac:dyDescent="0.3">
      <c r="A86" s="16"/>
      <c r="B86" s="22"/>
      <c r="I86" s="22"/>
      <c r="M86" s="22"/>
      <c r="N86" s="22"/>
      <c r="O86" s="22"/>
      <c r="Q86" s="22"/>
      <c r="R86" s="22"/>
      <c r="S86" s="22"/>
      <c r="U86" s="22"/>
      <c r="V86" s="22"/>
      <c r="W86" s="22"/>
      <c r="AE86" s="22"/>
    </row>
    <row r="87" spans="1:33" s="4" customFormat="1" x14ac:dyDescent="0.3">
      <c r="A87" s="16"/>
      <c r="B87" s="22"/>
      <c r="I87" s="22"/>
      <c r="M87" s="22"/>
      <c r="N87" s="22"/>
      <c r="O87" s="22"/>
      <c r="Q87" s="22"/>
      <c r="R87" s="22"/>
      <c r="S87" s="22"/>
      <c r="U87" s="22"/>
      <c r="V87" s="22"/>
      <c r="W87" s="22"/>
      <c r="AE87" s="22"/>
    </row>
    <row r="88" spans="1:33" s="4" customFormat="1" x14ac:dyDescent="0.3">
      <c r="A88" s="16"/>
      <c r="B88" s="22"/>
      <c r="I88" s="22"/>
      <c r="M88" s="22"/>
      <c r="N88" s="22"/>
      <c r="O88" s="22"/>
      <c r="Q88" s="22"/>
      <c r="R88" s="22"/>
      <c r="S88" s="22"/>
      <c r="U88" s="22"/>
      <c r="V88" s="22"/>
      <c r="W88" s="22"/>
      <c r="AE88" s="22"/>
    </row>
    <row r="89" spans="1:33" s="4" customFormat="1" x14ac:dyDescent="0.3">
      <c r="A89" s="16"/>
      <c r="B89" s="22"/>
      <c r="I89" s="22"/>
      <c r="M89" s="22"/>
      <c r="N89" s="22"/>
      <c r="O89" s="22"/>
      <c r="Q89" s="22"/>
      <c r="R89" s="22"/>
      <c r="S89" s="22"/>
      <c r="U89" s="22"/>
      <c r="V89" s="22"/>
      <c r="W89" s="22"/>
      <c r="AE89" s="22"/>
    </row>
    <row r="90" spans="1:33" s="4" customFormat="1" x14ac:dyDescent="0.3">
      <c r="A90" s="16"/>
      <c r="B90" s="22"/>
      <c r="I90" s="22"/>
      <c r="M90" s="22"/>
      <c r="N90" s="22"/>
      <c r="O90" s="22"/>
      <c r="Q90" s="22"/>
      <c r="R90" s="22"/>
      <c r="S90" s="22"/>
      <c r="U90" s="22"/>
      <c r="V90" s="22"/>
      <c r="W90" s="22"/>
      <c r="AE90" s="22"/>
    </row>
    <row r="91" spans="1:33" s="4" customFormat="1" x14ac:dyDescent="0.3">
      <c r="A91" s="16"/>
      <c r="B91" s="22"/>
      <c r="C91" s="3"/>
      <c r="F91" s="3"/>
      <c r="I91" s="22"/>
      <c r="J91" s="3"/>
      <c r="M91" s="22"/>
      <c r="N91" s="22"/>
      <c r="O91" s="22"/>
      <c r="Q91" s="22"/>
      <c r="R91" s="22"/>
      <c r="S91" s="22"/>
      <c r="U91" s="22"/>
      <c r="V91" s="22"/>
      <c r="W91" s="22"/>
      <c r="Y91" s="3"/>
      <c r="Z91" s="3"/>
      <c r="AB91" s="3"/>
      <c r="AC91" s="3"/>
      <c r="AE91" s="22"/>
      <c r="AF91" s="3"/>
      <c r="AG91" s="3"/>
    </row>
    <row r="92" spans="1:33" s="4" customFormat="1" x14ac:dyDescent="0.3">
      <c r="A92" s="16"/>
      <c r="B92" s="22"/>
      <c r="C92" s="3"/>
      <c r="F92" s="3"/>
      <c r="I92" s="22"/>
      <c r="J92" s="3"/>
      <c r="M92" s="22"/>
      <c r="N92" s="22"/>
      <c r="O92" s="22"/>
      <c r="Q92" s="22"/>
      <c r="R92" s="22"/>
      <c r="S92" s="22"/>
      <c r="U92" s="22"/>
      <c r="V92" s="22"/>
      <c r="W92" s="22"/>
      <c r="Y92" s="3"/>
      <c r="Z92" s="3"/>
      <c r="AB92" s="3"/>
      <c r="AC92" s="3"/>
      <c r="AE92" s="22"/>
      <c r="AF92" s="3"/>
      <c r="AG92" s="3"/>
    </row>
    <row r="93" spans="1:33" s="4" customFormat="1" x14ac:dyDescent="0.3">
      <c r="A93" s="16"/>
      <c r="B93" s="22"/>
      <c r="C93" s="3"/>
      <c r="F93" s="3"/>
      <c r="I93" s="22"/>
      <c r="J93" s="3"/>
      <c r="M93" s="22"/>
      <c r="N93" s="22"/>
      <c r="O93" s="22"/>
      <c r="Q93" s="22"/>
      <c r="R93" s="22"/>
      <c r="S93" s="22"/>
      <c r="U93" s="22"/>
      <c r="V93" s="22"/>
      <c r="W93" s="22"/>
      <c r="Y93" s="3"/>
      <c r="Z93" s="3"/>
      <c r="AB93" s="3"/>
      <c r="AC93" s="3"/>
      <c r="AE93" s="22"/>
      <c r="AF93" s="3"/>
      <c r="AG93" s="3"/>
    </row>
    <row r="94" spans="1:33" s="4" customFormat="1" x14ac:dyDescent="0.3">
      <c r="A94" s="16"/>
      <c r="B94" s="22"/>
      <c r="C94" s="3"/>
      <c r="F94" s="3"/>
      <c r="I94" s="22"/>
      <c r="J94" s="3"/>
      <c r="M94" s="22"/>
      <c r="N94" s="22"/>
      <c r="O94" s="22"/>
      <c r="Q94" s="22"/>
      <c r="R94" s="22"/>
      <c r="S94" s="22"/>
      <c r="U94" s="22"/>
      <c r="V94" s="22"/>
      <c r="W94" s="22"/>
      <c r="Y94" s="3"/>
      <c r="Z94" s="3"/>
      <c r="AB94" s="3"/>
      <c r="AC94" s="3"/>
      <c r="AE94" s="22"/>
      <c r="AF94" s="3"/>
      <c r="AG94" s="3"/>
    </row>
    <row r="95" spans="1:33" s="4" customFormat="1" x14ac:dyDescent="0.3">
      <c r="A95" s="16"/>
      <c r="B95" s="22"/>
      <c r="C95" s="3"/>
      <c r="F95" s="3"/>
      <c r="I95" s="22"/>
      <c r="J95" s="3"/>
      <c r="M95" s="22"/>
      <c r="N95" s="22"/>
      <c r="O95" s="22"/>
      <c r="Q95" s="22"/>
      <c r="R95" s="22"/>
      <c r="S95" s="22"/>
      <c r="U95" s="22"/>
      <c r="V95" s="22"/>
      <c r="W95" s="22"/>
      <c r="Y95" s="3"/>
      <c r="Z95" s="3"/>
      <c r="AB95" s="3"/>
      <c r="AC95" s="3"/>
      <c r="AE95" s="22"/>
      <c r="AF95" s="3"/>
      <c r="AG95" s="3"/>
    </row>
    <row r="96" spans="1:33" s="4" customFormat="1" x14ac:dyDescent="0.3">
      <c r="A96" s="16"/>
      <c r="B96" s="22"/>
      <c r="C96" s="3"/>
      <c r="F96" s="3"/>
      <c r="I96" s="22"/>
      <c r="J96" s="3"/>
      <c r="M96" s="22"/>
      <c r="N96" s="22"/>
      <c r="O96" s="22"/>
      <c r="Q96" s="22"/>
      <c r="R96" s="22"/>
      <c r="S96" s="22"/>
      <c r="U96" s="22"/>
      <c r="V96" s="22"/>
      <c r="W96" s="22"/>
      <c r="Y96" s="3"/>
      <c r="Z96" s="3"/>
      <c r="AB96" s="3"/>
      <c r="AC96" s="3"/>
      <c r="AE96" s="22"/>
      <c r="AF96" s="3"/>
      <c r="AG96" s="3"/>
    </row>
    <row r="97" spans="1:33" s="4" customFormat="1" x14ac:dyDescent="0.3">
      <c r="A97" s="16"/>
      <c r="B97" s="22"/>
      <c r="C97" s="3"/>
      <c r="F97" s="3"/>
      <c r="I97" s="22"/>
      <c r="J97" s="3"/>
      <c r="M97" s="22"/>
      <c r="N97" s="22"/>
      <c r="O97" s="22"/>
      <c r="Q97" s="22"/>
      <c r="R97" s="22"/>
      <c r="S97" s="22"/>
      <c r="U97" s="22"/>
      <c r="V97" s="22"/>
      <c r="W97" s="22"/>
      <c r="Y97" s="3"/>
      <c r="Z97" s="3"/>
      <c r="AB97" s="3"/>
      <c r="AC97" s="3"/>
      <c r="AE97" s="22"/>
      <c r="AF97" s="3"/>
      <c r="AG97" s="3"/>
    </row>
    <row r="98" spans="1:33" s="4" customFormat="1" x14ac:dyDescent="0.3">
      <c r="A98" s="16"/>
      <c r="B98" s="22"/>
      <c r="C98" s="3"/>
      <c r="F98" s="3"/>
      <c r="I98" s="22"/>
      <c r="J98" s="3"/>
      <c r="M98" s="22"/>
      <c r="N98" s="22"/>
      <c r="O98" s="22"/>
      <c r="Q98" s="22"/>
      <c r="R98" s="22"/>
      <c r="S98" s="22"/>
      <c r="U98" s="22"/>
      <c r="V98" s="22"/>
      <c r="W98" s="22"/>
      <c r="Y98" s="3"/>
      <c r="Z98" s="3"/>
      <c r="AB98" s="3"/>
      <c r="AC98" s="3"/>
      <c r="AE98" s="22"/>
      <c r="AF98" s="3"/>
      <c r="AG98" s="3"/>
    </row>
    <row r="99" spans="1:33" s="4" customFormat="1" x14ac:dyDescent="0.3">
      <c r="A99" s="16"/>
      <c r="B99" s="22"/>
      <c r="C99" s="3"/>
      <c r="F99" s="3"/>
      <c r="I99" s="22"/>
      <c r="J99" s="3"/>
      <c r="M99" s="22"/>
      <c r="N99" s="22"/>
      <c r="O99" s="22"/>
      <c r="Q99" s="22"/>
      <c r="R99" s="22"/>
      <c r="S99" s="22"/>
      <c r="U99" s="22"/>
      <c r="V99" s="22"/>
      <c r="W99" s="22"/>
      <c r="Y99" s="3"/>
      <c r="Z99" s="3"/>
      <c r="AB99" s="3"/>
      <c r="AC99" s="3"/>
      <c r="AE99" s="22"/>
      <c r="AF99" s="3"/>
      <c r="AG99" s="3"/>
    </row>
    <row r="100" spans="1:33" s="4" customFormat="1" x14ac:dyDescent="0.3">
      <c r="A100" s="16"/>
      <c r="B100" s="22"/>
      <c r="C100" s="3"/>
      <c r="F100" s="3"/>
      <c r="I100" s="22"/>
      <c r="J100" s="3"/>
      <c r="M100" s="22"/>
      <c r="N100" s="22"/>
      <c r="O100" s="22"/>
      <c r="Q100" s="22"/>
      <c r="R100" s="22"/>
      <c r="S100" s="22"/>
      <c r="U100" s="22"/>
      <c r="V100" s="22"/>
      <c r="W100" s="22"/>
      <c r="Y100" s="3"/>
      <c r="Z100" s="3"/>
      <c r="AB100" s="3"/>
      <c r="AC100" s="3"/>
      <c r="AE100" s="22"/>
      <c r="AF100" s="3"/>
      <c r="AG100" s="3"/>
    </row>
    <row r="101" spans="1:33" s="4" customFormat="1" x14ac:dyDescent="0.3">
      <c r="A101" s="16"/>
      <c r="B101" s="22"/>
      <c r="C101" s="3"/>
      <c r="F101" s="3"/>
      <c r="I101" s="22"/>
      <c r="J101" s="3"/>
      <c r="M101" s="22"/>
      <c r="N101" s="22"/>
      <c r="O101" s="22"/>
      <c r="Q101" s="22"/>
      <c r="R101" s="22"/>
      <c r="S101" s="22"/>
      <c r="U101" s="22"/>
      <c r="V101" s="22"/>
      <c r="W101" s="22"/>
      <c r="Y101" s="3"/>
      <c r="Z101" s="3"/>
      <c r="AB101" s="3"/>
      <c r="AC101" s="3"/>
      <c r="AE101" s="22"/>
      <c r="AF101" s="3"/>
      <c r="AG101" s="3"/>
    </row>
    <row r="102" spans="1:33" s="4" customFormat="1" x14ac:dyDescent="0.3">
      <c r="A102" s="16"/>
      <c r="B102" s="22"/>
      <c r="C102" s="3"/>
      <c r="F102" s="3"/>
      <c r="I102" s="22"/>
      <c r="J102" s="3"/>
      <c r="M102" s="22"/>
      <c r="N102" s="22"/>
      <c r="O102" s="22"/>
      <c r="Q102" s="22"/>
      <c r="R102" s="22"/>
      <c r="S102" s="22"/>
      <c r="U102" s="22"/>
      <c r="V102" s="22"/>
      <c r="W102" s="22"/>
      <c r="Y102" s="3"/>
      <c r="Z102" s="3"/>
      <c r="AB102" s="3"/>
      <c r="AC102" s="3"/>
      <c r="AE102" s="22"/>
      <c r="AF102" s="3"/>
      <c r="AG102" s="3"/>
    </row>
    <row r="103" spans="1:33" s="4" customFormat="1" x14ac:dyDescent="0.3">
      <c r="A103" s="16"/>
      <c r="B103" s="22"/>
      <c r="C103" s="3"/>
      <c r="F103" s="3"/>
      <c r="I103" s="22"/>
      <c r="J103" s="3"/>
      <c r="M103" s="22"/>
      <c r="N103" s="22"/>
      <c r="O103" s="22"/>
      <c r="Q103" s="22"/>
      <c r="R103" s="22"/>
      <c r="S103" s="22"/>
      <c r="U103" s="22"/>
      <c r="V103" s="22"/>
      <c r="W103" s="22"/>
      <c r="Y103" s="3"/>
      <c r="Z103" s="3"/>
      <c r="AB103" s="3"/>
      <c r="AC103" s="3"/>
      <c r="AE103" s="22"/>
      <c r="AF103" s="3"/>
      <c r="AG103" s="3"/>
    </row>
    <row r="104" spans="1:33" s="4" customFormat="1" x14ac:dyDescent="0.3">
      <c r="A104" s="16"/>
      <c r="B104" s="22"/>
      <c r="I104" s="22"/>
      <c r="M104" s="22"/>
      <c r="N104" s="22"/>
      <c r="O104" s="22"/>
      <c r="Q104" s="22"/>
      <c r="R104" s="22"/>
      <c r="S104" s="22"/>
      <c r="U104" s="22"/>
      <c r="V104" s="22"/>
      <c r="W104" s="22"/>
      <c r="AE104" s="22"/>
    </row>
    <row r="105" spans="1:33" s="4" customFormat="1" x14ac:dyDescent="0.3">
      <c r="A105" s="16"/>
      <c r="B105" s="22"/>
      <c r="C105" s="3"/>
      <c r="F105" s="3"/>
      <c r="I105" s="22"/>
      <c r="J105" s="3"/>
      <c r="M105" s="22"/>
      <c r="N105" s="22"/>
      <c r="O105" s="22"/>
      <c r="Q105" s="22"/>
      <c r="R105" s="22"/>
      <c r="S105" s="22"/>
      <c r="U105" s="22"/>
      <c r="V105" s="22"/>
      <c r="W105" s="22"/>
      <c r="Y105" s="3"/>
      <c r="Z105" s="3"/>
      <c r="AB105" s="3"/>
      <c r="AC105" s="3"/>
      <c r="AE105" s="22"/>
      <c r="AF105" s="3"/>
      <c r="AG105" s="3"/>
    </row>
    <row r="106" spans="1:33" s="4" customFormat="1" x14ac:dyDescent="0.3">
      <c r="A106" s="16"/>
      <c r="B106" s="22"/>
      <c r="C106" s="3"/>
      <c r="F106" s="3"/>
      <c r="I106" s="22"/>
      <c r="J106" s="3"/>
      <c r="M106" s="22"/>
      <c r="N106" s="22"/>
      <c r="O106" s="22"/>
      <c r="Q106" s="22"/>
      <c r="R106" s="22"/>
      <c r="S106" s="22"/>
      <c r="U106" s="22"/>
      <c r="V106" s="22"/>
      <c r="W106" s="22"/>
      <c r="Y106" s="3"/>
      <c r="Z106" s="3"/>
      <c r="AB106" s="3"/>
      <c r="AC106" s="3"/>
      <c r="AE106" s="22"/>
      <c r="AF106" s="3"/>
      <c r="AG106" s="3"/>
    </row>
    <row r="107" spans="1:33" s="4" customFormat="1" x14ac:dyDescent="0.3">
      <c r="A107" s="16"/>
      <c r="B107" s="22"/>
      <c r="C107" s="3"/>
      <c r="F107" s="3"/>
      <c r="I107" s="22"/>
      <c r="J107" s="3"/>
      <c r="M107" s="22"/>
      <c r="N107" s="22"/>
      <c r="O107" s="22"/>
      <c r="Q107" s="22"/>
      <c r="R107" s="22"/>
      <c r="S107" s="22"/>
      <c r="U107" s="22"/>
      <c r="V107" s="22"/>
      <c r="W107" s="22"/>
      <c r="Y107" s="3"/>
      <c r="Z107" s="3"/>
      <c r="AB107" s="3"/>
      <c r="AC107" s="3"/>
      <c r="AE107" s="22"/>
      <c r="AF107" s="3"/>
      <c r="AG107" s="3"/>
    </row>
    <row r="108" spans="1:33" s="4" customFormat="1" x14ac:dyDescent="0.3">
      <c r="A108" s="16"/>
      <c r="B108" s="22"/>
      <c r="C108" s="3"/>
      <c r="F108" s="3"/>
      <c r="I108" s="22"/>
      <c r="J108" s="3"/>
      <c r="M108" s="22"/>
      <c r="N108" s="22"/>
      <c r="O108" s="22"/>
      <c r="Q108" s="22"/>
      <c r="R108" s="22"/>
      <c r="S108" s="22"/>
      <c r="U108" s="22"/>
      <c r="V108" s="22"/>
      <c r="W108" s="22"/>
      <c r="Y108" s="3"/>
      <c r="Z108" s="3"/>
      <c r="AB108" s="3"/>
      <c r="AC108" s="3"/>
      <c r="AE108" s="22"/>
      <c r="AF108" s="3"/>
      <c r="AG108" s="3"/>
    </row>
    <row r="109" spans="1:33" s="4" customFormat="1" x14ac:dyDescent="0.3">
      <c r="A109" s="16"/>
      <c r="B109" s="22"/>
      <c r="C109" s="3"/>
      <c r="F109" s="3"/>
      <c r="I109" s="22"/>
      <c r="J109" s="3"/>
      <c r="M109" s="22"/>
      <c r="N109" s="22"/>
      <c r="O109" s="22"/>
      <c r="Q109" s="22"/>
      <c r="R109" s="22"/>
      <c r="S109" s="22"/>
      <c r="U109" s="22"/>
      <c r="V109" s="22"/>
      <c r="W109" s="22"/>
      <c r="Y109" s="3"/>
      <c r="Z109" s="3"/>
      <c r="AB109" s="3"/>
      <c r="AC109" s="3"/>
      <c r="AE109" s="22"/>
      <c r="AF109" s="3"/>
      <c r="AG109" s="3"/>
    </row>
    <row r="110" spans="1:33" s="4" customFormat="1" x14ac:dyDescent="0.3">
      <c r="A110" s="16"/>
      <c r="B110" s="22"/>
      <c r="C110" s="3"/>
      <c r="F110" s="3"/>
      <c r="I110" s="22"/>
      <c r="J110" s="3"/>
      <c r="M110" s="22"/>
      <c r="N110" s="22"/>
      <c r="O110" s="22"/>
      <c r="Q110" s="22"/>
      <c r="R110" s="22"/>
      <c r="S110" s="22"/>
      <c r="U110" s="22"/>
      <c r="V110" s="22"/>
      <c r="W110" s="22"/>
      <c r="Y110" s="3"/>
      <c r="Z110" s="3"/>
      <c r="AB110" s="3"/>
      <c r="AC110" s="3"/>
      <c r="AE110" s="22"/>
      <c r="AF110" s="3"/>
      <c r="AG110" s="3"/>
    </row>
    <row r="111" spans="1:33" s="4" customFormat="1" x14ac:dyDescent="0.3">
      <c r="A111" s="16"/>
      <c r="B111" s="22"/>
      <c r="C111" s="3"/>
      <c r="F111" s="3"/>
      <c r="I111" s="22"/>
      <c r="J111" s="3"/>
      <c r="M111" s="22"/>
      <c r="N111" s="22"/>
      <c r="O111" s="22"/>
      <c r="Q111" s="22"/>
      <c r="R111" s="22"/>
      <c r="S111" s="22"/>
      <c r="U111" s="22"/>
      <c r="V111" s="22"/>
      <c r="W111" s="22"/>
      <c r="Y111" s="3"/>
      <c r="Z111" s="3"/>
      <c r="AB111" s="3"/>
      <c r="AC111" s="3"/>
      <c r="AE111" s="22"/>
      <c r="AF111" s="3"/>
      <c r="AG111" s="3"/>
    </row>
    <row r="112" spans="1:33" s="4" customFormat="1" x14ac:dyDescent="0.3">
      <c r="A112" s="16"/>
      <c r="B112" s="22"/>
      <c r="C112" s="3"/>
      <c r="F112" s="3"/>
      <c r="I112" s="22"/>
      <c r="J112" s="3"/>
      <c r="M112" s="22"/>
      <c r="N112" s="22"/>
      <c r="O112" s="22"/>
      <c r="Q112" s="22"/>
      <c r="R112" s="22"/>
      <c r="S112" s="22"/>
      <c r="U112" s="22"/>
      <c r="V112" s="22"/>
      <c r="W112" s="22"/>
      <c r="Y112" s="3"/>
      <c r="Z112" s="3"/>
      <c r="AB112" s="3"/>
      <c r="AC112" s="3"/>
      <c r="AE112" s="22"/>
      <c r="AF112" s="3"/>
      <c r="AG112" s="3"/>
    </row>
    <row r="113" spans="1:33" s="4" customFormat="1" x14ac:dyDescent="0.3">
      <c r="A113" s="16"/>
      <c r="B113" s="22"/>
      <c r="C113" s="3"/>
      <c r="F113" s="3"/>
      <c r="I113" s="22"/>
      <c r="J113" s="3"/>
      <c r="M113" s="22"/>
      <c r="N113" s="22"/>
      <c r="O113" s="22"/>
      <c r="Q113" s="22"/>
      <c r="R113" s="22"/>
      <c r="S113" s="22"/>
      <c r="U113" s="22"/>
      <c r="V113" s="22"/>
      <c r="W113" s="22"/>
      <c r="Y113" s="3"/>
      <c r="Z113" s="3"/>
      <c r="AB113" s="3"/>
      <c r="AC113" s="3"/>
      <c r="AE113" s="22"/>
      <c r="AF113" s="3"/>
      <c r="AG113" s="3"/>
    </row>
    <row r="114" spans="1:33" s="4" customFormat="1" x14ac:dyDescent="0.3">
      <c r="A114" s="16"/>
      <c r="B114" s="22"/>
      <c r="C114" s="3"/>
      <c r="F114" s="3"/>
      <c r="I114" s="22"/>
      <c r="J114" s="3"/>
      <c r="M114" s="22"/>
      <c r="N114" s="22"/>
      <c r="O114" s="22"/>
      <c r="Q114" s="22"/>
      <c r="R114" s="22"/>
      <c r="S114" s="22"/>
      <c r="U114" s="22"/>
      <c r="V114" s="22"/>
      <c r="W114" s="22"/>
      <c r="Y114" s="3"/>
      <c r="Z114" s="3"/>
      <c r="AB114" s="3"/>
      <c r="AC114" s="3"/>
      <c r="AE114" s="22"/>
      <c r="AF114" s="3"/>
      <c r="AG114" s="3"/>
    </row>
    <row r="115" spans="1:33" s="4" customFormat="1" x14ac:dyDescent="0.3">
      <c r="A115" s="16"/>
      <c r="B115" s="22"/>
      <c r="C115" s="3"/>
      <c r="F115" s="3"/>
      <c r="I115" s="22"/>
      <c r="J115" s="3"/>
      <c r="M115" s="22"/>
      <c r="N115" s="22"/>
      <c r="O115" s="22"/>
      <c r="Q115" s="22"/>
      <c r="R115" s="22"/>
      <c r="S115" s="22"/>
      <c r="U115" s="22"/>
      <c r="V115" s="22"/>
      <c r="W115" s="22"/>
      <c r="Y115" s="3"/>
      <c r="Z115" s="3"/>
      <c r="AB115" s="3"/>
      <c r="AC115" s="3"/>
      <c r="AE115" s="22"/>
      <c r="AF115" s="3"/>
      <c r="AG115" s="3"/>
    </row>
    <row r="116" spans="1:33" s="4" customFormat="1" x14ac:dyDescent="0.3">
      <c r="A116" s="16"/>
      <c r="B116" s="22"/>
      <c r="C116" s="3"/>
      <c r="F116" s="3"/>
      <c r="I116" s="22"/>
      <c r="J116" s="3"/>
      <c r="M116" s="22"/>
      <c r="N116" s="22"/>
      <c r="O116" s="22"/>
      <c r="Q116" s="22"/>
      <c r="R116" s="22"/>
      <c r="S116" s="22"/>
      <c r="U116" s="22"/>
      <c r="V116" s="22"/>
      <c r="W116" s="22"/>
      <c r="Y116" s="3"/>
      <c r="Z116" s="3"/>
      <c r="AB116" s="3"/>
      <c r="AC116" s="3"/>
      <c r="AE116" s="22"/>
      <c r="AF116" s="3"/>
      <c r="AG116" s="3"/>
    </row>
    <row r="117" spans="1:33" s="4" customFormat="1" x14ac:dyDescent="0.3">
      <c r="A117" s="16"/>
      <c r="B117" s="22"/>
      <c r="C117" s="3"/>
      <c r="F117" s="3"/>
      <c r="I117" s="22"/>
      <c r="J117" s="3"/>
      <c r="M117" s="22"/>
      <c r="N117" s="22"/>
      <c r="O117" s="22"/>
      <c r="Q117" s="22"/>
      <c r="R117" s="22"/>
      <c r="S117" s="22"/>
      <c r="U117" s="22"/>
      <c r="V117" s="22"/>
      <c r="W117" s="22"/>
      <c r="Y117" s="3"/>
      <c r="Z117" s="3"/>
      <c r="AB117" s="3"/>
      <c r="AC117" s="3"/>
      <c r="AE117" s="22"/>
      <c r="AF117" s="3"/>
      <c r="AG117" s="3"/>
    </row>
    <row r="118" spans="1:33" s="4" customFormat="1" x14ac:dyDescent="0.3">
      <c r="A118" s="16"/>
      <c r="B118" s="22"/>
      <c r="C118" s="3"/>
      <c r="F118" s="3"/>
      <c r="I118" s="22"/>
      <c r="J118" s="3"/>
      <c r="M118" s="22"/>
      <c r="N118" s="22"/>
      <c r="O118" s="22"/>
      <c r="Q118" s="22"/>
      <c r="R118" s="22"/>
      <c r="S118" s="22"/>
      <c r="U118" s="22"/>
      <c r="V118" s="22"/>
      <c r="W118" s="22"/>
      <c r="Y118" s="3"/>
      <c r="Z118" s="3"/>
      <c r="AB118" s="3"/>
      <c r="AC118" s="3"/>
      <c r="AE118" s="22"/>
      <c r="AF118" s="3"/>
      <c r="AG118" s="3"/>
    </row>
    <row r="119" spans="1:33" s="4" customFormat="1" x14ac:dyDescent="0.3">
      <c r="A119" s="16"/>
      <c r="B119" s="22"/>
      <c r="C119" s="3"/>
      <c r="F119" s="3"/>
      <c r="I119" s="22"/>
      <c r="J119" s="3"/>
      <c r="M119" s="22"/>
      <c r="N119" s="22"/>
      <c r="O119" s="22"/>
      <c r="Q119" s="22"/>
      <c r="R119" s="22"/>
      <c r="S119" s="22"/>
      <c r="U119" s="22"/>
      <c r="V119" s="22"/>
      <c r="W119" s="22"/>
      <c r="Y119" s="3"/>
      <c r="Z119" s="3"/>
      <c r="AB119" s="3"/>
      <c r="AC119" s="3"/>
      <c r="AE119" s="22"/>
      <c r="AF119" s="3"/>
      <c r="AG119" s="3"/>
    </row>
    <row r="120" spans="1:33" s="4" customFormat="1" x14ac:dyDescent="0.3">
      <c r="A120" s="16"/>
      <c r="B120" s="22"/>
      <c r="C120" s="3"/>
      <c r="F120" s="3"/>
      <c r="I120" s="22"/>
      <c r="J120" s="3"/>
      <c r="M120" s="22"/>
      <c r="N120" s="22"/>
      <c r="O120" s="22"/>
      <c r="Q120" s="22"/>
      <c r="R120" s="22"/>
      <c r="S120" s="22"/>
      <c r="U120" s="22"/>
      <c r="V120" s="22"/>
      <c r="W120" s="22"/>
      <c r="Y120" s="3"/>
      <c r="Z120" s="3"/>
      <c r="AB120" s="3"/>
      <c r="AC120" s="3"/>
      <c r="AE120" s="22"/>
      <c r="AF120" s="3"/>
      <c r="AG120" s="3"/>
    </row>
    <row r="121" spans="1:33" s="4" customFormat="1" x14ac:dyDescent="0.3">
      <c r="A121" s="16"/>
      <c r="B121" s="22"/>
      <c r="C121" s="3"/>
      <c r="F121" s="3"/>
      <c r="I121" s="22"/>
      <c r="J121" s="3"/>
      <c r="M121" s="22"/>
      <c r="N121" s="22"/>
      <c r="O121" s="22"/>
      <c r="Q121" s="22"/>
      <c r="R121" s="22"/>
      <c r="S121" s="22"/>
      <c r="U121" s="22"/>
      <c r="V121" s="22"/>
      <c r="W121" s="22"/>
      <c r="Y121" s="3"/>
      <c r="Z121" s="3"/>
      <c r="AB121" s="3"/>
      <c r="AC121" s="3"/>
      <c r="AE121" s="22"/>
      <c r="AF121" s="3"/>
      <c r="AG121" s="3"/>
    </row>
    <row r="122" spans="1:33" s="4" customFormat="1" x14ac:dyDescent="0.3">
      <c r="A122" s="16"/>
      <c r="B122" s="22"/>
      <c r="C122" s="3"/>
      <c r="F122" s="3"/>
      <c r="I122" s="22"/>
      <c r="J122" s="3"/>
      <c r="M122" s="22"/>
      <c r="N122" s="22"/>
      <c r="O122" s="22"/>
      <c r="Q122" s="22"/>
      <c r="R122" s="22"/>
      <c r="S122" s="22"/>
      <c r="U122" s="22"/>
      <c r="V122" s="22"/>
      <c r="W122" s="22"/>
      <c r="Y122" s="3"/>
      <c r="Z122" s="3"/>
      <c r="AB122" s="3"/>
      <c r="AC122" s="3"/>
      <c r="AE122" s="22"/>
      <c r="AF122" s="3"/>
      <c r="AG122" s="3"/>
    </row>
    <row r="123" spans="1:33" s="4" customFormat="1" x14ac:dyDescent="0.3">
      <c r="A123" s="16"/>
      <c r="B123" s="22"/>
      <c r="C123" s="3"/>
      <c r="F123" s="3"/>
      <c r="I123" s="22"/>
      <c r="J123" s="3"/>
      <c r="M123" s="22"/>
      <c r="N123" s="22"/>
      <c r="O123" s="22"/>
      <c r="Q123" s="22"/>
      <c r="R123" s="22"/>
      <c r="S123" s="22"/>
      <c r="U123" s="22"/>
      <c r="V123" s="22"/>
      <c r="W123" s="22"/>
      <c r="Y123" s="3"/>
      <c r="Z123" s="3"/>
      <c r="AB123" s="3"/>
      <c r="AC123" s="3"/>
      <c r="AE123" s="22"/>
      <c r="AF123" s="3"/>
      <c r="AG123" s="3"/>
    </row>
    <row r="124" spans="1:33" s="4" customFormat="1" x14ac:dyDescent="0.3">
      <c r="A124" s="16"/>
      <c r="B124" s="22"/>
      <c r="C124" s="3"/>
      <c r="F124" s="3"/>
      <c r="I124" s="22"/>
      <c r="J124" s="3"/>
      <c r="M124" s="22"/>
      <c r="N124" s="22"/>
      <c r="O124" s="22"/>
      <c r="Q124" s="22"/>
      <c r="R124" s="22"/>
      <c r="S124" s="22"/>
      <c r="U124" s="22"/>
      <c r="V124" s="22"/>
      <c r="W124" s="22"/>
      <c r="Y124" s="3"/>
      <c r="Z124" s="3"/>
      <c r="AB124" s="3"/>
      <c r="AC124" s="3"/>
      <c r="AE124" s="22"/>
      <c r="AF124" s="3"/>
      <c r="AG124" s="3"/>
    </row>
    <row r="125" spans="1:33" s="4" customFormat="1" x14ac:dyDescent="0.3">
      <c r="A125" s="16"/>
      <c r="B125" s="22"/>
      <c r="C125" s="3"/>
      <c r="F125" s="3"/>
      <c r="I125" s="22"/>
      <c r="J125" s="3"/>
      <c r="M125" s="22"/>
      <c r="N125" s="22"/>
      <c r="O125" s="22"/>
      <c r="Q125" s="22"/>
      <c r="R125" s="22"/>
      <c r="S125" s="22"/>
      <c r="U125" s="22"/>
      <c r="V125" s="22"/>
      <c r="W125" s="22"/>
      <c r="Y125" s="3"/>
      <c r="Z125" s="3"/>
      <c r="AB125" s="3"/>
      <c r="AC125" s="3"/>
      <c r="AE125" s="22"/>
      <c r="AF125" s="3"/>
      <c r="AG125" s="3"/>
    </row>
    <row r="126" spans="1:33" s="4" customFormat="1" x14ac:dyDescent="0.3">
      <c r="A126" s="16"/>
      <c r="B126" s="22"/>
      <c r="C126" s="3"/>
      <c r="F126" s="3"/>
      <c r="I126" s="22"/>
      <c r="J126" s="3"/>
      <c r="M126" s="22"/>
      <c r="N126" s="22"/>
      <c r="O126" s="22"/>
      <c r="Q126" s="22"/>
      <c r="R126" s="22"/>
      <c r="S126" s="22"/>
      <c r="U126" s="22"/>
      <c r="V126" s="22"/>
      <c r="W126" s="22"/>
      <c r="Y126" s="3"/>
      <c r="Z126" s="3"/>
      <c r="AB126" s="3"/>
      <c r="AC126" s="3"/>
      <c r="AE126" s="22"/>
      <c r="AF126" s="3"/>
      <c r="AG126" s="3"/>
    </row>
    <row r="127" spans="1:33" s="4" customFormat="1" x14ac:dyDescent="0.3">
      <c r="A127" s="16"/>
      <c r="B127" s="22"/>
      <c r="C127" s="3"/>
      <c r="F127" s="3"/>
      <c r="I127" s="22"/>
      <c r="J127" s="3"/>
      <c r="M127" s="22"/>
      <c r="N127" s="22"/>
      <c r="O127" s="22"/>
      <c r="Q127" s="22"/>
      <c r="R127" s="22"/>
      <c r="S127" s="22"/>
      <c r="U127" s="22"/>
      <c r="V127" s="22"/>
      <c r="W127" s="22"/>
      <c r="Y127" s="3"/>
      <c r="Z127" s="3"/>
      <c r="AB127" s="3"/>
      <c r="AC127" s="3"/>
      <c r="AE127" s="22"/>
      <c r="AF127" s="3"/>
      <c r="AG127" s="3"/>
    </row>
    <row r="128" spans="1:33" s="4" customFormat="1" x14ac:dyDescent="0.3">
      <c r="A128" s="16"/>
      <c r="B128" s="22"/>
      <c r="C128" s="3"/>
      <c r="F128" s="3"/>
      <c r="I128" s="22"/>
      <c r="J128" s="3"/>
      <c r="M128" s="22"/>
      <c r="N128" s="22"/>
      <c r="O128" s="22"/>
      <c r="Q128" s="22"/>
      <c r="R128" s="22"/>
      <c r="S128" s="22"/>
      <c r="U128" s="22"/>
      <c r="V128" s="22"/>
      <c r="W128" s="22"/>
      <c r="Y128" s="3"/>
      <c r="Z128" s="3"/>
      <c r="AB128" s="3"/>
      <c r="AC128" s="3"/>
      <c r="AE128" s="22"/>
      <c r="AF128" s="3"/>
      <c r="AG128" s="3"/>
    </row>
    <row r="129" spans="1:33" s="4" customFormat="1" x14ac:dyDescent="0.3">
      <c r="A129" s="16"/>
      <c r="B129" s="22"/>
      <c r="C129" s="3"/>
      <c r="F129" s="3"/>
      <c r="I129" s="22"/>
      <c r="J129" s="3"/>
      <c r="M129" s="22"/>
      <c r="N129" s="22"/>
      <c r="O129" s="22"/>
      <c r="Q129" s="22"/>
      <c r="R129" s="22"/>
      <c r="S129" s="22"/>
      <c r="U129" s="22"/>
      <c r="V129" s="22"/>
      <c r="W129" s="22"/>
      <c r="Y129" s="3"/>
      <c r="Z129" s="3"/>
      <c r="AB129" s="3"/>
      <c r="AC129" s="3"/>
      <c r="AE129" s="22"/>
      <c r="AF129" s="3"/>
      <c r="AG129" s="3"/>
    </row>
    <row r="130" spans="1:33" s="4" customFormat="1" x14ac:dyDescent="0.3">
      <c r="A130" s="16"/>
      <c r="B130" s="22"/>
      <c r="C130" s="3"/>
      <c r="F130" s="3"/>
      <c r="I130" s="22"/>
      <c r="J130" s="3"/>
      <c r="M130" s="22"/>
      <c r="N130" s="22"/>
      <c r="O130" s="22"/>
      <c r="Q130" s="22"/>
      <c r="R130" s="22"/>
      <c r="S130" s="22"/>
      <c r="U130" s="22"/>
      <c r="V130" s="22"/>
      <c r="W130" s="22"/>
      <c r="Y130" s="3"/>
      <c r="Z130" s="3"/>
      <c r="AB130" s="3"/>
      <c r="AC130" s="3"/>
      <c r="AE130" s="22"/>
      <c r="AF130" s="3"/>
      <c r="AG130" s="3"/>
    </row>
    <row r="131" spans="1:33" s="4" customFormat="1" x14ac:dyDescent="0.3">
      <c r="A131" s="16"/>
      <c r="B131" s="22"/>
      <c r="C131" s="3"/>
      <c r="F131" s="3"/>
      <c r="I131" s="22"/>
      <c r="J131" s="3"/>
      <c r="M131" s="22"/>
      <c r="N131" s="22"/>
      <c r="O131" s="22"/>
      <c r="Q131" s="22"/>
      <c r="R131" s="22"/>
      <c r="S131" s="22"/>
      <c r="U131" s="22"/>
      <c r="V131" s="22"/>
      <c r="W131" s="22"/>
      <c r="Y131" s="3"/>
      <c r="Z131" s="3"/>
      <c r="AB131" s="3"/>
      <c r="AC131" s="3"/>
      <c r="AE131" s="22"/>
      <c r="AF131" s="3"/>
      <c r="AG131" s="3"/>
    </row>
    <row r="132" spans="1:33" s="4" customFormat="1" x14ac:dyDescent="0.3">
      <c r="A132" s="16"/>
      <c r="B132" s="22"/>
      <c r="C132" s="3"/>
      <c r="F132" s="3"/>
      <c r="I132" s="22"/>
      <c r="J132" s="3"/>
      <c r="M132" s="22"/>
      <c r="N132" s="22"/>
      <c r="O132" s="22"/>
      <c r="Q132" s="22"/>
      <c r="R132" s="22"/>
      <c r="S132" s="22"/>
      <c r="U132" s="22"/>
      <c r="V132" s="22"/>
      <c r="W132" s="22"/>
      <c r="Y132" s="3"/>
      <c r="Z132" s="3"/>
      <c r="AB132" s="3"/>
      <c r="AC132" s="3"/>
      <c r="AE132" s="22"/>
      <c r="AF132" s="3"/>
      <c r="AG132" s="3"/>
    </row>
    <row r="133" spans="1:33" s="4" customFormat="1" x14ac:dyDescent="0.3">
      <c r="A133" s="16"/>
      <c r="B133" s="22"/>
      <c r="C133" s="3"/>
      <c r="F133" s="3"/>
      <c r="I133" s="22"/>
      <c r="J133" s="3"/>
      <c r="M133" s="22"/>
      <c r="N133" s="22"/>
      <c r="O133" s="22"/>
      <c r="Q133" s="22"/>
      <c r="R133" s="22"/>
      <c r="S133" s="22"/>
      <c r="U133" s="22"/>
      <c r="V133" s="22"/>
      <c r="W133" s="22"/>
      <c r="Y133" s="3"/>
      <c r="Z133" s="3"/>
      <c r="AB133" s="3"/>
      <c r="AC133" s="3"/>
      <c r="AE133" s="22"/>
      <c r="AF133" s="3"/>
      <c r="AG133" s="3"/>
    </row>
    <row r="134" spans="1:33" s="4" customFormat="1" x14ac:dyDescent="0.3">
      <c r="A134" s="16"/>
      <c r="B134" s="22"/>
      <c r="C134" s="3"/>
      <c r="F134" s="3"/>
      <c r="I134" s="22"/>
      <c r="J134" s="3"/>
      <c r="M134" s="22"/>
      <c r="N134" s="22"/>
      <c r="O134" s="22"/>
      <c r="Q134" s="22"/>
      <c r="R134" s="22"/>
      <c r="S134" s="22"/>
      <c r="U134" s="22"/>
      <c r="V134" s="22"/>
      <c r="W134" s="22"/>
      <c r="Y134" s="3"/>
      <c r="Z134" s="3"/>
      <c r="AB134" s="3"/>
      <c r="AC134" s="3"/>
      <c r="AE134" s="22"/>
      <c r="AF134" s="3"/>
      <c r="AG134" s="3"/>
    </row>
    <row r="135" spans="1:33" s="4" customFormat="1" x14ac:dyDescent="0.3">
      <c r="A135" s="16"/>
      <c r="B135" s="22"/>
      <c r="C135" s="3"/>
      <c r="F135" s="3"/>
      <c r="I135" s="22"/>
      <c r="J135" s="3"/>
      <c r="M135" s="22"/>
      <c r="N135" s="22"/>
      <c r="O135" s="22"/>
      <c r="Q135" s="22"/>
      <c r="R135" s="22"/>
      <c r="S135" s="22"/>
      <c r="U135" s="22"/>
      <c r="V135" s="22"/>
      <c r="W135" s="22"/>
      <c r="Y135" s="3"/>
      <c r="Z135" s="3"/>
      <c r="AB135" s="3"/>
      <c r="AC135" s="3"/>
      <c r="AE135" s="22"/>
      <c r="AF135" s="3"/>
      <c r="AG135" s="3"/>
    </row>
    <row r="136" spans="1:33" s="4" customFormat="1" x14ac:dyDescent="0.3">
      <c r="A136" s="16"/>
      <c r="B136" s="22"/>
      <c r="C136" s="3"/>
      <c r="F136" s="3"/>
      <c r="I136" s="22"/>
      <c r="J136" s="3"/>
      <c r="M136" s="22"/>
      <c r="N136" s="22"/>
      <c r="O136" s="22"/>
      <c r="Q136" s="22"/>
      <c r="R136" s="22"/>
      <c r="S136" s="22"/>
      <c r="U136" s="22"/>
      <c r="V136" s="22"/>
      <c r="W136" s="22"/>
      <c r="Y136" s="3"/>
      <c r="Z136" s="3"/>
      <c r="AB136" s="3"/>
      <c r="AC136" s="3"/>
      <c r="AE136" s="22"/>
      <c r="AF136" s="3"/>
      <c r="AG136" s="3"/>
    </row>
    <row r="137" spans="1:33" s="4" customFormat="1" x14ac:dyDescent="0.3">
      <c r="A137" s="16"/>
      <c r="B137" s="22"/>
      <c r="C137" s="3"/>
      <c r="F137" s="3"/>
      <c r="I137" s="22"/>
      <c r="J137" s="3"/>
      <c r="M137" s="22"/>
      <c r="N137" s="22"/>
      <c r="O137" s="22"/>
      <c r="Q137" s="22"/>
      <c r="R137" s="22"/>
      <c r="S137" s="22"/>
      <c r="U137" s="22"/>
      <c r="V137" s="22"/>
      <c r="W137" s="22"/>
      <c r="Y137" s="3"/>
      <c r="Z137" s="3"/>
      <c r="AB137" s="3"/>
      <c r="AC137" s="3"/>
      <c r="AE137" s="22"/>
      <c r="AF137" s="3"/>
      <c r="AG137" s="3"/>
    </row>
    <row r="138" spans="1:33" s="4" customFormat="1" x14ac:dyDescent="0.3">
      <c r="A138" s="16"/>
      <c r="B138" s="22"/>
      <c r="C138" s="3"/>
      <c r="F138" s="3"/>
      <c r="I138" s="22"/>
      <c r="J138" s="3"/>
      <c r="M138" s="22"/>
      <c r="N138" s="22"/>
      <c r="O138" s="22"/>
      <c r="Q138" s="22"/>
      <c r="R138" s="22"/>
      <c r="S138" s="22"/>
      <c r="U138" s="22"/>
      <c r="V138" s="22"/>
      <c r="W138" s="22"/>
      <c r="Y138" s="3"/>
      <c r="Z138" s="3"/>
      <c r="AB138" s="3"/>
      <c r="AC138" s="3"/>
      <c r="AE138" s="22"/>
      <c r="AF138" s="3"/>
      <c r="AG138" s="3"/>
    </row>
    <row r="139" spans="1:33" s="4" customFormat="1" x14ac:dyDescent="0.3">
      <c r="A139" s="16"/>
      <c r="B139" s="22"/>
      <c r="C139" s="3"/>
      <c r="F139" s="3"/>
      <c r="I139" s="22"/>
      <c r="J139" s="3"/>
      <c r="M139" s="22"/>
      <c r="N139" s="22"/>
      <c r="O139" s="22"/>
      <c r="Q139" s="22"/>
      <c r="R139" s="22"/>
      <c r="S139" s="22"/>
      <c r="U139" s="22"/>
      <c r="V139" s="22"/>
      <c r="W139" s="22"/>
      <c r="Y139" s="3"/>
      <c r="Z139" s="3"/>
      <c r="AB139" s="3"/>
      <c r="AC139" s="3"/>
      <c r="AE139" s="22"/>
      <c r="AF139" s="3"/>
      <c r="AG139" s="3"/>
    </row>
    <row r="140" spans="1:33" s="4" customFormat="1" x14ac:dyDescent="0.3">
      <c r="A140" s="16"/>
      <c r="B140" s="22"/>
      <c r="C140" s="3"/>
      <c r="F140" s="3"/>
      <c r="I140" s="22"/>
      <c r="J140" s="3"/>
      <c r="M140" s="22"/>
      <c r="N140" s="22"/>
      <c r="O140" s="22"/>
      <c r="Q140" s="22"/>
      <c r="R140" s="22"/>
      <c r="S140" s="22"/>
      <c r="U140" s="22"/>
      <c r="V140" s="22"/>
      <c r="W140" s="22"/>
      <c r="Y140" s="3"/>
      <c r="Z140" s="3"/>
      <c r="AB140" s="3"/>
      <c r="AC140" s="3"/>
      <c r="AE140" s="22"/>
      <c r="AF140" s="3"/>
      <c r="AG140" s="3"/>
    </row>
    <row r="141" spans="1:33" s="4" customFormat="1" x14ac:dyDescent="0.3">
      <c r="A141" s="16"/>
      <c r="B141" s="22"/>
      <c r="C141" s="3"/>
      <c r="F141" s="3"/>
      <c r="I141" s="22"/>
      <c r="J141" s="3"/>
      <c r="M141" s="22"/>
      <c r="N141" s="22"/>
      <c r="O141" s="22"/>
      <c r="Q141" s="22"/>
      <c r="R141" s="22"/>
      <c r="S141" s="22"/>
      <c r="U141" s="22"/>
      <c r="V141" s="22"/>
      <c r="W141" s="22"/>
      <c r="Y141" s="3"/>
      <c r="Z141" s="3"/>
      <c r="AB141" s="3"/>
      <c r="AC141" s="3"/>
      <c r="AE141" s="22"/>
      <c r="AF141" s="3"/>
      <c r="AG141" s="3"/>
    </row>
    <row r="142" spans="1:33" s="4" customFormat="1" x14ac:dyDescent="0.3">
      <c r="A142" s="16"/>
      <c r="B142" s="22"/>
      <c r="C142" s="3"/>
      <c r="F142" s="3"/>
      <c r="I142" s="22"/>
      <c r="J142" s="3"/>
      <c r="M142" s="22"/>
      <c r="N142" s="22"/>
      <c r="O142" s="22"/>
      <c r="Q142" s="22"/>
      <c r="R142" s="22"/>
      <c r="S142" s="22"/>
      <c r="U142" s="22"/>
      <c r="V142" s="22"/>
      <c r="W142" s="22"/>
      <c r="Y142" s="3"/>
      <c r="Z142" s="3"/>
      <c r="AB142" s="3"/>
      <c r="AC142" s="3"/>
      <c r="AE142" s="22"/>
      <c r="AF142" s="3"/>
      <c r="AG142" s="3"/>
    </row>
    <row r="143" spans="1:33" s="4" customFormat="1" x14ac:dyDescent="0.3">
      <c r="A143" s="16"/>
      <c r="B143" s="22"/>
      <c r="C143" s="3"/>
      <c r="F143" s="3"/>
      <c r="I143" s="22"/>
      <c r="J143" s="3"/>
      <c r="M143" s="22"/>
      <c r="N143" s="22"/>
      <c r="O143" s="22"/>
      <c r="Q143" s="22"/>
      <c r="R143" s="22"/>
      <c r="S143" s="22"/>
      <c r="U143" s="22"/>
      <c r="V143" s="22"/>
      <c r="W143" s="22"/>
      <c r="Y143" s="3"/>
      <c r="Z143" s="3"/>
      <c r="AB143" s="3"/>
      <c r="AC143" s="3"/>
      <c r="AE143" s="22"/>
      <c r="AF143" s="3"/>
      <c r="AG143" s="3"/>
    </row>
    <row r="144" spans="1:33" s="4" customFormat="1" x14ac:dyDescent="0.3">
      <c r="A144" s="16"/>
      <c r="B144" s="22"/>
      <c r="C144" s="3"/>
      <c r="F144" s="3"/>
      <c r="I144" s="22"/>
      <c r="J144" s="3"/>
      <c r="M144" s="22"/>
      <c r="N144" s="22"/>
      <c r="O144" s="22"/>
      <c r="Q144" s="22"/>
      <c r="R144" s="22"/>
      <c r="S144" s="22"/>
      <c r="U144" s="22"/>
      <c r="V144" s="22"/>
      <c r="W144" s="22"/>
      <c r="Y144" s="3"/>
      <c r="Z144" s="3"/>
      <c r="AB144" s="3"/>
      <c r="AC144" s="3"/>
      <c r="AE144" s="22"/>
      <c r="AF144" s="3"/>
      <c r="AG144" s="3"/>
    </row>
    <row r="145" spans="1:33" s="4" customFormat="1" x14ac:dyDescent="0.3">
      <c r="A145" s="16"/>
      <c r="B145" s="22"/>
      <c r="C145" s="3"/>
      <c r="F145" s="3"/>
      <c r="I145" s="22"/>
      <c r="J145" s="3"/>
      <c r="M145" s="22"/>
      <c r="N145" s="22"/>
      <c r="O145" s="22"/>
      <c r="Q145" s="22"/>
      <c r="R145" s="22"/>
      <c r="S145" s="22"/>
      <c r="U145" s="22"/>
      <c r="V145" s="22"/>
      <c r="W145" s="22"/>
      <c r="Y145" s="3"/>
      <c r="Z145" s="3"/>
      <c r="AB145" s="3"/>
      <c r="AC145" s="3"/>
      <c r="AE145" s="22"/>
      <c r="AF145" s="3"/>
      <c r="AG145" s="3"/>
    </row>
    <row r="146" spans="1:33" s="4" customFormat="1" x14ac:dyDescent="0.3">
      <c r="A146" s="16"/>
      <c r="B146" s="22"/>
      <c r="C146" s="3"/>
      <c r="F146" s="3"/>
      <c r="I146" s="22"/>
      <c r="J146" s="3"/>
      <c r="M146" s="22"/>
      <c r="N146" s="22"/>
      <c r="O146" s="22"/>
      <c r="Q146" s="22"/>
      <c r="R146" s="22"/>
      <c r="S146" s="22"/>
      <c r="U146" s="22"/>
      <c r="V146" s="22"/>
      <c r="W146" s="22"/>
      <c r="Y146" s="3"/>
      <c r="Z146" s="3"/>
      <c r="AB146" s="3"/>
      <c r="AC146" s="3"/>
      <c r="AE146" s="22"/>
      <c r="AF146" s="3"/>
      <c r="AG146" s="3"/>
    </row>
    <row r="147" spans="1:33" s="4" customFormat="1" x14ac:dyDescent="0.3">
      <c r="A147" s="16"/>
      <c r="B147" s="22"/>
      <c r="C147" s="3"/>
      <c r="F147" s="3"/>
      <c r="I147" s="22"/>
      <c r="J147" s="3"/>
      <c r="M147" s="22"/>
      <c r="N147" s="22"/>
      <c r="O147" s="22"/>
      <c r="Q147" s="22"/>
      <c r="R147" s="22"/>
      <c r="S147" s="22"/>
      <c r="U147" s="22"/>
      <c r="V147" s="22"/>
      <c r="W147" s="22"/>
      <c r="Y147" s="3"/>
      <c r="Z147" s="3"/>
      <c r="AB147" s="3"/>
      <c r="AC147" s="3"/>
      <c r="AE147" s="22"/>
      <c r="AF147" s="3"/>
      <c r="AG147" s="3"/>
    </row>
    <row r="148" spans="1:33" s="4" customFormat="1" x14ac:dyDescent="0.3">
      <c r="A148" s="16"/>
      <c r="B148" s="22"/>
      <c r="C148" s="3"/>
      <c r="F148" s="3"/>
      <c r="I148" s="22"/>
      <c r="J148" s="3"/>
      <c r="M148" s="22"/>
      <c r="N148" s="22"/>
      <c r="O148" s="22"/>
      <c r="Q148" s="22"/>
      <c r="R148" s="22"/>
      <c r="S148" s="22"/>
      <c r="U148" s="22"/>
      <c r="V148" s="22"/>
      <c r="W148" s="22"/>
      <c r="Y148" s="3"/>
      <c r="Z148" s="3"/>
      <c r="AB148" s="3"/>
      <c r="AC148" s="3"/>
      <c r="AE148" s="22"/>
      <c r="AF148" s="3"/>
      <c r="AG148" s="3"/>
    </row>
    <row r="149" spans="1:33" s="4" customFormat="1" x14ac:dyDescent="0.3">
      <c r="A149" s="16"/>
      <c r="B149" s="22"/>
      <c r="C149" s="3"/>
      <c r="F149" s="3"/>
      <c r="I149" s="22"/>
      <c r="J149" s="3"/>
      <c r="M149" s="22"/>
      <c r="N149" s="22"/>
      <c r="O149" s="22"/>
      <c r="Q149" s="22"/>
      <c r="R149" s="22"/>
      <c r="S149" s="22"/>
      <c r="U149" s="22"/>
      <c r="V149" s="22"/>
      <c r="W149" s="22"/>
      <c r="Y149" s="3"/>
      <c r="Z149" s="3"/>
      <c r="AB149" s="3"/>
      <c r="AC149" s="3"/>
      <c r="AE149" s="22"/>
      <c r="AF149" s="3"/>
      <c r="AG149" s="3"/>
    </row>
    <row r="150" spans="1:33" s="4" customFormat="1" x14ac:dyDescent="0.3">
      <c r="A150" s="16"/>
      <c r="B150" s="22"/>
      <c r="C150" s="3"/>
      <c r="F150" s="3"/>
      <c r="I150" s="22"/>
      <c r="J150" s="3"/>
      <c r="M150" s="22"/>
      <c r="N150" s="22"/>
      <c r="O150" s="22"/>
      <c r="Q150" s="22"/>
      <c r="R150" s="22"/>
      <c r="S150" s="22"/>
      <c r="U150" s="22"/>
      <c r="V150" s="22"/>
      <c r="W150" s="22"/>
      <c r="Y150" s="3"/>
      <c r="Z150" s="3"/>
      <c r="AB150" s="3"/>
      <c r="AC150" s="3"/>
      <c r="AE150" s="22"/>
      <c r="AF150" s="3"/>
      <c r="AG150" s="3"/>
    </row>
    <row r="151" spans="1:33" s="4" customFormat="1" x14ac:dyDescent="0.3">
      <c r="A151" s="16"/>
      <c r="B151" s="22"/>
      <c r="C151" s="3"/>
      <c r="F151" s="3"/>
      <c r="I151" s="22"/>
      <c r="J151" s="3"/>
      <c r="M151" s="22"/>
      <c r="N151" s="22"/>
      <c r="O151" s="22"/>
      <c r="Q151" s="22"/>
      <c r="R151" s="22"/>
      <c r="S151" s="22"/>
      <c r="U151" s="22"/>
      <c r="V151" s="22"/>
      <c r="W151" s="22"/>
      <c r="Y151" s="3"/>
      <c r="Z151" s="3"/>
      <c r="AB151" s="3"/>
      <c r="AC151" s="3"/>
      <c r="AE151" s="22"/>
      <c r="AF151" s="3"/>
      <c r="AG151" s="3"/>
    </row>
    <row r="152" spans="1:33" s="4" customFormat="1" x14ac:dyDescent="0.3">
      <c r="A152" s="16"/>
      <c r="B152" s="22"/>
      <c r="C152" s="3"/>
      <c r="F152" s="3"/>
      <c r="I152" s="22"/>
      <c r="J152" s="3"/>
      <c r="M152" s="22"/>
      <c r="N152" s="22"/>
      <c r="O152" s="22"/>
      <c r="Q152" s="22"/>
      <c r="R152" s="22"/>
      <c r="S152" s="22"/>
      <c r="U152" s="22"/>
      <c r="V152" s="22"/>
      <c r="W152" s="22"/>
      <c r="Y152" s="3"/>
      <c r="Z152" s="3"/>
      <c r="AB152" s="3"/>
      <c r="AC152" s="3"/>
      <c r="AE152" s="22"/>
      <c r="AF152" s="3"/>
      <c r="AG152" s="3"/>
    </row>
    <row r="153" spans="1:33" s="4" customFormat="1" x14ac:dyDescent="0.3">
      <c r="A153" s="16"/>
      <c r="B153" s="22"/>
      <c r="C153" s="3"/>
      <c r="F153" s="3"/>
      <c r="I153" s="22"/>
      <c r="J153" s="3"/>
      <c r="M153" s="22"/>
      <c r="N153" s="22"/>
      <c r="O153" s="22"/>
      <c r="Q153" s="22"/>
      <c r="R153" s="22"/>
      <c r="S153" s="22"/>
      <c r="U153" s="22"/>
      <c r="V153" s="22"/>
      <c r="W153" s="22"/>
      <c r="Y153" s="3"/>
      <c r="Z153" s="3"/>
      <c r="AB153" s="3"/>
      <c r="AC153" s="3"/>
      <c r="AE153" s="22"/>
      <c r="AF153" s="3"/>
      <c r="AG153" s="3"/>
    </row>
    <row r="154" spans="1:33" s="4" customFormat="1" x14ac:dyDescent="0.3">
      <c r="A154" s="16"/>
      <c r="B154" s="22"/>
      <c r="C154" s="3"/>
      <c r="F154" s="3"/>
      <c r="I154" s="22"/>
      <c r="J154" s="3"/>
      <c r="M154" s="22"/>
      <c r="N154" s="22"/>
      <c r="O154" s="22"/>
      <c r="Q154" s="22"/>
      <c r="R154" s="22"/>
      <c r="S154" s="22"/>
      <c r="U154" s="22"/>
      <c r="V154" s="22"/>
      <c r="W154" s="22"/>
      <c r="Y154" s="3"/>
      <c r="Z154" s="3"/>
      <c r="AB154" s="3"/>
      <c r="AC154" s="3"/>
      <c r="AE154" s="22"/>
      <c r="AF154" s="3"/>
      <c r="AG154" s="3"/>
    </row>
    <row r="155" spans="1:33" s="4" customFormat="1" x14ac:dyDescent="0.3">
      <c r="A155" s="16"/>
      <c r="B155" s="22"/>
      <c r="C155" s="3"/>
      <c r="F155" s="3"/>
      <c r="I155" s="22"/>
      <c r="J155" s="3"/>
      <c r="M155" s="22"/>
      <c r="N155" s="22"/>
      <c r="O155" s="22"/>
      <c r="Q155" s="22"/>
      <c r="R155" s="22"/>
      <c r="S155" s="22"/>
      <c r="U155" s="22"/>
      <c r="V155" s="22"/>
      <c r="W155" s="22"/>
      <c r="Y155" s="3"/>
      <c r="Z155" s="3"/>
      <c r="AB155" s="3"/>
      <c r="AC155" s="3"/>
      <c r="AE155" s="22"/>
      <c r="AF155" s="3"/>
      <c r="AG155" s="3"/>
    </row>
    <row r="156" spans="1:33" x14ac:dyDescent="0.3">
      <c r="C156" s="1"/>
      <c r="F156" s="1"/>
      <c r="J156" s="1"/>
      <c r="Y156" s="1"/>
      <c r="Z156" s="1"/>
      <c r="AB156" s="1"/>
      <c r="AC156" s="1"/>
      <c r="AF156" s="1"/>
      <c r="AG156" s="1"/>
    </row>
    <row r="157" spans="1:33" x14ac:dyDescent="0.3">
      <c r="C157" s="1"/>
      <c r="F157" s="1"/>
      <c r="J157" s="1"/>
      <c r="Y157" s="1"/>
      <c r="Z157" s="1"/>
      <c r="AB157" s="1"/>
      <c r="AC157" s="1"/>
      <c r="AF157" s="1"/>
      <c r="AG157" s="1"/>
    </row>
    <row r="158" spans="1:33" x14ac:dyDescent="0.3">
      <c r="C158" s="1"/>
      <c r="F158" s="1"/>
      <c r="J158" s="1"/>
      <c r="Y158" s="1"/>
      <c r="Z158" s="1"/>
      <c r="AB158" s="1"/>
      <c r="AC158" s="1"/>
      <c r="AF158" s="1"/>
      <c r="AG158" s="1"/>
    </row>
    <row r="159" spans="1:33" x14ac:dyDescent="0.3">
      <c r="C159" s="1"/>
      <c r="F159" s="1"/>
      <c r="J159" s="1"/>
      <c r="Y159" s="1"/>
      <c r="Z159" s="1"/>
      <c r="AB159" s="1"/>
      <c r="AC159" s="1"/>
      <c r="AF159" s="1"/>
      <c r="AG159" s="1"/>
    </row>
    <row r="160" spans="1:33" x14ac:dyDescent="0.3">
      <c r="C160" s="1"/>
      <c r="F160" s="1"/>
      <c r="J160" s="1"/>
      <c r="Y160" s="1"/>
      <c r="Z160" s="1"/>
      <c r="AB160" s="1"/>
      <c r="AC160" s="1"/>
      <c r="AF160" s="1"/>
      <c r="AG160" s="1"/>
    </row>
    <row r="161" spans="3:33" x14ac:dyDescent="0.3">
      <c r="C161" s="1"/>
      <c r="F161" s="1"/>
      <c r="J161" s="1"/>
      <c r="Y161" s="1"/>
      <c r="Z161" s="1"/>
      <c r="AB161" s="1"/>
      <c r="AC161" s="1"/>
      <c r="AF161" s="1"/>
      <c r="AG161" s="1"/>
    </row>
    <row r="162" spans="3:33" x14ac:dyDescent="0.3">
      <c r="C162" s="1"/>
      <c r="F162" s="1"/>
      <c r="J162" s="1"/>
      <c r="Y162" s="1"/>
      <c r="Z162" s="1"/>
      <c r="AB162" s="1"/>
      <c r="AC162" s="1"/>
      <c r="AF162" s="1"/>
      <c r="AG162" s="1"/>
    </row>
    <row r="163" spans="3:33" x14ac:dyDescent="0.3">
      <c r="C163" s="1"/>
      <c r="F163" s="1"/>
      <c r="J163" s="1"/>
      <c r="Y163" s="1"/>
      <c r="Z163" s="1"/>
      <c r="AB163" s="1"/>
      <c r="AC163" s="1"/>
      <c r="AF163" s="1"/>
      <c r="AG163" s="1"/>
    </row>
    <row r="164" spans="3:33" x14ac:dyDescent="0.3">
      <c r="C164" s="1"/>
      <c r="F164" s="1"/>
      <c r="J164" s="1"/>
      <c r="Y164" s="1"/>
      <c r="Z164" s="1"/>
      <c r="AB164" s="1"/>
      <c r="AC164" s="1"/>
      <c r="AF164" s="1"/>
      <c r="AG164" s="1"/>
    </row>
    <row r="165" spans="3:33" x14ac:dyDescent="0.3">
      <c r="C165" s="1"/>
      <c r="F165" s="1"/>
      <c r="J165" s="1"/>
      <c r="Y165" s="1"/>
      <c r="Z165" s="1"/>
      <c r="AB165" s="1"/>
      <c r="AC165" s="1"/>
      <c r="AF165" s="1"/>
      <c r="AG165" s="1"/>
    </row>
    <row r="166" spans="3:33" x14ac:dyDescent="0.3">
      <c r="C166" s="1"/>
      <c r="F166" s="1"/>
      <c r="J166" s="1"/>
      <c r="Y166" s="1"/>
      <c r="Z166" s="1"/>
      <c r="AB166" s="1"/>
      <c r="AC166" s="1"/>
      <c r="AF166" s="1"/>
      <c r="AG166" s="1"/>
    </row>
    <row r="167" spans="3:33" x14ac:dyDescent="0.3">
      <c r="C167" s="1"/>
      <c r="F167" s="1"/>
      <c r="J167" s="1"/>
      <c r="Y167" s="1"/>
      <c r="Z167" s="1"/>
      <c r="AB167" s="1"/>
      <c r="AC167" s="1"/>
      <c r="AF167" s="1"/>
      <c r="AG167" s="1"/>
    </row>
    <row r="168" spans="3:33" x14ac:dyDescent="0.3">
      <c r="C168" s="1"/>
      <c r="F168" s="1"/>
      <c r="J168" s="1"/>
      <c r="Y168" s="1"/>
      <c r="Z168" s="1"/>
      <c r="AB168" s="1"/>
      <c r="AC168" s="1"/>
      <c r="AF168" s="1"/>
      <c r="AG168" s="1"/>
    </row>
    <row r="169" spans="3:33" x14ac:dyDescent="0.3">
      <c r="C169" s="1"/>
      <c r="F169" s="1"/>
      <c r="J169" s="1"/>
      <c r="Y169" s="1"/>
      <c r="Z169" s="1"/>
      <c r="AB169" s="1"/>
      <c r="AC169" s="1"/>
      <c r="AF169" s="1"/>
      <c r="AG169" s="1"/>
    </row>
    <row r="170" spans="3:33" x14ac:dyDescent="0.3">
      <c r="C170" s="1"/>
      <c r="F170" s="1"/>
      <c r="J170" s="1"/>
      <c r="Y170" s="1"/>
      <c r="Z170" s="1"/>
      <c r="AB170" s="1"/>
      <c r="AC170" s="1"/>
      <c r="AF170" s="1"/>
      <c r="AG170" s="1"/>
    </row>
    <row r="171" spans="3:33" x14ac:dyDescent="0.3">
      <c r="C171" s="1"/>
      <c r="F171" s="1"/>
      <c r="J171" s="1"/>
      <c r="Y171" s="1"/>
      <c r="Z171" s="1"/>
      <c r="AB171" s="1"/>
      <c r="AC171" s="1"/>
      <c r="AF171" s="1"/>
      <c r="AG171" s="1"/>
    </row>
    <row r="172" spans="3:33" x14ac:dyDescent="0.3">
      <c r="C172" s="1"/>
      <c r="F172" s="1"/>
      <c r="J172" s="1"/>
      <c r="Y172" s="1"/>
      <c r="Z172" s="1"/>
      <c r="AB172" s="1"/>
      <c r="AC172" s="1"/>
      <c r="AF172" s="1"/>
      <c r="AG172" s="1"/>
    </row>
    <row r="173" spans="3:33" x14ac:dyDescent="0.3">
      <c r="C173" s="1"/>
      <c r="F173" s="1"/>
      <c r="J173" s="1"/>
      <c r="Y173" s="1"/>
      <c r="Z173" s="1"/>
      <c r="AB173" s="1"/>
      <c r="AC173" s="1"/>
      <c r="AF173" s="1"/>
      <c r="AG173" s="1"/>
    </row>
    <row r="174" spans="3:33" x14ac:dyDescent="0.3">
      <c r="C174" s="1"/>
      <c r="F174" s="1"/>
      <c r="J174" s="1"/>
      <c r="Y174" s="1"/>
      <c r="Z174" s="1"/>
      <c r="AB174" s="1"/>
      <c r="AC174" s="1"/>
      <c r="AF174" s="1"/>
      <c r="AG174" s="1"/>
    </row>
    <row r="175" spans="3:33" x14ac:dyDescent="0.3">
      <c r="C175" s="1"/>
      <c r="F175" s="1"/>
      <c r="J175" s="1"/>
      <c r="Y175" s="1"/>
      <c r="Z175" s="1"/>
      <c r="AB175" s="1"/>
      <c r="AC175" s="1"/>
      <c r="AF175" s="1"/>
      <c r="AG175" s="1"/>
    </row>
    <row r="176" spans="3:33" x14ac:dyDescent="0.3">
      <c r="C176" s="1"/>
      <c r="F176" s="1"/>
      <c r="J176" s="1"/>
      <c r="Y176" s="1"/>
      <c r="Z176" s="1"/>
      <c r="AB176" s="1"/>
      <c r="AC176" s="1"/>
      <c r="AF176" s="1"/>
      <c r="AG176" s="1"/>
    </row>
    <row r="177" spans="3:33" x14ac:dyDescent="0.3">
      <c r="C177" s="1"/>
      <c r="F177" s="1"/>
      <c r="J177" s="1"/>
      <c r="Y177" s="1"/>
      <c r="Z177" s="1"/>
      <c r="AB177" s="1"/>
      <c r="AC177" s="1"/>
      <c r="AF177" s="1"/>
      <c r="AG177" s="1"/>
    </row>
    <row r="178" spans="3:33" x14ac:dyDescent="0.3">
      <c r="C178" s="1"/>
      <c r="F178" s="1"/>
      <c r="J178" s="1"/>
      <c r="Y178" s="1"/>
      <c r="Z178" s="1"/>
      <c r="AB178" s="1"/>
      <c r="AC178" s="1"/>
      <c r="AF178" s="1"/>
      <c r="AG178" s="1"/>
    </row>
    <row r="179" spans="3:33" x14ac:dyDescent="0.3">
      <c r="C179" s="1"/>
      <c r="F179" s="1"/>
      <c r="J179" s="1"/>
      <c r="Y179" s="1"/>
      <c r="Z179" s="1"/>
      <c r="AB179" s="1"/>
      <c r="AC179" s="1"/>
      <c r="AF179" s="1"/>
      <c r="AG179" s="1"/>
    </row>
    <row r="180" spans="3:33" x14ac:dyDescent="0.3">
      <c r="C180" s="1"/>
      <c r="F180" s="1"/>
      <c r="J180" s="1"/>
      <c r="Y180" s="1"/>
      <c r="Z180" s="1"/>
      <c r="AB180" s="1"/>
      <c r="AC180" s="1"/>
      <c r="AF180" s="1"/>
      <c r="AG180" s="1"/>
    </row>
    <row r="181" spans="3:33" x14ac:dyDescent="0.3">
      <c r="C181" s="1"/>
      <c r="F181" s="1"/>
      <c r="J181" s="1"/>
      <c r="Y181" s="1"/>
      <c r="Z181" s="1"/>
      <c r="AB181" s="1"/>
      <c r="AC181" s="1"/>
      <c r="AF181" s="1"/>
      <c r="AG181" s="1"/>
    </row>
    <row r="182" spans="3:33" x14ac:dyDescent="0.3">
      <c r="C182" s="1"/>
      <c r="F182" s="1"/>
      <c r="J182" s="1"/>
      <c r="Y182" s="1"/>
      <c r="Z182" s="1"/>
      <c r="AB182" s="1"/>
      <c r="AC182" s="1"/>
      <c r="AF182" s="1"/>
      <c r="AG182" s="1"/>
    </row>
    <row r="183" spans="3:33" x14ac:dyDescent="0.3">
      <c r="C183" s="1"/>
      <c r="F183" s="1"/>
      <c r="J183" s="1"/>
      <c r="Y183" s="1"/>
      <c r="Z183" s="1"/>
      <c r="AB183" s="1"/>
      <c r="AC183" s="1"/>
      <c r="AF183" s="1"/>
      <c r="AG183" s="1"/>
    </row>
    <row r="184" spans="3:33" x14ac:dyDescent="0.3">
      <c r="C184" s="1"/>
      <c r="F184" s="1"/>
      <c r="J184" s="1"/>
      <c r="Y184" s="1"/>
      <c r="Z184" s="1"/>
      <c r="AB184" s="1"/>
      <c r="AC184" s="1"/>
      <c r="AF184" s="1"/>
      <c r="AG184" s="1"/>
    </row>
    <row r="185" spans="3:33" x14ac:dyDescent="0.3">
      <c r="C185" s="1"/>
      <c r="F185" s="1"/>
      <c r="J185" s="1"/>
      <c r="Y185" s="1"/>
      <c r="Z185" s="1"/>
      <c r="AB185" s="1"/>
      <c r="AC185" s="1"/>
      <c r="AF185" s="1"/>
      <c r="AG185" s="1"/>
    </row>
    <row r="186" spans="3:33" x14ac:dyDescent="0.3">
      <c r="C186" s="1"/>
      <c r="F186" s="1"/>
      <c r="J186" s="1"/>
      <c r="Y186" s="1"/>
      <c r="Z186" s="1"/>
      <c r="AB186" s="1"/>
      <c r="AC186" s="1"/>
      <c r="AF186" s="1"/>
      <c r="AG186" s="1"/>
    </row>
    <row r="187" spans="3:33" x14ac:dyDescent="0.3">
      <c r="C187" s="1"/>
      <c r="F187" s="1"/>
      <c r="J187" s="1"/>
      <c r="Y187" s="1"/>
      <c r="Z187" s="1"/>
      <c r="AB187" s="1"/>
      <c r="AC187" s="1"/>
      <c r="AF187" s="1"/>
      <c r="AG187" s="1"/>
    </row>
    <row r="188" spans="3:33" x14ac:dyDescent="0.3">
      <c r="C188" s="1"/>
      <c r="F188" s="1"/>
      <c r="J188" s="1"/>
      <c r="Y188" s="1"/>
      <c r="Z188" s="1"/>
      <c r="AB188" s="1"/>
      <c r="AC188" s="1"/>
      <c r="AF188" s="1"/>
      <c r="AG188" s="1"/>
    </row>
    <row r="189" spans="3:33" x14ac:dyDescent="0.3">
      <c r="C189" s="1"/>
      <c r="F189" s="1"/>
      <c r="J189" s="1"/>
      <c r="Y189" s="1"/>
      <c r="Z189" s="1"/>
      <c r="AB189" s="1"/>
      <c r="AC189" s="1"/>
      <c r="AF189" s="1"/>
      <c r="AG189" s="1"/>
    </row>
    <row r="190" spans="3:33" x14ac:dyDescent="0.3">
      <c r="C190" s="1"/>
      <c r="F190" s="1"/>
      <c r="J190" s="1"/>
      <c r="Y190" s="1"/>
      <c r="Z190" s="1"/>
      <c r="AB190" s="1"/>
      <c r="AC190" s="1"/>
      <c r="AF190" s="1"/>
      <c r="AG190" s="1"/>
    </row>
    <row r="191" spans="3:33" x14ac:dyDescent="0.3">
      <c r="C191" s="1"/>
      <c r="F191" s="1"/>
      <c r="J191" s="1"/>
      <c r="Y191" s="1"/>
      <c r="Z191" s="1"/>
      <c r="AB191" s="1"/>
      <c r="AC191" s="1"/>
      <c r="AF191" s="1"/>
      <c r="AG191" s="1"/>
    </row>
    <row r="192" spans="3:33" x14ac:dyDescent="0.3">
      <c r="C192" s="1"/>
      <c r="F192" s="1"/>
      <c r="J192" s="1"/>
      <c r="Y192" s="1"/>
      <c r="Z192" s="1"/>
      <c r="AB192" s="1"/>
      <c r="AC192" s="1"/>
      <c r="AF192" s="1"/>
      <c r="AG192" s="1"/>
    </row>
    <row r="193" spans="3:33" x14ac:dyDescent="0.3">
      <c r="C193" s="1"/>
      <c r="F193" s="1"/>
      <c r="J193" s="1"/>
      <c r="Y193" s="1"/>
      <c r="Z193" s="1"/>
      <c r="AB193" s="1"/>
      <c r="AC193" s="1"/>
      <c r="AF193" s="1"/>
      <c r="AG193" s="1"/>
    </row>
    <row r="194" spans="3:33" x14ac:dyDescent="0.3">
      <c r="C194" s="1"/>
      <c r="F194" s="1"/>
      <c r="J194" s="1"/>
      <c r="Y194" s="1"/>
      <c r="Z194" s="1"/>
      <c r="AB194" s="1"/>
      <c r="AC194" s="1"/>
      <c r="AF194" s="1"/>
      <c r="AG194" s="1"/>
    </row>
    <row r="195" spans="3:33" x14ac:dyDescent="0.3">
      <c r="C195" s="1"/>
      <c r="F195" s="1"/>
      <c r="J195" s="1"/>
      <c r="Y195" s="1"/>
      <c r="Z195" s="1"/>
      <c r="AB195" s="1"/>
      <c r="AC195" s="1"/>
      <c r="AF195" s="1"/>
      <c r="AG195" s="1"/>
    </row>
    <row r="196" spans="3:33" x14ac:dyDescent="0.3">
      <c r="C196" s="1"/>
      <c r="F196" s="1"/>
      <c r="J196" s="1"/>
      <c r="Y196" s="1"/>
      <c r="Z196" s="1"/>
      <c r="AB196" s="1"/>
      <c r="AC196" s="1"/>
      <c r="AF196" s="1"/>
      <c r="AG196" s="1"/>
    </row>
    <row r="197" spans="3:33" x14ac:dyDescent="0.3">
      <c r="C197" s="1"/>
      <c r="F197" s="1"/>
      <c r="J197" s="1"/>
      <c r="Y197" s="1"/>
      <c r="Z197" s="1"/>
      <c r="AB197" s="1"/>
      <c r="AC197" s="1"/>
      <c r="AF197" s="1"/>
      <c r="AG197" s="1"/>
    </row>
    <row r="198" spans="3:33" x14ac:dyDescent="0.3">
      <c r="C198" s="1"/>
      <c r="F198" s="1"/>
      <c r="J198" s="1"/>
      <c r="Y198" s="1"/>
      <c r="Z198" s="1"/>
      <c r="AB198" s="1"/>
      <c r="AC198" s="1"/>
      <c r="AF198" s="1"/>
      <c r="AG198" s="1"/>
    </row>
    <row r="199" spans="3:33" x14ac:dyDescent="0.3">
      <c r="C199" s="1"/>
      <c r="F199" s="1"/>
      <c r="J199" s="1"/>
      <c r="Y199" s="1"/>
      <c r="Z199" s="1"/>
      <c r="AB199" s="1"/>
      <c r="AC199" s="1"/>
      <c r="AF199" s="1"/>
      <c r="AG199" s="1"/>
    </row>
    <row r="200" spans="3:33" x14ac:dyDescent="0.3">
      <c r="C200" s="1"/>
      <c r="F200" s="1"/>
      <c r="J200" s="1"/>
      <c r="Y200" s="1"/>
      <c r="Z200" s="1"/>
      <c r="AB200" s="1"/>
      <c r="AC200" s="1"/>
      <c r="AF200" s="1"/>
      <c r="AG200" s="1"/>
    </row>
    <row r="201" spans="3:33" x14ac:dyDescent="0.3">
      <c r="C201" s="1"/>
      <c r="F201" s="1"/>
      <c r="J201" s="1"/>
      <c r="Y201" s="1"/>
      <c r="Z201" s="1"/>
      <c r="AB201" s="1"/>
      <c r="AC201" s="1"/>
      <c r="AF201" s="1"/>
      <c r="AG201" s="1"/>
    </row>
    <row r="202" spans="3:33" x14ac:dyDescent="0.3">
      <c r="C202" s="1"/>
      <c r="F202" s="1"/>
      <c r="J202" s="1"/>
      <c r="Y202" s="1"/>
      <c r="Z202" s="1"/>
      <c r="AB202" s="1"/>
      <c r="AC202" s="1"/>
      <c r="AF202" s="1"/>
      <c r="AG202" s="1"/>
    </row>
    <row r="203" spans="3:33" x14ac:dyDescent="0.3">
      <c r="C203" s="1"/>
      <c r="F203" s="1"/>
      <c r="J203" s="1"/>
      <c r="Y203" s="1"/>
      <c r="Z203" s="1"/>
      <c r="AB203" s="1"/>
      <c r="AC203" s="1"/>
      <c r="AF203" s="1"/>
      <c r="AG203" s="1"/>
    </row>
    <row r="204" spans="3:33" x14ac:dyDescent="0.3">
      <c r="C204" s="1"/>
      <c r="F204" s="1"/>
      <c r="J204" s="1"/>
      <c r="Y204" s="1"/>
      <c r="Z204" s="1"/>
      <c r="AB204" s="1"/>
      <c r="AC204" s="1"/>
      <c r="AF204" s="1"/>
      <c r="AG204" s="1"/>
    </row>
    <row r="205" spans="3:33" x14ac:dyDescent="0.3">
      <c r="C205" s="1"/>
      <c r="F205" s="1"/>
      <c r="J205" s="1"/>
      <c r="Y205" s="1"/>
      <c r="Z205" s="1"/>
      <c r="AB205" s="1"/>
      <c r="AC205" s="1"/>
      <c r="AF205" s="1"/>
      <c r="AG205" s="1"/>
    </row>
    <row r="206" spans="3:33" x14ac:dyDescent="0.3">
      <c r="C206" s="1"/>
      <c r="F206" s="1"/>
      <c r="J206" s="1"/>
      <c r="Y206" s="1"/>
      <c r="Z206" s="1"/>
      <c r="AB206" s="1"/>
      <c r="AC206" s="1"/>
      <c r="AF206" s="1"/>
      <c r="AG206" s="1"/>
    </row>
    <row r="207" spans="3:33" x14ac:dyDescent="0.3">
      <c r="C207" s="1"/>
      <c r="F207" s="1"/>
      <c r="J207" s="1"/>
      <c r="Y207" s="1"/>
      <c r="Z207" s="1"/>
      <c r="AB207" s="1"/>
      <c r="AC207" s="1"/>
      <c r="AF207" s="1"/>
      <c r="AG207" s="1"/>
    </row>
    <row r="208" spans="3:33" x14ac:dyDescent="0.3">
      <c r="C208" s="1"/>
      <c r="F208" s="1"/>
      <c r="J208" s="1"/>
      <c r="Y208" s="1"/>
      <c r="Z208" s="1"/>
      <c r="AB208" s="1"/>
      <c r="AC208" s="1"/>
      <c r="AF208" s="1"/>
      <c r="AG208" s="1"/>
    </row>
    <row r="209" spans="3:33" x14ac:dyDescent="0.3">
      <c r="C209" s="1"/>
      <c r="F209" s="1"/>
      <c r="J209" s="1"/>
      <c r="Y209" s="1"/>
      <c r="Z209" s="1"/>
      <c r="AB209" s="1"/>
      <c r="AC209" s="1"/>
      <c r="AF209" s="1"/>
      <c r="AG209" s="1"/>
    </row>
    <row r="210" spans="3:33" x14ac:dyDescent="0.3">
      <c r="C210" s="1"/>
      <c r="F210" s="1"/>
      <c r="J210" s="1"/>
      <c r="Y210" s="1"/>
      <c r="Z210" s="1"/>
      <c r="AB210" s="1"/>
      <c r="AC210" s="1"/>
      <c r="AF210" s="1"/>
      <c r="AG210" s="1"/>
    </row>
    <row r="211" spans="3:33" x14ac:dyDescent="0.3">
      <c r="C211" s="1"/>
      <c r="F211" s="1"/>
      <c r="J211" s="1"/>
      <c r="Y211" s="1"/>
      <c r="Z211" s="1"/>
      <c r="AB211" s="1"/>
      <c r="AC211" s="1"/>
      <c r="AF211" s="1"/>
      <c r="AG211" s="1"/>
    </row>
    <row r="212" spans="3:33" x14ac:dyDescent="0.3">
      <c r="C212" s="1"/>
      <c r="F212" s="1"/>
      <c r="J212" s="1"/>
      <c r="Y212" s="1"/>
      <c r="Z212" s="1"/>
      <c r="AB212" s="1"/>
      <c r="AC212" s="1"/>
      <c r="AF212" s="1"/>
      <c r="AG212" s="1"/>
    </row>
    <row r="213" spans="3:33" x14ac:dyDescent="0.3">
      <c r="C213" s="1"/>
      <c r="F213" s="1"/>
      <c r="J213" s="1"/>
      <c r="Y213" s="1"/>
      <c r="Z213" s="1"/>
      <c r="AB213" s="1"/>
      <c r="AC213" s="1"/>
      <c r="AF213" s="1"/>
      <c r="AG213" s="1"/>
    </row>
    <row r="214" spans="3:33" x14ac:dyDescent="0.3">
      <c r="C214" s="1"/>
      <c r="F214" s="1"/>
      <c r="J214" s="1"/>
      <c r="Y214" s="1"/>
      <c r="Z214" s="1"/>
      <c r="AB214" s="1"/>
      <c r="AC214" s="1"/>
      <c r="AF214" s="1"/>
      <c r="AG214" s="1"/>
    </row>
    <row r="215" spans="3:33" x14ac:dyDescent="0.3">
      <c r="C215" s="1"/>
      <c r="F215" s="1"/>
      <c r="J215" s="1"/>
      <c r="Y215" s="1"/>
      <c r="Z215" s="1"/>
      <c r="AB215" s="1"/>
      <c r="AC215" s="1"/>
      <c r="AF215" s="1"/>
      <c r="AG215" s="1"/>
    </row>
    <row r="216" spans="3:33" x14ac:dyDescent="0.3">
      <c r="C216" s="1"/>
      <c r="F216" s="1"/>
      <c r="J216" s="1"/>
      <c r="Y216" s="1"/>
      <c r="Z216" s="1"/>
      <c r="AB216" s="1"/>
      <c r="AC216" s="1"/>
      <c r="AF216" s="1"/>
      <c r="AG216" s="1"/>
    </row>
    <row r="217" spans="3:33" x14ac:dyDescent="0.3">
      <c r="C217" s="1"/>
      <c r="F217" s="1"/>
      <c r="J217" s="1"/>
      <c r="Y217" s="1"/>
      <c r="Z217" s="1"/>
      <c r="AB217" s="1"/>
      <c r="AC217" s="1"/>
      <c r="AF217" s="1"/>
      <c r="AG217" s="1"/>
    </row>
    <row r="218" spans="3:33" x14ac:dyDescent="0.3">
      <c r="C218" s="1"/>
      <c r="F218" s="1"/>
      <c r="J218" s="1"/>
      <c r="Y218" s="1"/>
      <c r="Z218" s="1"/>
      <c r="AB218" s="1"/>
      <c r="AC218" s="1"/>
      <c r="AF218" s="1"/>
      <c r="AG218" s="1"/>
    </row>
    <row r="219" spans="3:33" x14ac:dyDescent="0.3">
      <c r="C219" s="1"/>
      <c r="F219" s="1"/>
      <c r="J219" s="1"/>
      <c r="Y219" s="1"/>
      <c r="Z219" s="1"/>
      <c r="AB219" s="1"/>
      <c r="AC219" s="1"/>
      <c r="AF219" s="1"/>
      <c r="AG219" s="1"/>
    </row>
    <row r="220" spans="3:33" x14ac:dyDescent="0.3">
      <c r="C220" s="1"/>
      <c r="F220" s="1"/>
      <c r="J220" s="1"/>
      <c r="Y220" s="1"/>
      <c r="Z220" s="1"/>
      <c r="AB220" s="1"/>
      <c r="AC220" s="1"/>
      <c r="AF220" s="1"/>
      <c r="AG220" s="1"/>
    </row>
    <row r="221" spans="3:33" x14ac:dyDescent="0.3">
      <c r="C221" s="1"/>
      <c r="F221" s="1"/>
      <c r="J221" s="1"/>
      <c r="Y221" s="1"/>
      <c r="Z221" s="1"/>
      <c r="AB221" s="1"/>
      <c r="AC221" s="1"/>
      <c r="AF221" s="1"/>
      <c r="AG221" s="1"/>
    </row>
    <row r="222" spans="3:33" x14ac:dyDescent="0.3">
      <c r="C222" s="1"/>
      <c r="F222" s="1"/>
      <c r="J222" s="1"/>
      <c r="Y222" s="1"/>
      <c r="Z222" s="1"/>
      <c r="AB222" s="1"/>
      <c r="AC222" s="1"/>
      <c r="AF222" s="1"/>
      <c r="AG222" s="1"/>
    </row>
    <row r="223" spans="3:33" x14ac:dyDescent="0.3">
      <c r="C223" s="1"/>
      <c r="F223" s="1"/>
      <c r="J223" s="1"/>
      <c r="Y223" s="1"/>
      <c r="Z223" s="1"/>
      <c r="AB223" s="1"/>
      <c r="AC223" s="1"/>
      <c r="AF223" s="1"/>
      <c r="AG223" s="1"/>
    </row>
    <row r="224" spans="3:33" x14ac:dyDescent="0.3">
      <c r="C224" s="1"/>
      <c r="F224" s="1"/>
      <c r="J224" s="1"/>
      <c r="Y224" s="1"/>
      <c r="Z224" s="1"/>
      <c r="AB224" s="1"/>
      <c r="AC224" s="1"/>
      <c r="AF224" s="1"/>
      <c r="AG224" s="1"/>
    </row>
    <row r="225" spans="3:33" x14ac:dyDescent="0.3">
      <c r="C225" s="1"/>
      <c r="F225" s="1"/>
      <c r="J225" s="1"/>
      <c r="Y225" s="1"/>
      <c r="Z225" s="1"/>
      <c r="AB225" s="1"/>
      <c r="AC225" s="1"/>
      <c r="AF225" s="1"/>
      <c r="AG225" s="1"/>
    </row>
    <row r="226" spans="3:33" x14ac:dyDescent="0.3">
      <c r="C226" s="1"/>
      <c r="F226" s="1"/>
      <c r="J226" s="1"/>
      <c r="Y226" s="1"/>
      <c r="Z226" s="1"/>
      <c r="AB226" s="1"/>
      <c r="AC226" s="1"/>
      <c r="AF226" s="1"/>
      <c r="AG226" s="1"/>
    </row>
    <row r="227" spans="3:33" x14ac:dyDescent="0.3">
      <c r="C227" s="1"/>
      <c r="F227" s="1"/>
      <c r="J227" s="1"/>
      <c r="Y227" s="1"/>
      <c r="Z227" s="1"/>
      <c r="AB227" s="1"/>
      <c r="AC227" s="1"/>
      <c r="AF227" s="1"/>
      <c r="AG227" s="1"/>
    </row>
    <row r="228" spans="3:33" x14ac:dyDescent="0.3">
      <c r="C228" s="1"/>
      <c r="F228" s="1"/>
      <c r="J228" s="1"/>
      <c r="Y228" s="1"/>
      <c r="Z228" s="1"/>
      <c r="AB228" s="1"/>
      <c r="AC228" s="1"/>
      <c r="AF228" s="1"/>
      <c r="AG228" s="1"/>
    </row>
    <row r="229" spans="3:33" x14ac:dyDescent="0.3">
      <c r="C229" s="1"/>
      <c r="F229" s="1"/>
      <c r="J229" s="1"/>
      <c r="Y229" s="1"/>
      <c r="Z229" s="1"/>
      <c r="AB229" s="1"/>
      <c r="AC229" s="1"/>
      <c r="AF229" s="1"/>
      <c r="AG229" s="1"/>
    </row>
    <row r="230" spans="3:33" x14ac:dyDescent="0.3">
      <c r="C230" s="1"/>
      <c r="F230" s="1"/>
      <c r="J230" s="1"/>
      <c r="Y230" s="1"/>
      <c r="Z230" s="1"/>
      <c r="AB230" s="1"/>
      <c r="AC230" s="1"/>
      <c r="AF230" s="1"/>
      <c r="AG230" s="1"/>
    </row>
    <row r="231" spans="3:33" x14ac:dyDescent="0.3">
      <c r="C231" s="1"/>
      <c r="F231" s="1"/>
      <c r="J231" s="1"/>
      <c r="Y231" s="1"/>
      <c r="Z231" s="1"/>
      <c r="AB231" s="1"/>
      <c r="AC231" s="1"/>
      <c r="AF231" s="1"/>
      <c r="AG231" s="1"/>
    </row>
  </sheetData>
  <mergeCells count="15">
    <mergeCell ref="AF2:AH2"/>
    <mergeCell ref="B2:B3"/>
    <mergeCell ref="U2:U3"/>
    <mergeCell ref="M2:M3"/>
    <mergeCell ref="Q2:Q3"/>
    <mergeCell ref="C2:E2"/>
    <mergeCell ref="AE2:AE3"/>
    <mergeCell ref="I2:I3"/>
    <mergeCell ref="J2:L2"/>
    <mergeCell ref="N2:P2"/>
    <mergeCell ref="R2:T2"/>
    <mergeCell ref="V2:X2"/>
    <mergeCell ref="Y2:AA2"/>
    <mergeCell ref="AB2:AD2"/>
    <mergeCell ref="F2:H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AQ27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4" sqref="D24"/>
    </sheetView>
  </sheetViews>
  <sheetFormatPr defaultRowHeight="14.4" x14ac:dyDescent="0.3"/>
  <cols>
    <col min="1" max="1" width="42.33203125" style="7" customWidth="1"/>
    <col min="2" max="2" width="9.6640625" style="22" customWidth="1"/>
    <col min="3" max="14" width="12.77734375" customWidth="1"/>
    <col min="15" max="15" width="12.77734375" style="22" customWidth="1"/>
    <col min="16" max="21" width="12.77734375" customWidth="1"/>
    <col min="22" max="22" width="12.77734375" style="22" customWidth="1"/>
    <col min="23" max="25" width="12.77734375" customWidth="1"/>
    <col min="26" max="26" width="12.77734375" style="22" customWidth="1"/>
    <col min="27" max="35" width="12.77734375" customWidth="1"/>
    <col min="36" max="36" width="12.77734375" style="22" customWidth="1"/>
    <col min="37" max="40" width="12.77734375" customWidth="1"/>
  </cols>
  <sheetData>
    <row r="2" spans="1:43" s="38" customFormat="1" ht="33.6" customHeight="1" x14ac:dyDescent="0.3">
      <c r="A2" s="37"/>
      <c r="B2" s="91" t="s">
        <v>1</v>
      </c>
      <c r="C2" s="90" t="s">
        <v>140</v>
      </c>
      <c r="D2" s="90"/>
      <c r="E2" s="90"/>
      <c r="F2" s="90" t="s">
        <v>139</v>
      </c>
      <c r="G2" s="90"/>
      <c r="H2" s="90"/>
      <c r="I2" s="90" t="s">
        <v>107</v>
      </c>
      <c r="J2" s="90"/>
      <c r="K2" s="90"/>
      <c r="L2" s="90" t="s">
        <v>105</v>
      </c>
      <c r="M2" s="90"/>
      <c r="N2" s="90"/>
      <c r="O2" s="91" t="s">
        <v>1</v>
      </c>
      <c r="P2" s="90" t="s">
        <v>94</v>
      </c>
      <c r="Q2" s="90"/>
      <c r="R2" s="90"/>
      <c r="S2" s="90" t="s">
        <v>94</v>
      </c>
      <c r="T2" s="90"/>
      <c r="U2" s="90"/>
      <c r="V2" s="91" t="s">
        <v>1</v>
      </c>
      <c r="W2" s="90" t="s">
        <v>167</v>
      </c>
      <c r="X2" s="90"/>
      <c r="Y2" s="90"/>
      <c r="Z2" s="91" t="s">
        <v>1</v>
      </c>
      <c r="AA2" s="90" t="s">
        <v>161</v>
      </c>
      <c r="AB2" s="90"/>
      <c r="AC2" s="90"/>
      <c r="AD2" s="90" t="s">
        <v>149</v>
      </c>
      <c r="AE2" s="90"/>
      <c r="AF2" s="90"/>
      <c r="AG2" s="90" t="s">
        <v>153</v>
      </c>
      <c r="AH2" s="90"/>
      <c r="AI2" s="90"/>
      <c r="AJ2" s="91" t="s">
        <v>1</v>
      </c>
      <c r="AK2" s="90" t="s">
        <v>106</v>
      </c>
      <c r="AL2" s="90"/>
      <c r="AM2" s="90"/>
    </row>
    <row r="3" spans="1:43" s="8" customFormat="1" ht="15.6" x14ac:dyDescent="0.3">
      <c r="A3" s="17" t="s">
        <v>0</v>
      </c>
      <c r="B3" s="91"/>
      <c r="C3" s="9" t="s">
        <v>2</v>
      </c>
      <c r="D3" s="10" t="s">
        <v>15</v>
      </c>
      <c r="E3" s="10" t="s">
        <v>178</v>
      </c>
      <c r="F3" s="9" t="s">
        <v>2</v>
      </c>
      <c r="G3" s="10" t="s">
        <v>15</v>
      </c>
      <c r="H3" s="10" t="s">
        <v>178</v>
      </c>
      <c r="I3" s="9" t="s">
        <v>2</v>
      </c>
      <c r="J3" s="10" t="s">
        <v>15</v>
      </c>
      <c r="K3" s="10" t="s">
        <v>178</v>
      </c>
      <c r="L3" s="9" t="s">
        <v>2</v>
      </c>
      <c r="M3" s="10" t="s">
        <v>15</v>
      </c>
      <c r="N3" s="10" t="s">
        <v>178</v>
      </c>
      <c r="O3" s="91"/>
      <c r="P3" s="9" t="s">
        <v>2</v>
      </c>
      <c r="Q3" s="10" t="s">
        <v>15</v>
      </c>
      <c r="R3" s="10" t="s">
        <v>178</v>
      </c>
      <c r="S3" s="9" t="s">
        <v>2</v>
      </c>
      <c r="T3" s="10" t="s">
        <v>15</v>
      </c>
      <c r="U3" s="10" t="s">
        <v>178</v>
      </c>
      <c r="V3" s="91"/>
      <c r="W3" s="9" t="s">
        <v>2</v>
      </c>
      <c r="X3" s="10" t="s">
        <v>15</v>
      </c>
      <c r="Y3" s="10" t="s">
        <v>178</v>
      </c>
      <c r="Z3" s="91"/>
      <c r="AA3" s="9" t="s">
        <v>2</v>
      </c>
      <c r="AB3" s="10" t="s">
        <v>15</v>
      </c>
      <c r="AC3" s="10" t="s">
        <v>178</v>
      </c>
      <c r="AD3" s="9" t="s">
        <v>2</v>
      </c>
      <c r="AE3" s="10" t="s">
        <v>15</v>
      </c>
      <c r="AF3" s="10" t="s">
        <v>178</v>
      </c>
      <c r="AG3" s="9" t="s">
        <v>2</v>
      </c>
      <c r="AH3" s="10" t="s">
        <v>15</v>
      </c>
      <c r="AI3" s="10" t="s">
        <v>178</v>
      </c>
      <c r="AJ3" s="91"/>
      <c r="AK3" s="9" t="s">
        <v>2</v>
      </c>
      <c r="AL3" s="10" t="s">
        <v>15</v>
      </c>
      <c r="AM3" s="10" t="s">
        <v>178</v>
      </c>
    </row>
    <row r="4" spans="1:43" s="4" customFormat="1" x14ac:dyDescent="0.3">
      <c r="A4" s="16" t="s">
        <v>38</v>
      </c>
      <c r="B4" s="23" t="s">
        <v>32</v>
      </c>
      <c r="C4" s="19"/>
      <c r="D4" s="19"/>
      <c r="E4" s="39" t="str">
        <f>IFERROR(D4/C4,"")</f>
        <v/>
      </c>
      <c r="F4" s="19"/>
      <c r="G4" s="19"/>
      <c r="H4" s="39" t="str">
        <f>IFERROR(G4/F4,"")</f>
        <v/>
      </c>
      <c r="I4" s="19"/>
      <c r="J4" s="19"/>
      <c r="K4" s="39" t="str">
        <f>IFERROR(J4/I4,"")</f>
        <v/>
      </c>
      <c r="L4" s="19"/>
      <c r="M4" s="19"/>
      <c r="N4" s="39" t="str">
        <f>IFERROR(M4/L4,"")</f>
        <v/>
      </c>
      <c r="O4" s="23" t="s">
        <v>32</v>
      </c>
      <c r="P4" s="19"/>
      <c r="Q4" s="19"/>
      <c r="R4" s="39" t="str">
        <f>IFERROR(Q4/P4,"")</f>
        <v/>
      </c>
      <c r="S4" s="19"/>
      <c r="T4" s="19"/>
      <c r="U4" s="39" t="str">
        <f>IFERROR(T4/S4,"")</f>
        <v/>
      </c>
      <c r="V4" s="23" t="s">
        <v>32</v>
      </c>
      <c r="W4" s="19"/>
      <c r="X4" s="19"/>
      <c r="Y4" s="39" t="str">
        <f>IFERROR(X4/W4,"")</f>
        <v/>
      </c>
      <c r="Z4" s="23" t="s">
        <v>32</v>
      </c>
      <c r="AA4" s="19"/>
      <c r="AB4" s="19"/>
      <c r="AC4" s="39" t="str">
        <f>IFERROR(AB4/AA4,"")</f>
        <v/>
      </c>
      <c r="AD4" s="19"/>
      <c r="AE4" s="19"/>
      <c r="AF4" s="39" t="str">
        <f>IFERROR(AE4/AD4,"")</f>
        <v/>
      </c>
      <c r="AG4" s="19"/>
      <c r="AH4" s="19"/>
      <c r="AI4" s="39" t="str">
        <f>IFERROR(AH4/AG4,"")</f>
        <v/>
      </c>
      <c r="AJ4" s="23" t="s">
        <v>32</v>
      </c>
      <c r="AK4" s="19">
        <f>D40*62751</f>
        <v>7028112</v>
      </c>
      <c r="AL4" s="19">
        <v>3745</v>
      </c>
      <c r="AM4" s="39">
        <f>IFERROR(AL4/AK4,"")</f>
        <v>5.3286003410304213E-4</v>
      </c>
    </row>
    <row r="5" spans="1:43" s="4" customFormat="1" x14ac:dyDescent="0.3">
      <c r="A5" s="16" t="s">
        <v>233</v>
      </c>
      <c r="B5" s="23" t="s">
        <v>32</v>
      </c>
      <c r="C5" s="19"/>
      <c r="D5" s="19"/>
      <c r="E5" s="39" t="str">
        <f t="shared" ref="E5:E35" si="0">IFERROR(D5/C5,"")</f>
        <v/>
      </c>
      <c r="F5" s="19"/>
      <c r="G5" s="19"/>
      <c r="H5" s="39" t="str">
        <f t="shared" ref="H5:H35" si="1">IFERROR(G5/F5,"")</f>
        <v/>
      </c>
      <c r="I5" s="19">
        <v>1300000</v>
      </c>
      <c r="J5" s="19">
        <v>3400</v>
      </c>
      <c r="K5" s="39">
        <f t="shared" ref="K5:K35" si="2">IFERROR(J5/I5,"")</f>
        <v>2.6153846153846153E-3</v>
      </c>
      <c r="L5" s="19">
        <f>1223000</f>
        <v>1223000</v>
      </c>
      <c r="M5" s="19">
        <f>3200</f>
        <v>3200</v>
      </c>
      <c r="N5" s="39">
        <f t="shared" ref="N5:N35" si="3">IFERROR(M5/L5,"")</f>
        <v>2.6165167620605069E-3</v>
      </c>
      <c r="O5" s="23" t="s">
        <v>32</v>
      </c>
      <c r="P5" s="19">
        <v>1530000</v>
      </c>
      <c r="Q5" s="19">
        <v>4620</v>
      </c>
      <c r="R5" s="39">
        <f t="shared" ref="R5:R34" si="4">IFERROR(Q5/P5,"")</f>
        <v>3.019607843137255E-3</v>
      </c>
      <c r="S5" s="19">
        <v>1530000</v>
      </c>
      <c r="T5" s="19">
        <v>4620</v>
      </c>
      <c r="U5" s="39">
        <f t="shared" ref="U5:U35" si="5">IFERROR(T5/S5,"")</f>
        <v>3.019607843137255E-3</v>
      </c>
      <c r="V5" s="23" t="s">
        <v>32</v>
      </c>
      <c r="W5" s="19"/>
      <c r="X5" s="19"/>
      <c r="Y5" s="39" t="str">
        <f t="shared" ref="Y5:Y35" si="6">IFERROR(X5/W5,"")</f>
        <v/>
      </c>
      <c r="Z5" s="23" t="s">
        <v>32</v>
      </c>
      <c r="AA5" s="19">
        <v>718200</v>
      </c>
      <c r="AB5" s="19">
        <v>1250</v>
      </c>
      <c r="AC5" s="39">
        <f t="shared" ref="AC5:AC35" si="7">IFERROR(AB5/AA5,"")</f>
        <v>1.7404622667780562E-3</v>
      </c>
      <c r="AD5" s="19"/>
      <c r="AE5" s="19"/>
      <c r="AF5" s="39" t="str">
        <f t="shared" ref="AF5:AF35" si="8">IFERROR(AE5/AD5,"")</f>
        <v/>
      </c>
      <c r="AG5" s="19"/>
      <c r="AH5" s="19"/>
      <c r="AI5" s="39" t="str">
        <f t="shared" ref="AI5:AI35" si="9">IFERROR(AH5/AG5,"")</f>
        <v/>
      </c>
      <c r="AJ5" s="23" t="s">
        <v>32</v>
      </c>
      <c r="AK5" s="19"/>
      <c r="AL5" s="19"/>
      <c r="AM5" s="39" t="str">
        <f t="shared" ref="AM5:AM35" si="10">IFERROR(AL5/AK5,"")</f>
        <v/>
      </c>
    </row>
    <row r="6" spans="1:43" s="4" customFormat="1" x14ac:dyDescent="0.3">
      <c r="A6" s="16" t="s">
        <v>52</v>
      </c>
      <c r="B6" s="23" t="s">
        <v>32</v>
      </c>
      <c r="C6" s="19"/>
      <c r="D6" s="19"/>
      <c r="E6" s="39" t="str">
        <f t="shared" si="0"/>
        <v/>
      </c>
      <c r="F6" s="19"/>
      <c r="G6" s="19"/>
      <c r="H6" s="39" t="str">
        <f t="shared" si="1"/>
        <v/>
      </c>
      <c r="I6" s="19">
        <v>6300000</v>
      </c>
      <c r="J6" s="19">
        <v>20000</v>
      </c>
      <c r="K6" s="39">
        <f t="shared" si="2"/>
        <v>3.1746031746031746E-3</v>
      </c>
      <c r="L6" s="19">
        <v>8606000</v>
      </c>
      <c r="M6" s="19">
        <v>18000</v>
      </c>
      <c r="N6" s="39">
        <f t="shared" si="3"/>
        <v>2.0915640250987683E-3</v>
      </c>
      <c r="O6" s="23" t="s">
        <v>32</v>
      </c>
      <c r="P6" s="19">
        <v>11500000</v>
      </c>
      <c r="Q6" s="19">
        <v>23080</v>
      </c>
      <c r="R6" s="39">
        <f t="shared" si="4"/>
        <v>2.0069565217391305E-3</v>
      </c>
      <c r="S6" s="19">
        <v>11500000</v>
      </c>
      <c r="T6" s="19">
        <v>23080</v>
      </c>
      <c r="U6" s="39">
        <f t="shared" si="5"/>
        <v>2.0069565217391305E-3</v>
      </c>
      <c r="V6" s="23" t="s">
        <v>32</v>
      </c>
      <c r="W6" s="19">
        <f>2123378*36</f>
        <v>76441608</v>
      </c>
      <c r="X6" s="19">
        <v>192104</v>
      </c>
      <c r="Y6" s="39">
        <f t="shared" si="6"/>
        <v>2.513081619109844E-3</v>
      </c>
      <c r="Z6" s="23" t="s">
        <v>32</v>
      </c>
      <c r="AA6" s="19">
        <v>73713240</v>
      </c>
      <c r="AB6" s="19">
        <v>164900</v>
      </c>
      <c r="AC6" s="39">
        <f t="shared" si="7"/>
        <v>2.2370472387321463E-3</v>
      </c>
      <c r="AD6" s="19">
        <f>43000*2204.6</f>
        <v>94797800</v>
      </c>
      <c r="AE6" s="19">
        <v>169080</v>
      </c>
      <c r="AF6" s="39">
        <f t="shared" si="8"/>
        <v>1.7835856950266778E-3</v>
      </c>
      <c r="AG6" s="19">
        <f>43450*2204.6</f>
        <v>95789870</v>
      </c>
      <c r="AH6" s="19">
        <v>177220</v>
      </c>
      <c r="AI6" s="39">
        <f t="shared" si="9"/>
        <v>1.8500912466005016E-3</v>
      </c>
      <c r="AJ6" s="23" t="s">
        <v>32</v>
      </c>
      <c r="AK6" s="19">
        <f>D40*740671</f>
        <v>82955152</v>
      </c>
      <c r="AL6" s="19">
        <v>268973</v>
      </c>
      <c r="AM6" s="39">
        <f t="shared" si="10"/>
        <v>3.2423905389263826E-3</v>
      </c>
      <c r="AP6"/>
      <c r="AQ6"/>
    </row>
    <row r="7" spans="1:43" s="4" customFormat="1" x14ac:dyDescent="0.3">
      <c r="A7" s="16" t="s">
        <v>39</v>
      </c>
      <c r="B7" s="23" t="s">
        <v>32</v>
      </c>
      <c r="C7" s="19"/>
      <c r="D7" s="19"/>
      <c r="E7" s="39" t="str">
        <f t="shared" si="0"/>
        <v/>
      </c>
      <c r="F7" s="19"/>
      <c r="G7" s="19"/>
      <c r="H7" s="39" t="str">
        <f t="shared" si="1"/>
        <v/>
      </c>
      <c r="I7" s="19"/>
      <c r="J7" s="19"/>
      <c r="K7" s="39" t="str">
        <f t="shared" si="2"/>
        <v/>
      </c>
      <c r="L7" s="19"/>
      <c r="M7" s="19"/>
      <c r="N7" s="39" t="str">
        <f t="shared" si="3"/>
        <v/>
      </c>
      <c r="O7" s="23" t="s">
        <v>32</v>
      </c>
      <c r="P7" s="19"/>
      <c r="Q7" s="19"/>
      <c r="R7" s="39" t="str">
        <f t="shared" si="4"/>
        <v/>
      </c>
      <c r="S7" s="19"/>
      <c r="T7" s="19"/>
      <c r="U7" s="39" t="str">
        <f t="shared" si="5"/>
        <v/>
      </c>
      <c r="V7" s="23" t="s">
        <v>32</v>
      </c>
      <c r="W7" s="19"/>
      <c r="X7" s="19"/>
      <c r="Y7" s="39" t="str">
        <f t="shared" si="6"/>
        <v/>
      </c>
      <c r="Z7" s="23" t="s">
        <v>32</v>
      </c>
      <c r="AA7" s="19">
        <v>585252</v>
      </c>
      <c r="AB7" s="19">
        <v>7560</v>
      </c>
      <c r="AC7" s="39">
        <f t="shared" si="7"/>
        <v>1.2917512456172725E-2</v>
      </c>
      <c r="AD7" s="19"/>
      <c r="AE7" s="19"/>
      <c r="AF7" s="39" t="str">
        <f t="shared" si="8"/>
        <v/>
      </c>
      <c r="AG7" s="19"/>
      <c r="AH7" s="19"/>
      <c r="AI7" s="39" t="str">
        <f t="shared" si="9"/>
        <v/>
      </c>
      <c r="AJ7" s="23" t="s">
        <v>32</v>
      </c>
      <c r="AK7" s="19"/>
      <c r="AL7" s="19"/>
      <c r="AM7" s="39" t="str">
        <f t="shared" si="10"/>
        <v/>
      </c>
    </row>
    <row r="8" spans="1:43" s="4" customFormat="1" x14ac:dyDescent="0.3">
      <c r="A8" s="16" t="s">
        <v>40</v>
      </c>
      <c r="B8" s="23" t="s">
        <v>32</v>
      </c>
      <c r="C8" s="19"/>
      <c r="D8" s="19"/>
      <c r="E8" s="39" t="str">
        <f t="shared" si="0"/>
        <v/>
      </c>
      <c r="F8" s="19"/>
      <c r="G8" s="19"/>
      <c r="H8" s="39" t="str">
        <f t="shared" si="1"/>
        <v/>
      </c>
      <c r="I8" s="19"/>
      <c r="J8" s="19"/>
      <c r="K8" s="39" t="str">
        <f t="shared" si="2"/>
        <v/>
      </c>
      <c r="L8" s="19"/>
      <c r="M8" s="19"/>
      <c r="N8" s="39" t="str">
        <f t="shared" si="3"/>
        <v/>
      </c>
      <c r="O8" s="23" t="s">
        <v>32</v>
      </c>
      <c r="P8" s="19"/>
      <c r="Q8" s="19"/>
      <c r="R8" s="39" t="str">
        <f t="shared" si="4"/>
        <v/>
      </c>
      <c r="S8" s="19"/>
      <c r="T8" s="19"/>
      <c r="U8" s="39" t="str">
        <f t="shared" si="5"/>
        <v/>
      </c>
      <c r="V8" s="23" t="s">
        <v>32</v>
      </c>
      <c r="W8" s="19"/>
      <c r="X8" s="19"/>
      <c r="Y8" s="39" t="str">
        <f t="shared" si="6"/>
        <v/>
      </c>
      <c r="Z8" s="23" t="s">
        <v>32</v>
      </c>
      <c r="AA8" s="19">
        <v>816336</v>
      </c>
      <c r="AB8" s="19">
        <v>1460</v>
      </c>
      <c r="AC8" s="39">
        <f t="shared" si="7"/>
        <v>1.7884792536406577E-3</v>
      </c>
      <c r="AD8" s="19"/>
      <c r="AE8" s="19"/>
      <c r="AF8" s="39" t="str">
        <f t="shared" si="8"/>
        <v/>
      </c>
      <c r="AG8" s="19"/>
      <c r="AH8" s="19"/>
      <c r="AI8" s="39" t="str">
        <f t="shared" si="9"/>
        <v/>
      </c>
      <c r="AJ8" s="23" t="s">
        <v>32</v>
      </c>
      <c r="AK8" s="19"/>
      <c r="AL8" s="19"/>
      <c r="AM8" s="39" t="str">
        <f t="shared" si="10"/>
        <v/>
      </c>
    </row>
    <row r="9" spans="1:43" s="4" customFormat="1" x14ac:dyDescent="0.3">
      <c r="A9" s="16" t="s">
        <v>41</v>
      </c>
      <c r="B9" s="23" t="s">
        <v>32</v>
      </c>
      <c r="C9" s="19"/>
      <c r="D9" s="19"/>
      <c r="E9" s="39" t="str">
        <f t="shared" si="0"/>
        <v/>
      </c>
      <c r="F9" s="19"/>
      <c r="G9" s="19"/>
      <c r="H9" s="39" t="str">
        <f t="shared" si="1"/>
        <v/>
      </c>
      <c r="I9" s="19"/>
      <c r="J9" s="19"/>
      <c r="K9" s="39" t="str">
        <f t="shared" si="2"/>
        <v/>
      </c>
      <c r="L9" s="19"/>
      <c r="M9" s="19"/>
      <c r="N9" s="39" t="str">
        <f t="shared" si="3"/>
        <v/>
      </c>
      <c r="O9" s="23" t="s">
        <v>32</v>
      </c>
      <c r="P9" s="19"/>
      <c r="Q9" s="19"/>
      <c r="R9" s="39" t="str">
        <f t="shared" si="4"/>
        <v/>
      </c>
      <c r="S9" s="19"/>
      <c r="T9" s="19"/>
      <c r="U9" s="39" t="str">
        <f t="shared" si="5"/>
        <v/>
      </c>
      <c r="V9" s="23" t="s">
        <v>32</v>
      </c>
      <c r="W9" s="19"/>
      <c r="X9" s="19"/>
      <c r="Y9" s="39" t="str">
        <f t="shared" si="6"/>
        <v/>
      </c>
      <c r="Z9" s="23" t="s">
        <v>32</v>
      </c>
      <c r="AA9" s="19">
        <v>548172</v>
      </c>
      <c r="AB9" s="19">
        <v>1350</v>
      </c>
      <c r="AC9" s="39">
        <f t="shared" si="7"/>
        <v>2.4627306757732973E-3</v>
      </c>
      <c r="AD9" s="19"/>
      <c r="AE9" s="19"/>
      <c r="AF9" s="39" t="str">
        <f t="shared" si="8"/>
        <v/>
      </c>
      <c r="AG9" s="19"/>
      <c r="AH9" s="19"/>
      <c r="AI9" s="39" t="str">
        <f t="shared" si="9"/>
        <v/>
      </c>
      <c r="AJ9" s="23" t="s">
        <v>32</v>
      </c>
      <c r="AK9" s="19">
        <f>D40*40490</f>
        <v>4534880</v>
      </c>
      <c r="AL9" s="19">
        <v>4798</v>
      </c>
      <c r="AM9" s="39">
        <f t="shared" si="10"/>
        <v>1.0580213809406203E-3</v>
      </c>
    </row>
    <row r="10" spans="1:43" s="4" customFormat="1" x14ac:dyDescent="0.3">
      <c r="A10" s="16" t="s">
        <v>234</v>
      </c>
      <c r="B10" s="23" t="s">
        <v>32</v>
      </c>
      <c r="E10" s="39" t="str">
        <f t="shared" si="0"/>
        <v/>
      </c>
      <c r="H10" s="39" t="str">
        <f t="shared" si="1"/>
        <v/>
      </c>
      <c r="K10" s="39" t="str">
        <f t="shared" si="2"/>
        <v/>
      </c>
      <c r="N10" s="39" t="str">
        <f t="shared" si="3"/>
        <v/>
      </c>
      <c r="O10" s="23" t="s">
        <v>32</v>
      </c>
      <c r="R10" s="39" t="str">
        <f t="shared" si="4"/>
        <v/>
      </c>
      <c r="U10" s="39" t="str">
        <f t="shared" si="5"/>
        <v/>
      </c>
      <c r="V10" s="23" t="s">
        <v>32</v>
      </c>
      <c r="W10" s="19">
        <f>202185*36</f>
        <v>7278660</v>
      </c>
      <c r="X10" s="19">
        <v>36050</v>
      </c>
      <c r="Y10" s="39">
        <f t="shared" si="6"/>
        <v>4.9528347250730213E-3</v>
      </c>
      <c r="Z10" s="23" t="s">
        <v>32</v>
      </c>
      <c r="AA10" s="19">
        <v>9151380</v>
      </c>
      <c r="AB10" s="19">
        <v>32650</v>
      </c>
      <c r="AC10" s="39">
        <f t="shared" si="7"/>
        <v>3.5677679213408251E-3</v>
      </c>
      <c r="AF10" s="39" t="str">
        <f t="shared" si="8"/>
        <v/>
      </c>
      <c r="AI10" s="39" t="str">
        <f t="shared" si="9"/>
        <v/>
      </c>
      <c r="AJ10" s="23" t="s">
        <v>32</v>
      </c>
      <c r="AK10" s="19">
        <f>D40*215281</f>
        <v>24111472</v>
      </c>
      <c r="AL10" s="19">
        <v>133334</v>
      </c>
      <c r="AM10" s="39">
        <f t="shared" si="10"/>
        <v>5.529898796722158E-3</v>
      </c>
    </row>
    <row r="11" spans="1:43" s="4" customFormat="1" x14ac:dyDescent="0.3">
      <c r="A11" s="16" t="s">
        <v>152</v>
      </c>
      <c r="B11" s="23" t="s">
        <v>3</v>
      </c>
      <c r="C11" s="19"/>
      <c r="D11" s="19"/>
      <c r="E11" s="39" t="str">
        <f t="shared" si="0"/>
        <v/>
      </c>
      <c r="F11" s="19"/>
      <c r="G11" s="19"/>
      <c r="H11" s="39" t="str">
        <f t="shared" si="1"/>
        <v/>
      </c>
      <c r="I11" s="19"/>
      <c r="J11" s="19"/>
      <c r="K11" s="39" t="str">
        <f t="shared" si="2"/>
        <v/>
      </c>
      <c r="L11" s="19"/>
      <c r="M11" s="19"/>
      <c r="N11" s="39" t="str">
        <f t="shared" si="3"/>
        <v/>
      </c>
      <c r="O11" s="23" t="s">
        <v>3</v>
      </c>
      <c r="P11" s="19"/>
      <c r="Q11" s="19"/>
      <c r="R11" s="39" t="str">
        <f t="shared" si="4"/>
        <v/>
      </c>
      <c r="S11" s="19"/>
      <c r="T11" s="19"/>
      <c r="U11" s="39" t="str">
        <f t="shared" si="5"/>
        <v/>
      </c>
      <c r="V11" s="23" t="s">
        <v>3</v>
      </c>
      <c r="W11" s="19"/>
      <c r="X11" s="19"/>
      <c r="Y11" s="39" t="str">
        <f t="shared" si="6"/>
        <v/>
      </c>
      <c r="Z11" s="23" t="s">
        <v>3</v>
      </c>
      <c r="AA11" s="19"/>
      <c r="AB11" s="19">
        <v>1860</v>
      </c>
      <c r="AC11" s="39" t="str">
        <f t="shared" si="7"/>
        <v/>
      </c>
      <c r="AD11" s="19"/>
      <c r="AE11" s="19"/>
      <c r="AF11" s="39" t="str">
        <f t="shared" si="8"/>
        <v/>
      </c>
      <c r="AG11" s="19"/>
      <c r="AH11" s="19"/>
      <c r="AI11" s="39" t="str">
        <f t="shared" si="9"/>
        <v/>
      </c>
      <c r="AJ11" s="23" t="s">
        <v>3</v>
      </c>
      <c r="AK11" s="19"/>
      <c r="AL11" s="19"/>
      <c r="AM11" s="39" t="str">
        <f t="shared" si="10"/>
        <v/>
      </c>
    </row>
    <row r="12" spans="1:43" s="4" customFormat="1" x14ac:dyDescent="0.3">
      <c r="A12" s="16" t="s">
        <v>46</v>
      </c>
      <c r="B12" s="23" t="s">
        <v>32</v>
      </c>
      <c r="E12" s="39" t="str">
        <f t="shared" si="0"/>
        <v/>
      </c>
      <c r="F12" s="19"/>
      <c r="G12" s="19"/>
      <c r="H12" s="39" t="str">
        <f t="shared" si="1"/>
        <v/>
      </c>
      <c r="I12" s="19"/>
      <c r="J12" s="19"/>
      <c r="K12" s="39" t="str">
        <f t="shared" si="2"/>
        <v/>
      </c>
      <c r="L12" s="19"/>
      <c r="M12" s="19"/>
      <c r="N12" s="39" t="str">
        <f t="shared" si="3"/>
        <v/>
      </c>
      <c r="O12" s="23" t="s">
        <v>32</v>
      </c>
      <c r="P12" s="19"/>
      <c r="Q12" s="19"/>
      <c r="R12" s="39" t="str">
        <f t="shared" si="4"/>
        <v/>
      </c>
      <c r="S12" s="19"/>
      <c r="T12" s="19"/>
      <c r="U12" s="39" t="str">
        <f t="shared" si="5"/>
        <v/>
      </c>
      <c r="V12" s="23" t="s">
        <v>32</v>
      </c>
      <c r="W12" s="19"/>
      <c r="X12" s="19"/>
      <c r="Y12" s="39" t="str">
        <f t="shared" si="6"/>
        <v/>
      </c>
      <c r="Z12" s="23" t="s">
        <v>32</v>
      </c>
      <c r="AA12" s="19">
        <v>261288</v>
      </c>
      <c r="AB12" s="19">
        <v>820</v>
      </c>
      <c r="AC12" s="39">
        <f t="shared" si="7"/>
        <v>3.1382995009338354E-3</v>
      </c>
      <c r="AD12" s="19"/>
      <c r="AE12" s="19"/>
      <c r="AF12" s="39" t="str">
        <f t="shared" si="8"/>
        <v/>
      </c>
      <c r="AG12" s="19"/>
      <c r="AH12" s="19"/>
      <c r="AI12" s="39" t="str">
        <f t="shared" si="9"/>
        <v/>
      </c>
      <c r="AJ12" s="23" t="s">
        <v>32</v>
      </c>
      <c r="AK12" s="19">
        <f>D40*16709</f>
        <v>1871408</v>
      </c>
      <c r="AL12" s="19">
        <v>3617</v>
      </c>
      <c r="AM12" s="39">
        <f t="shared" si="10"/>
        <v>1.9327693373117996E-3</v>
      </c>
    </row>
    <row r="13" spans="1:43" s="4" customFormat="1" x14ac:dyDescent="0.3">
      <c r="A13" s="16" t="s">
        <v>96</v>
      </c>
      <c r="B13" s="23" t="s">
        <v>3</v>
      </c>
      <c r="E13" s="39" t="str">
        <f t="shared" si="0"/>
        <v/>
      </c>
      <c r="F13" s="19"/>
      <c r="G13" s="19"/>
      <c r="H13" s="39" t="str">
        <f t="shared" si="1"/>
        <v/>
      </c>
      <c r="I13" s="19">
        <v>1700</v>
      </c>
      <c r="J13" s="19">
        <v>3400</v>
      </c>
      <c r="K13" s="39">
        <f t="shared" si="2"/>
        <v>2</v>
      </c>
      <c r="L13" s="19">
        <v>2000</v>
      </c>
      <c r="M13" s="19">
        <v>4000</v>
      </c>
      <c r="N13" s="39">
        <f t="shared" si="3"/>
        <v>2</v>
      </c>
      <c r="O13" s="23" t="s">
        <v>97</v>
      </c>
      <c r="P13" s="19">
        <v>3500</v>
      </c>
      <c r="Q13" s="19">
        <v>5780</v>
      </c>
      <c r="R13" s="39">
        <f t="shared" si="4"/>
        <v>1.6514285714285715</v>
      </c>
      <c r="S13" s="19">
        <v>3500</v>
      </c>
      <c r="T13" s="19">
        <v>5780</v>
      </c>
      <c r="U13" s="39">
        <f t="shared" si="5"/>
        <v>1.6514285714285715</v>
      </c>
      <c r="V13" s="23" t="s">
        <v>97</v>
      </c>
      <c r="W13" s="19"/>
      <c r="X13" s="19"/>
      <c r="Y13" s="39" t="str">
        <f t="shared" si="6"/>
        <v/>
      </c>
      <c r="Z13" s="23" t="s">
        <v>97</v>
      </c>
      <c r="AA13" s="19"/>
      <c r="AB13" s="19"/>
      <c r="AC13" s="39" t="str">
        <f t="shared" si="7"/>
        <v/>
      </c>
      <c r="AD13" s="19"/>
      <c r="AE13" s="19"/>
      <c r="AF13" s="39" t="str">
        <f t="shared" si="8"/>
        <v/>
      </c>
      <c r="AG13" s="19"/>
      <c r="AH13" s="19"/>
      <c r="AI13" s="39" t="str">
        <f t="shared" si="9"/>
        <v/>
      </c>
      <c r="AJ13" s="23" t="s">
        <v>97</v>
      </c>
      <c r="AK13" s="19"/>
      <c r="AL13" s="19"/>
      <c r="AM13" s="39" t="str">
        <f t="shared" si="10"/>
        <v/>
      </c>
    </row>
    <row r="14" spans="1:43" s="4" customFormat="1" x14ac:dyDescent="0.3">
      <c r="A14" s="16" t="s">
        <v>95</v>
      </c>
      <c r="B14" s="23" t="s">
        <v>32</v>
      </c>
      <c r="E14" s="39" t="str">
        <f t="shared" si="0"/>
        <v/>
      </c>
      <c r="F14" s="19"/>
      <c r="G14" s="19"/>
      <c r="H14" s="39" t="str">
        <f t="shared" si="1"/>
        <v/>
      </c>
      <c r="I14" s="19"/>
      <c r="J14" s="19"/>
      <c r="K14" s="39" t="str">
        <f t="shared" si="2"/>
        <v/>
      </c>
      <c r="L14" s="19"/>
      <c r="M14" s="19"/>
      <c r="N14" s="39" t="str">
        <f t="shared" si="3"/>
        <v/>
      </c>
      <c r="O14" s="23" t="s">
        <v>32</v>
      </c>
      <c r="P14" s="19"/>
      <c r="Q14" s="19"/>
      <c r="R14" s="39" t="str">
        <f t="shared" si="4"/>
        <v/>
      </c>
      <c r="S14" s="19"/>
      <c r="T14" s="19"/>
      <c r="U14" s="39" t="str">
        <f t="shared" si="5"/>
        <v/>
      </c>
      <c r="V14" s="23" t="s">
        <v>32</v>
      </c>
      <c r="W14" s="19"/>
      <c r="X14" s="19"/>
      <c r="Y14" s="39" t="str">
        <f t="shared" si="6"/>
        <v/>
      </c>
      <c r="Z14" s="23" t="s">
        <v>32</v>
      </c>
      <c r="AA14" s="19">
        <v>42552</v>
      </c>
      <c r="AB14" s="19">
        <v>1850</v>
      </c>
      <c r="AC14" s="39">
        <f t="shared" si="7"/>
        <v>4.3476217334085354E-2</v>
      </c>
      <c r="AD14" s="19"/>
      <c r="AE14" s="19"/>
      <c r="AF14" s="39" t="str">
        <f t="shared" si="8"/>
        <v/>
      </c>
      <c r="AG14" s="19"/>
      <c r="AH14" s="19"/>
      <c r="AI14" s="39" t="str">
        <f t="shared" si="9"/>
        <v/>
      </c>
      <c r="AJ14" s="23" t="s">
        <v>32</v>
      </c>
      <c r="AK14" s="19"/>
      <c r="AL14" s="19"/>
      <c r="AM14" s="39" t="str">
        <f t="shared" si="10"/>
        <v/>
      </c>
    </row>
    <row r="15" spans="1:43" s="4" customFormat="1" x14ac:dyDescent="0.3">
      <c r="A15" s="16" t="s">
        <v>78</v>
      </c>
      <c r="B15" s="23" t="s">
        <v>32</v>
      </c>
      <c r="E15" s="39" t="str">
        <f t="shared" si="0"/>
        <v/>
      </c>
      <c r="F15" s="19"/>
      <c r="G15" s="19"/>
      <c r="H15" s="39" t="str">
        <f t="shared" si="1"/>
        <v/>
      </c>
      <c r="I15" s="19">
        <v>200000</v>
      </c>
      <c r="J15" s="19">
        <v>4000</v>
      </c>
      <c r="K15" s="39">
        <f t="shared" si="2"/>
        <v>0.02</v>
      </c>
      <c r="L15" s="19"/>
      <c r="M15" s="19"/>
      <c r="N15" s="39" t="str">
        <f t="shared" si="3"/>
        <v/>
      </c>
      <c r="O15" s="23" t="s">
        <v>32</v>
      </c>
      <c r="P15" s="19">
        <v>200000</v>
      </c>
      <c r="Q15" s="19">
        <v>4230</v>
      </c>
      <c r="R15" s="39">
        <f t="shared" si="4"/>
        <v>2.1149999999999999E-2</v>
      </c>
      <c r="S15" s="19">
        <v>200000</v>
      </c>
      <c r="T15" s="19">
        <v>4230</v>
      </c>
      <c r="U15" s="39">
        <f t="shared" si="5"/>
        <v>2.1149999999999999E-2</v>
      </c>
      <c r="V15" s="23"/>
      <c r="W15" s="19"/>
      <c r="X15" s="19"/>
      <c r="Y15" s="39" t="str">
        <f t="shared" si="6"/>
        <v/>
      </c>
      <c r="Z15" s="23"/>
      <c r="AA15" s="19">
        <v>5112</v>
      </c>
      <c r="AB15" s="19">
        <v>80</v>
      </c>
      <c r="AC15" s="39">
        <f t="shared" si="7"/>
        <v>1.5649452269170579E-2</v>
      </c>
      <c r="AD15" s="19"/>
      <c r="AE15" s="19"/>
      <c r="AF15" s="39" t="str">
        <f t="shared" si="8"/>
        <v/>
      </c>
      <c r="AG15" s="19"/>
      <c r="AH15" s="19"/>
      <c r="AI15" s="39" t="str">
        <f t="shared" si="9"/>
        <v/>
      </c>
      <c r="AJ15" s="23" t="s">
        <v>32</v>
      </c>
      <c r="AK15" s="19"/>
      <c r="AL15" s="19"/>
      <c r="AM15" s="39" t="str">
        <f t="shared" si="10"/>
        <v/>
      </c>
    </row>
    <row r="16" spans="1:43" s="4" customFormat="1" x14ac:dyDescent="0.3">
      <c r="A16" s="16" t="s">
        <v>43</v>
      </c>
      <c r="B16" s="23" t="s">
        <v>32</v>
      </c>
      <c r="C16" s="19"/>
      <c r="D16" s="19"/>
      <c r="E16" s="39" t="str">
        <f t="shared" si="0"/>
        <v/>
      </c>
      <c r="F16" s="19"/>
      <c r="G16" s="19"/>
      <c r="H16" s="39" t="str">
        <f t="shared" si="1"/>
        <v/>
      </c>
      <c r="I16" s="19"/>
      <c r="J16" s="19"/>
      <c r="K16" s="39" t="str">
        <f t="shared" si="2"/>
        <v/>
      </c>
      <c r="L16" s="19"/>
      <c r="M16" s="19"/>
      <c r="N16" s="39" t="str">
        <f t="shared" si="3"/>
        <v/>
      </c>
      <c r="O16" s="23" t="s">
        <v>32</v>
      </c>
      <c r="P16" s="19"/>
      <c r="Q16" s="19"/>
      <c r="R16" s="39" t="str">
        <f t="shared" si="4"/>
        <v/>
      </c>
      <c r="S16" s="19"/>
      <c r="T16" s="19"/>
      <c r="U16" s="39" t="str">
        <f t="shared" si="5"/>
        <v/>
      </c>
      <c r="V16" s="23" t="s">
        <v>32</v>
      </c>
      <c r="W16" s="19"/>
      <c r="X16" s="19"/>
      <c r="Y16" s="39" t="str">
        <f t="shared" si="6"/>
        <v/>
      </c>
      <c r="Z16" s="23" t="s">
        <v>32</v>
      </c>
      <c r="AA16" s="19"/>
      <c r="AB16" s="19"/>
      <c r="AC16" s="39" t="str">
        <f t="shared" si="7"/>
        <v/>
      </c>
      <c r="AD16" s="19"/>
      <c r="AE16" s="19"/>
      <c r="AF16" s="39" t="str">
        <f t="shared" si="8"/>
        <v/>
      </c>
      <c r="AG16" s="19"/>
      <c r="AH16" s="19"/>
      <c r="AI16" s="39" t="str">
        <f t="shared" si="9"/>
        <v/>
      </c>
      <c r="AJ16" s="23" t="s">
        <v>32</v>
      </c>
      <c r="AK16" s="19">
        <f>D40*4012</f>
        <v>449344</v>
      </c>
      <c r="AL16" s="19">
        <v>12183</v>
      </c>
      <c r="AM16" s="39">
        <f t="shared" si="10"/>
        <v>2.711285785500641E-2</v>
      </c>
    </row>
    <row r="17" spans="1:39" s="4" customFormat="1" x14ac:dyDescent="0.3">
      <c r="A17" s="16" t="s">
        <v>28</v>
      </c>
      <c r="B17" s="23" t="s">
        <v>32</v>
      </c>
      <c r="C17" s="19"/>
      <c r="D17" s="19"/>
      <c r="E17" s="39" t="str">
        <f t="shared" si="0"/>
        <v/>
      </c>
      <c r="F17" s="19"/>
      <c r="G17" s="19"/>
      <c r="H17" s="39" t="str">
        <f t="shared" si="1"/>
        <v/>
      </c>
      <c r="I17" s="19">
        <v>8922</v>
      </c>
      <c r="J17" s="19">
        <v>5600</v>
      </c>
      <c r="K17" s="39">
        <f t="shared" si="2"/>
        <v>0.62766195920197265</v>
      </c>
      <c r="L17" s="19">
        <v>10197</v>
      </c>
      <c r="M17" s="19">
        <v>4800</v>
      </c>
      <c r="N17" s="39">
        <f t="shared" si="3"/>
        <v>0.47072668431891734</v>
      </c>
      <c r="O17" s="23" t="s">
        <v>32</v>
      </c>
      <c r="P17" s="19"/>
      <c r="Q17" s="19"/>
      <c r="R17" s="39" t="str">
        <f t="shared" si="4"/>
        <v/>
      </c>
      <c r="S17" s="19"/>
      <c r="T17" s="19"/>
      <c r="U17" s="39" t="str">
        <f t="shared" si="5"/>
        <v/>
      </c>
      <c r="V17" s="23" t="s">
        <v>32</v>
      </c>
      <c r="W17" s="19"/>
      <c r="X17" s="19"/>
      <c r="Y17" s="39" t="str">
        <f t="shared" si="6"/>
        <v/>
      </c>
      <c r="Z17" s="23" t="s">
        <v>32</v>
      </c>
      <c r="AA17" s="19"/>
      <c r="AB17" s="19"/>
      <c r="AC17" s="39" t="str">
        <f t="shared" si="7"/>
        <v/>
      </c>
      <c r="AD17" s="19"/>
      <c r="AE17" s="19"/>
      <c r="AF17" s="39" t="str">
        <f t="shared" si="8"/>
        <v/>
      </c>
      <c r="AG17" s="19"/>
      <c r="AH17" s="19"/>
      <c r="AI17" s="39" t="str">
        <f t="shared" si="9"/>
        <v/>
      </c>
      <c r="AJ17" s="23" t="s">
        <v>32</v>
      </c>
      <c r="AK17" s="19"/>
      <c r="AL17" s="19"/>
      <c r="AM17" s="39" t="str">
        <f t="shared" si="10"/>
        <v/>
      </c>
    </row>
    <row r="18" spans="1:39" s="4" customFormat="1" x14ac:dyDescent="0.3">
      <c r="A18" s="16" t="s">
        <v>44</v>
      </c>
      <c r="B18" s="23" t="s">
        <v>32</v>
      </c>
      <c r="C18" s="19"/>
      <c r="D18" s="19"/>
      <c r="E18" s="39" t="str">
        <f t="shared" si="0"/>
        <v/>
      </c>
      <c r="F18" s="19"/>
      <c r="G18" s="19"/>
      <c r="H18" s="39" t="str">
        <f t="shared" si="1"/>
        <v/>
      </c>
      <c r="I18" s="19">
        <f>2800000+900000</f>
        <v>3700000</v>
      </c>
      <c r="J18" s="19">
        <f>61600+19600</f>
        <v>81200</v>
      </c>
      <c r="K18" s="39">
        <f t="shared" si="2"/>
        <v>2.1945945945945945E-2</v>
      </c>
      <c r="L18" s="19">
        <f>3000000+2192000</f>
        <v>5192000</v>
      </c>
      <c r="M18" s="19">
        <f>52000+38000</f>
        <v>90000</v>
      </c>
      <c r="N18" s="39">
        <f t="shared" si="3"/>
        <v>1.7334360554699536E-2</v>
      </c>
      <c r="O18" s="23" t="s">
        <v>32</v>
      </c>
      <c r="P18" s="19">
        <v>1785000</v>
      </c>
      <c r="Q18" s="19">
        <v>32310</v>
      </c>
      <c r="R18" s="39">
        <f t="shared" si="4"/>
        <v>1.8100840336134454E-2</v>
      </c>
      <c r="S18" s="19">
        <v>1785000</v>
      </c>
      <c r="T18" s="19">
        <v>32310</v>
      </c>
      <c r="U18" s="39">
        <f t="shared" si="5"/>
        <v>1.8100840336134454E-2</v>
      </c>
      <c r="V18" s="23" t="s">
        <v>32</v>
      </c>
      <c r="W18" s="19"/>
      <c r="X18" s="19"/>
      <c r="Y18" s="39" t="str">
        <f t="shared" si="6"/>
        <v/>
      </c>
      <c r="Z18" s="23" t="s">
        <v>32</v>
      </c>
      <c r="AA18" s="19"/>
      <c r="AB18" s="19"/>
      <c r="AC18" s="39" t="str">
        <f t="shared" si="7"/>
        <v/>
      </c>
      <c r="AD18" s="19">
        <f>2000*2204.6</f>
        <v>4409200</v>
      </c>
      <c r="AE18" s="19">
        <v>37600</v>
      </c>
      <c r="AF18" s="39">
        <f t="shared" si="8"/>
        <v>8.5276240587861749E-3</v>
      </c>
      <c r="AG18" s="19">
        <f>2220*2204.6</f>
        <v>4894212</v>
      </c>
      <c r="AH18" s="19">
        <v>40740</v>
      </c>
      <c r="AI18" s="39">
        <f t="shared" si="9"/>
        <v>8.3241183667564864E-3</v>
      </c>
      <c r="AJ18" s="23" t="s">
        <v>32</v>
      </c>
      <c r="AK18" s="19">
        <f>D40*199306</f>
        <v>22322272</v>
      </c>
      <c r="AL18" s="19">
        <v>326639</v>
      </c>
      <c r="AM18" s="39">
        <f t="shared" si="10"/>
        <v>1.4632874288065301E-2</v>
      </c>
    </row>
    <row r="19" spans="1:39" s="4" customFormat="1" x14ac:dyDescent="0.3">
      <c r="A19" s="16" t="s">
        <v>243</v>
      </c>
      <c r="B19" s="23" t="s">
        <v>32</v>
      </c>
      <c r="C19" s="19"/>
      <c r="D19" s="19"/>
      <c r="E19" s="39" t="str">
        <f t="shared" si="0"/>
        <v/>
      </c>
      <c r="F19" s="19"/>
      <c r="G19" s="19"/>
      <c r="H19" s="39" t="str">
        <f t="shared" si="1"/>
        <v/>
      </c>
      <c r="I19" s="19"/>
      <c r="J19" s="19"/>
      <c r="K19" s="39" t="str">
        <f t="shared" si="2"/>
        <v/>
      </c>
      <c r="L19" s="19"/>
      <c r="M19" s="19"/>
      <c r="N19" s="39" t="str">
        <f t="shared" si="3"/>
        <v/>
      </c>
      <c r="O19" s="23" t="s">
        <v>32</v>
      </c>
      <c r="P19" s="19"/>
      <c r="Q19" s="19"/>
      <c r="R19" s="39" t="str">
        <f t="shared" si="4"/>
        <v/>
      </c>
      <c r="S19" s="19"/>
      <c r="T19" s="19"/>
      <c r="U19" s="39" t="str">
        <f t="shared" si="5"/>
        <v/>
      </c>
      <c r="V19" s="23" t="s">
        <v>32</v>
      </c>
      <c r="W19" s="19"/>
      <c r="X19" s="19"/>
      <c r="Y19" s="39" t="str">
        <f t="shared" si="6"/>
        <v/>
      </c>
      <c r="Z19" s="23" t="s">
        <v>32</v>
      </c>
      <c r="AA19" s="19"/>
      <c r="AB19" s="19"/>
      <c r="AC19" s="39" t="str">
        <f t="shared" si="7"/>
        <v/>
      </c>
      <c r="AD19" s="19"/>
      <c r="AE19" s="19"/>
      <c r="AF19" s="39" t="str">
        <f t="shared" si="8"/>
        <v/>
      </c>
      <c r="AG19" s="19"/>
      <c r="AH19" s="19"/>
      <c r="AI19" s="39" t="str">
        <f t="shared" si="9"/>
        <v/>
      </c>
      <c r="AJ19" s="23" t="s">
        <v>32</v>
      </c>
      <c r="AK19" s="19">
        <f>D40*652</f>
        <v>73024</v>
      </c>
      <c r="AL19" s="19">
        <v>1850</v>
      </c>
      <c r="AM19" s="39">
        <f t="shared" si="10"/>
        <v>2.5334136722173533E-2</v>
      </c>
    </row>
    <row r="20" spans="1:39" s="4" customFormat="1" x14ac:dyDescent="0.3">
      <c r="A20" s="16" t="s">
        <v>57</v>
      </c>
      <c r="B20" s="23" t="s">
        <v>32</v>
      </c>
      <c r="C20" s="19"/>
      <c r="D20" s="19"/>
      <c r="E20" s="39" t="str">
        <f t="shared" si="0"/>
        <v/>
      </c>
      <c r="F20" s="19"/>
      <c r="G20" s="19"/>
      <c r="H20" s="39" t="str">
        <f t="shared" si="1"/>
        <v/>
      </c>
      <c r="I20" s="19"/>
      <c r="J20" s="19"/>
      <c r="K20" s="39" t="str">
        <f t="shared" si="2"/>
        <v/>
      </c>
      <c r="L20" s="19"/>
      <c r="M20" s="19"/>
      <c r="N20" s="39" t="str">
        <f t="shared" si="3"/>
        <v/>
      </c>
      <c r="O20" s="23" t="s">
        <v>32</v>
      </c>
      <c r="P20" s="19"/>
      <c r="Q20" s="19"/>
      <c r="R20" s="39" t="str">
        <f t="shared" si="4"/>
        <v/>
      </c>
      <c r="S20" s="19"/>
      <c r="T20" s="19"/>
      <c r="U20" s="39" t="str">
        <f t="shared" si="5"/>
        <v/>
      </c>
      <c r="V20" s="23" t="s">
        <v>32</v>
      </c>
      <c r="W20" s="19"/>
      <c r="X20" s="19"/>
      <c r="Y20" s="39" t="str">
        <f t="shared" si="6"/>
        <v/>
      </c>
      <c r="Z20" s="23" t="s">
        <v>32</v>
      </c>
      <c r="AA20" s="19"/>
      <c r="AB20" s="19"/>
      <c r="AC20" s="39" t="str">
        <f t="shared" si="7"/>
        <v/>
      </c>
      <c r="AD20" s="19"/>
      <c r="AE20" s="19"/>
      <c r="AF20" s="39" t="str">
        <f t="shared" si="8"/>
        <v/>
      </c>
      <c r="AG20" s="19"/>
      <c r="AH20" s="19"/>
      <c r="AI20" s="39" t="str">
        <f t="shared" si="9"/>
        <v/>
      </c>
      <c r="AJ20" s="23" t="s">
        <v>32</v>
      </c>
      <c r="AK20" s="19">
        <f>D40*1413</f>
        <v>158256</v>
      </c>
      <c r="AL20" s="19">
        <v>5222</v>
      </c>
      <c r="AM20" s="39">
        <f t="shared" si="10"/>
        <v>3.2997169143665961E-2</v>
      </c>
    </row>
    <row r="21" spans="1:39" s="4" customFormat="1" x14ac:dyDescent="0.3">
      <c r="A21" s="16" t="s">
        <v>56</v>
      </c>
      <c r="B21" s="23" t="s">
        <v>32</v>
      </c>
      <c r="C21" s="19"/>
      <c r="D21" s="19"/>
      <c r="E21" s="39" t="str">
        <f t="shared" si="0"/>
        <v/>
      </c>
      <c r="F21" s="19"/>
      <c r="G21" s="19"/>
      <c r="H21" s="39" t="str">
        <f t="shared" si="1"/>
        <v/>
      </c>
      <c r="I21" s="19"/>
      <c r="J21" s="19"/>
      <c r="K21" s="39" t="str">
        <f t="shared" si="2"/>
        <v/>
      </c>
      <c r="L21" s="19">
        <v>229500</v>
      </c>
      <c r="M21" s="19">
        <v>3600</v>
      </c>
      <c r="N21" s="39">
        <f t="shared" si="3"/>
        <v>1.5686274509803921E-2</v>
      </c>
      <c r="O21" s="23" t="s">
        <v>32</v>
      </c>
      <c r="P21" s="19">
        <v>140000</v>
      </c>
      <c r="Q21" s="19">
        <v>5000</v>
      </c>
      <c r="R21" s="39">
        <f t="shared" si="4"/>
        <v>3.5714285714285712E-2</v>
      </c>
      <c r="S21" s="19">
        <v>140000</v>
      </c>
      <c r="T21" s="19">
        <v>5000</v>
      </c>
      <c r="U21" s="39">
        <f t="shared" si="5"/>
        <v>3.5714285714285712E-2</v>
      </c>
      <c r="V21" s="23" t="s">
        <v>32</v>
      </c>
      <c r="W21" s="19"/>
      <c r="X21" s="19"/>
      <c r="Y21" s="39" t="str">
        <f t="shared" si="6"/>
        <v/>
      </c>
      <c r="Z21" s="23" t="s">
        <v>32</v>
      </c>
      <c r="AA21" s="19">
        <v>60660</v>
      </c>
      <c r="AB21" s="19">
        <v>874</v>
      </c>
      <c r="AC21" s="39">
        <f t="shared" si="7"/>
        <v>1.4408176722716782E-2</v>
      </c>
      <c r="AD21" s="19"/>
      <c r="AE21" s="19"/>
      <c r="AF21" s="39" t="str">
        <f t="shared" si="8"/>
        <v/>
      </c>
      <c r="AG21" s="19"/>
      <c r="AH21" s="19"/>
      <c r="AI21" s="39" t="str">
        <f t="shared" si="9"/>
        <v/>
      </c>
      <c r="AJ21" s="23" t="s">
        <v>32</v>
      </c>
      <c r="AK21" s="19">
        <f>D40*6905</f>
        <v>773360</v>
      </c>
      <c r="AL21" s="19">
        <v>5968</v>
      </c>
      <c r="AM21" s="39">
        <f t="shared" si="10"/>
        <v>7.7169752767145957E-3</v>
      </c>
    </row>
    <row r="22" spans="1:39" s="4" customFormat="1" x14ac:dyDescent="0.3">
      <c r="A22" s="16" t="s">
        <v>45</v>
      </c>
      <c r="B22" s="23" t="s">
        <v>32</v>
      </c>
      <c r="C22" s="19"/>
      <c r="D22" s="19"/>
      <c r="E22" s="39" t="str">
        <f t="shared" si="0"/>
        <v/>
      </c>
      <c r="F22" s="19"/>
      <c r="G22" s="19"/>
      <c r="H22" s="39" t="str">
        <f t="shared" si="1"/>
        <v/>
      </c>
      <c r="I22" s="19"/>
      <c r="J22" s="19"/>
      <c r="K22" s="39" t="str">
        <f t="shared" si="2"/>
        <v/>
      </c>
      <c r="L22" s="19"/>
      <c r="M22" s="19"/>
      <c r="N22" s="39" t="str">
        <f t="shared" si="3"/>
        <v/>
      </c>
      <c r="O22" s="23" t="s">
        <v>32</v>
      </c>
      <c r="P22" s="19"/>
      <c r="Q22" s="19"/>
      <c r="R22" s="39" t="str">
        <f t="shared" si="4"/>
        <v/>
      </c>
      <c r="S22" s="19"/>
      <c r="T22" s="19"/>
      <c r="U22" s="39" t="str">
        <f t="shared" si="5"/>
        <v/>
      </c>
      <c r="V22" s="23" t="s">
        <v>32</v>
      </c>
      <c r="W22" s="19"/>
      <c r="X22" s="19"/>
      <c r="Y22" s="39" t="str">
        <f t="shared" si="6"/>
        <v/>
      </c>
      <c r="Z22" s="23" t="s">
        <v>32</v>
      </c>
      <c r="AA22" s="19">
        <v>59688</v>
      </c>
      <c r="AB22" s="19">
        <v>4350</v>
      </c>
      <c r="AC22" s="39">
        <f t="shared" si="7"/>
        <v>7.2878970647366301E-2</v>
      </c>
      <c r="AD22" s="19"/>
      <c r="AE22" s="19"/>
      <c r="AF22" s="39" t="str">
        <f t="shared" si="8"/>
        <v/>
      </c>
      <c r="AG22" s="19"/>
      <c r="AH22" s="19"/>
      <c r="AI22" s="39" t="str">
        <f t="shared" si="9"/>
        <v/>
      </c>
      <c r="AJ22" s="23" t="s">
        <v>32</v>
      </c>
      <c r="AK22" s="19"/>
      <c r="AL22" s="19"/>
      <c r="AM22" s="39" t="str">
        <f t="shared" si="10"/>
        <v/>
      </c>
    </row>
    <row r="23" spans="1:39" s="4" customFormat="1" x14ac:dyDescent="0.3">
      <c r="A23" s="16" t="s">
        <v>36</v>
      </c>
      <c r="B23" s="23" t="s">
        <v>32</v>
      </c>
      <c r="C23" s="19"/>
      <c r="D23" s="19"/>
      <c r="E23" s="39" t="str">
        <f t="shared" si="0"/>
        <v/>
      </c>
      <c r="F23" s="19"/>
      <c r="G23" s="19"/>
      <c r="H23" s="39" t="str">
        <f t="shared" si="1"/>
        <v/>
      </c>
      <c r="I23" s="19"/>
      <c r="J23" s="19"/>
      <c r="K23" s="39" t="str">
        <f t="shared" si="2"/>
        <v/>
      </c>
      <c r="L23" s="19"/>
      <c r="M23" s="19"/>
      <c r="N23" s="39" t="str">
        <f t="shared" si="3"/>
        <v/>
      </c>
      <c r="O23" s="23" t="s">
        <v>32</v>
      </c>
      <c r="P23" s="19">
        <v>112700</v>
      </c>
      <c r="Q23" s="19">
        <v>1540</v>
      </c>
      <c r="R23" s="39">
        <f t="shared" si="4"/>
        <v>1.3664596273291925E-2</v>
      </c>
      <c r="S23" s="19">
        <v>112700</v>
      </c>
      <c r="T23" s="19">
        <v>1540</v>
      </c>
      <c r="U23" s="39">
        <f t="shared" si="5"/>
        <v>1.3664596273291925E-2</v>
      </c>
      <c r="V23" s="23"/>
      <c r="W23" s="19"/>
      <c r="X23" s="19"/>
      <c r="Y23" s="39" t="str">
        <f t="shared" si="6"/>
        <v/>
      </c>
      <c r="Z23" s="23"/>
      <c r="AA23" s="19"/>
      <c r="AB23" s="19"/>
      <c r="AC23" s="39" t="str">
        <f t="shared" si="7"/>
        <v/>
      </c>
      <c r="AD23" s="19"/>
      <c r="AE23" s="19"/>
      <c r="AF23" s="39" t="str">
        <f t="shared" si="8"/>
        <v/>
      </c>
      <c r="AG23" s="19"/>
      <c r="AH23" s="19"/>
      <c r="AI23" s="39" t="str">
        <f t="shared" si="9"/>
        <v/>
      </c>
      <c r="AJ23" s="23" t="s">
        <v>32</v>
      </c>
      <c r="AK23" s="19"/>
      <c r="AL23" s="19"/>
      <c r="AM23" s="39" t="str">
        <f t="shared" si="10"/>
        <v/>
      </c>
    </row>
    <row r="24" spans="1:39" s="4" customFormat="1" ht="15" customHeight="1" x14ac:dyDescent="0.3">
      <c r="A24" s="16" t="s">
        <v>47</v>
      </c>
      <c r="B24" s="23" t="s">
        <v>32</v>
      </c>
      <c r="C24" s="19"/>
      <c r="D24" s="19"/>
      <c r="E24" s="39" t="str">
        <f t="shared" si="0"/>
        <v/>
      </c>
      <c r="F24" s="19"/>
      <c r="G24" s="19"/>
      <c r="H24" s="39" t="str">
        <f t="shared" si="1"/>
        <v/>
      </c>
      <c r="I24" s="19"/>
      <c r="J24" s="19"/>
      <c r="K24" s="39" t="str">
        <f t="shared" si="2"/>
        <v/>
      </c>
      <c r="L24" s="19"/>
      <c r="M24" s="19"/>
      <c r="N24" s="39" t="str">
        <f t="shared" si="3"/>
        <v/>
      </c>
      <c r="O24" s="23" t="s">
        <v>32</v>
      </c>
      <c r="P24" s="19"/>
      <c r="Q24" s="19"/>
      <c r="R24" s="39" t="str">
        <f t="shared" si="4"/>
        <v/>
      </c>
      <c r="S24" s="19"/>
      <c r="T24" s="19"/>
      <c r="U24" s="39" t="str">
        <f t="shared" si="5"/>
        <v/>
      </c>
      <c r="V24" s="23" t="s">
        <v>32</v>
      </c>
      <c r="W24" s="19"/>
      <c r="X24" s="19"/>
      <c r="Y24" s="39" t="str">
        <f t="shared" si="6"/>
        <v/>
      </c>
      <c r="Z24" s="23" t="s">
        <v>32</v>
      </c>
      <c r="AA24" s="19">
        <v>461304</v>
      </c>
      <c r="AB24" s="19">
        <v>2190</v>
      </c>
      <c r="AC24" s="39">
        <f t="shared" si="7"/>
        <v>4.7474116851360494E-3</v>
      </c>
      <c r="AD24" s="19"/>
      <c r="AE24" s="19"/>
      <c r="AF24" s="39" t="str">
        <f t="shared" si="8"/>
        <v/>
      </c>
      <c r="AG24" s="19"/>
      <c r="AH24" s="19"/>
      <c r="AI24" s="39" t="str">
        <f t="shared" si="9"/>
        <v/>
      </c>
      <c r="AJ24" s="23" t="s">
        <v>32</v>
      </c>
      <c r="AK24" s="19">
        <f>D40*3916</f>
        <v>438592</v>
      </c>
      <c r="AL24" s="19">
        <v>2185</v>
      </c>
      <c r="AM24" s="39">
        <f t="shared" si="10"/>
        <v>4.9818510141543849E-3</v>
      </c>
    </row>
    <row r="25" spans="1:39" s="4" customFormat="1" x14ac:dyDescent="0.3">
      <c r="A25" s="16" t="s">
        <v>173</v>
      </c>
      <c r="B25" s="23" t="s">
        <v>32</v>
      </c>
      <c r="E25" s="39" t="str">
        <f t="shared" si="0"/>
        <v/>
      </c>
      <c r="F25" s="19">
        <v>105840</v>
      </c>
      <c r="G25" s="19">
        <v>13240</v>
      </c>
      <c r="H25" s="39">
        <f t="shared" si="1"/>
        <v>0.12509448223733938</v>
      </c>
      <c r="I25" s="19">
        <v>19000</v>
      </c>
      <c r="J25" s="19">
        <v>3000</v>
      </c>
      <c r="K25" s="39">
        <f t="shared" si="2"/>
        <v>0.15789473684210525</v>
      </c>
      <c r="L25" s="19"/>
      <c r="M25" s="19"/>
      <c r="N25" s="39" t="str">
        <f t="shared" si="3"/>
        <v/>
      </c>
      <c r="O25" s="23" t="s">
        <v>32</v>
      </c>
      <c r="P25" s="19">
        <v>9000</v>
      </c>
      <c r="Q25" s="19">
        <v>2425</v>
      </c>
      <c r="R25" s="39">
        <f t="shared" si="4"/>
        <v>0.26944444444444443</v>
      </c>
      <c r="S25" s="19">
        <v>9000</v>
      </c>
      <c r="T25" s="19">
        <v>2425</v>
      </c>
      <c r="U25" s="39">
        <f t="shared" si="5"/>
        <v>0.26944444444444443</v>
      </c>
      <c r="V25" s="23" t="s">
        <v>32</v>
      </c>
      <c r="W25" s="19"/>
      <c r="X25" s="19"/>
      <c r="Y25" s="39" t="str">
        <f t="shared" si="6"/>
        <v/>
      </c>
      <c r="Z25" s="23" t="s">
        <v>32</v>
      </c>
      <c r="AA25" s="19">
        <v>96012</v>
      </c>
      <c r="AB25" s="19">
        <v>1325</v>
      </c>
      <c r="AC25" s="39">
        <f t="shared" si="7"/>
        <v>1.3800358288547265E-2</v>
      </c>
      <c r="AD25" s="19"/>
      <c r="AE25" s="19"/>
      <c r="AF25" s="39" t="str">
        <f t="shared" si="8"/>
        <v/>
      </c>
      <c r="AG25" s="19"/>
      <c r="AH25" s="19"/>
      <c r="AI25" s="39" t="str">
        <f t="shared" si="9"/>
        <v/>
      </c>
      <c r="AJ25" s="23" t="s">
        <v>32</v>
      </c>
      <c r="AK25" s="19">
        <f>D40*21125</f>
        <v>2366000</v>
      </c>
      <c r="AL25" s="19">
        <v>247502</v>
      </c>
      <c r="AM25" s="39">
        <f t="shared" si="10"/>
        <v>0.10460777683854607</v>
      </c>
    </row>
    <row r="26" spans="1:39" s="4" customFormat="1" x14ac:dyDescent="0.3">
      <c r="A26" s="16" t="s">
        <v>82</v>
      </c>
      <c r="B26" s="23" t="s">
        <v>32</v>
      </c>
      <c r="C26" s="19">
        <v>1230450</v>
      </c>
      <c r="D26" s="19">
        <v>937481</v>
      </c>
      <c r="E26" s="39">
        <f t="shared" si="0"/>
        <v>0.76190093055386243</v>
      </c>
      <c r="F26" s="19">
        <v>688564</v>
      </c>
      <c r="G26" s="19">
        <v>554727</v>
      </c>
      <c r="H26" s="39">
        <f t="shared" si="1"/>
        <v>0.80562881591253677</v>
      </c>
      <c r="I26" s="19">
        <v>130950</v>
      </c>
      <c r="J26" s="19">
        <v>32400</v>
      </c>
      <c r="K26" s="39">
        <f t="shared" si="2"/>
        <v>0.24742268041237114</v>
      </c>
      <c r="L26" s="19">
        <f>102000+11475</f>
        <v>113475</v>
      </c>
      <c r="M26" s="19">
        <f>32000+2500</f>
        <v>34500</v>
      </c>
      <c r="N26" s="39">
        <f t="shared" si="3"/>
        <v>0.30403172504957038</v>
      </c>
      <c r="O26" s="23" t="s">
        <v>32</v>
      </c>
      <c r="P26" s="19">
        <v>80000</v>
      </c>
      <c r="Q26" s="19">
        <v>48460</v>
      </c>
      <c r="R26" s="39">
        <f t="shared" si="4"/>
        <v>0.60575000000000001</v>
      </c>
      <c r="S26" s="19">
        <v>80000</v>
      </c>
      <c r="T26" s="19">
        <v>48460</v>
      </c>
      <c r="U26" s="39">
        <f t="shared" si="5"/>
        <v>0.60575000000000001</v>
      </c>
      <c r="V26" s="23" t="s">
        <v>32</v>
      </c>
      <c r="W26" s="19"/>
      <c r="X26" s="19"/>
      <c r="Y26" s="39" t="str">
        <f t="shared" si="6"/>
        <v/>
      </c>
      <c r="Z26" s="23" t="s">
        <v>32</v>
      </c>
      <c r="AA26" s="19">
        <v>13248</v>
      </c>
      <c r="AB26" s="19">
        <v>1880</v>
      </c>
      <c r="AC26" s="39">
        <f t="shared" si="7"/>
        <v>0.14190821256038647</v>
      </c>
      <c r="AD26" s="19"/>
      <c r="AE26" s="19"/>
      <c r="AF26" s="39" t="str">
        <f t="shared" si="8"/>
        <v/>
      </c>
      <c r="AG26" s="19"/>
      <c r="AH26" s="19"/>
      <c r="AI26" s="39" t="str">
        <f t="shared" si="9"/>
        <v/>
      </c>
      <c r="AJ26" s="23" t="s">
        <v>32</v>
      </c>
      <c r="AK26" s="19">
        <f>D40*221</f>
        <v>24752</v>
      </c>
      <c r="AL26" s="19">
        <v>8464</v>
      </c>
      <c r="AM26" s="39">
        <f t="shared" si="10"/>
        <v>0.34195216548157725</v>
      </c>
    </row>
    <row r="27" spans="1:39" s="4" customFormat="1" x14ac:dyDescent="0.3">
      <c r="A27" s="16" t="s">
        <v>170</v>
      </c>
      <c r="B27" s="23" t="s">
        <v>32</v>
      </c>
      <c r="C27" s="19"/>
      <c r="D27" s="19"/>
      <c r="E27" s="39" t="str">
        <f t="shared" si="0"/>
        <v/>
      </c>
      <c r="F27" s="19"/>
      <c r="G27" s="19"/>
      <c r="H27" s="39" t="str">
        <f t="shared" si="1"/>
        <v/>
      </c>
      <c r="I27" s="19"/>
      <c r="J27" s="19"/>
      <c r="K27" s="39" t="str">
        <f t="shared" si="2"/>
        <v/>
      </c>
      <c r="L27" s="19"/>
      <c r="M27" s="19"/>
      <c r="N27" s="39" t="str">
        <f t="shared" si="3"/>
        <v/>
      </c>
      <c r="O27" s="23" t="s">
        <v>32</v>
      </c>
      <c r="P27" s="19"/>
      <c r="Q27" s="19"/>
      <c r="R27" s="39" t="str">
        <f t="shared" si="4"/>
        <v/>
      </c>
      <c r="S27" s="19"/>
      <c r="T27" s="19"/>
      <c r="U27" s="39" t="str">
        <f t="shared" si="5"/>
        <v/>
      </c>
      <c r="V27" s="23" t="s">
        <v>32</v>
      </c>
      <c r="W27" s="19"/>
      <c r="X27" s="19"/>
      <c r="Y27" s="39" t="str">
        <f t="shared" si="6"/>
        <v/>
      </c>
      <c r="Z27" s="23" t="s">
        <v>32</v>
      </c>
      <c r="AA27" s="19">
        <v>19224</v>
      </c>
      <c r="AB27" s="19">
        <v>4850</v>
      </c>
      <c r="AC27" s="39">
        <f t="shared" si="7"/>
        <v>0.25228880565959216</v>
      </c>
      <c r="AD27" s="19"/>
      <c r="AE27" s="19"/>
      <c r="AF27" s="39" t="str">
        <f t="shared" si="8"/>
        <v/>
      </c>
      <c r="AG27" s="19"/>
      <c r="AH27" s="19"/>
      <c r="AI27" s="39" t="str">
        <f t="shared" si="9"/>
        <v/>
      </c>
      <c r="AJ27" s="23" t="s">
        <v>32</v>
      </c>
      <c r="AK27" s="19">
        <f>D40*158</f>
        <v>17696</v>
      </c>
      <c r="AL27" s="19">
        <v>3550</v>
      </c>
      <c r="AM27" s="39">
        <f t="shared" si="10"/>
        <v>0.20061030741410488</v>
      </c>
    </row>
    <row r="28" spans="1:39" s="4" customFormat="1" x14ac:dyDescent="0.3">
      <c r="A28" s="16" t="s">
        <v>174</v>
      </c>
      <c r="B28" s="23" t="s">
        <v>32</v>
      </c>
      <c r="C28" s="19">
        <v>799500</v>
      </c>
      <c r="D28" s="19">
        <v>121829</v>
      </c>
      <c r="E28" s="39">
        <f t="shared" si="0"/>
        <v>0.15238148843026891</v>
      </c>
      <c r="F28" s="19">
        <v>403704</v>
      </c>
      <c r="G28" s="19">
        <v>87450</v>
      </c>
      <c r="H28" s="39">
        <f t="shared" si="1"/>
        <v>0.21661910706854526</v>
      </c>
      <c r="I28" s="19">
        <v>28000</v>
      </c>
      <c r="J28" s="19">
        <v>1760</v>
      </c>
      <c r="K28" s="39">
        <f t="shared" si="2"/>
        <v>6.2857142857142861E-2</v>
      </c>
      <c r="L28" s="19">
        <v>153000</v>
      </c>
      <c r="M28" s="19">
        <v>9600</v>
      </c>
      <c r="N28" s="39">
        <f t="shared" si="3"/>
        <v>6.2745098039215685E-2</v>
      </c>
      <c r="O28" s="23" t="s">
        <v>32</v>
      </c>
      <c r="P28" s="19">
        <v>133800</v>
      </c>
      <c r="Q28" s="19">
        <v>24230</v>
      </c>
      <c r="R28" s="39">
        <f t="shared" si="4"/>
        <v>0.18109118086696563</v>
      </c>
      <c r="S28" s="19">
        <v>133800</v>
      </c>
      <c r="T28" s="19">
        <v>24230</v>
      </c>
      <c r="U28" s="39">
        <f t="shared" si="5"/>
        <v>0.18109118086696563</v>
      </c>
      <c r="V28" s="23"/>
      <c r="W28" s="19"/>
      <c r="X28" s="19"/>
      <c r="Y28" s="39" t="str">
        <f t="shared" si="6"/>
        <v/>
      </c>
      <c r="Z28" s="23"/>
      <c r="AA28" s="19"/>
      <c r="AB28" s="19"/>
      <c r="AC28" s="39" t="str">
        <f t="shared" si="7"/>
        <v/>
      </c>
      <c r="AD28" s="19"/>
      <c r="AE28" s="19"/>
      <c r="AF28" s="39" t="str">
        <f t="shared" si="8"/>
        <v/>
      </c>
      <c r="AG28" s="19"/>
      <c r="AH28" s="19"/>
      <c r="AI28" s="39" t="str">
        <f t="shared" si="9"/>
        <v/>
      </c>
      <c r="AJ28" s="23" t="s">
        <v>32</v>
      </c>
      <c r="AK28" s="19"/>
      <c r="AL28" s="19"/>
      <c r="AM28" s="39" t="str">
        <f t="shared" si="10"/>
        <v/>
      </c>
    </row>
    <row r="29" spans="1:39" s="4" customFormat="1" x14ac:dyDescent="0.3">
      <c r="A29" s="16" t="s">
        <v>48</v>
      </c>
      <c r="B29" s="23" t="s">
        <v>32</v>
      </c>
      <c r="C29" s="19"/>
      <c r="D29" s="19"/>
      <c r="E29" s="39" t="str">
        <f t="shared" si="0"/>
        <v/>
      </c>
      <c r="F29" s="19"/>
      <c r="G29" s="19"/>
      <c r="H29" s="39" t="str">
        <f t="shared" si="1"/>
        <v/>
      </c>
      <c r="I29" s="19"/>
      <c r="J29" s="19"/>
      <c r="K29" s="39" t="str">
        <f t="shared" si="2"/>
        <v/>
      </c>
      <c r="L29" s="19"/>
      <c r="M29" s="19"/>
      <c r="N29" s="39" t="str">
        <f t="shared" si="3"/>
        <v/>
      </c>
      <c r="O29" s="23" t="s">
        <v>32</v>
      </c>
      <c r="P29" s="19"/>
      <c r="Q29" s="19"/>
      <c r="R29" s="39" t="str">
        <f t="shared" si="4"/>
        <v/>
      </c>
      <c r="S29" s="19"/>
      <c r="T29" s="19"/>
      <c r="U29" s="39" t="str">
        <f t="shared" si="5"/>
        <v/>
      </c>
      <c r="V29" s="23" t="s">
        <v>32</v>
      </c>
      <c r="W29" s="19"/>
      <c r="X29" s="19"/>
      <c r="Y29" s="39" t="str">
        <f t="shared" si="6"/>
        <v/>
      </c>
      <c r="Z29" s="23" t="s">
        <v>32</v>
      </c>
      <c r="AA29" s="19"/>
      <c r="AB29" s="19"/>
      <c r="AC29" s="39" t="str">
        <f t="shared" si="7"/>
        <v/>
      </c>
      <c r="AD29" s="19"/>
      <c r="AE29" s="19"/>
      <c r="AF29" s="39" t="str">
        <f t="shared" si="8"/>
        <v/>
      </c>
      <c r="AG29" s="19"/>
      <c r="AH29" s="19"/>
      <c r="AI29" s="39" t="str">
        <f t="shared" si="9"/>
        <v/>
      </c>
      <c r="AJ29" s="23" t="s">
        <v>32</v>
      </c>
      <c r="AK29" s="19"/>
      <c r="AL29" s="19"/>
      <c r="AM29" s="39" t="str">
        <f t="shared" si="10"/>
        <v/>
      </c>
    </row>
    <row r="30" spans="1:39" s="4" customFormat="1" x14ac:dyDescent="0.3">
      <c r="A30" s="16" t="s">
        <v>49</v>
      </c>
      <c r="B30" s="23"/>
      <c r="E30" s="39" t="str">
        <f t="shared" si="0"/>
        <v/>
      </c>
      <c r="H30" s="39" t="str">
        <f t="shared" si="1"/>
        <v/>
      </c>
      <c r="K30" s="39" t="str">
        <f t="shared" si="2"/>
        <v/>
      </c>
      <c r="N30" s="39" t="str">
        <f t="shared" si="3"/>
        <v/>
      </c>
      <c r="O30" s="23"/>
      <c r="R30" s="39" t="str">
        <f t="shared" si="4"/>
        <v/>
      </c>
      <c r="U30" s="39" t="str">
        <f t="shared" si="5"/>
        <v/>
      </c>
      <c r="V30" s="23"/>
      <c r="W30" s="19"/>
      <c r="X30" s="19"/>
      <c r="Y30" s="39" t="str">
        <f t="shared" si="6"/>
        <v/>
      </c>
      <c r="Z30" s="23"/>
      <c r="AA30" s="19">
        <v>389124</v>
      </c>
      <c r="AB30" s="19">
        <v>8280</v>
      </c>
      <c r="AC30" s="39">
        <f t="shared" si="7"/>
        <v>2.1278564159496714E-2</v>
      </c>
      <c r="AF30" s="39" t="str">
        <f t="shared" si="8"/>
        <v/>
      </c>
      <c r="AI30" s="39" t="str">
        <f t="shared" si="9"/>
        <v/>
      </c>
      <c r="AJ30" s="23" t="s">
        <v>32</v>
      </c>
      <c r="AM30" s="39" t="str">
        <f t="shared" si="10"/>
        <v/>
      </c>
    </row>
    <row r="31" spans="1:39" s="4" customFormat="1" x14ac:dyDescent="0.3">
      <c r="A31" s="16" t="s">
        <v>175</v>
      </c>
      <c r="B31" s="23" t="s">
        <v>32</v>
      </c>
      <c r="E31" s="39" t="str">
        <f t="shared" si="0"/>
        <v/>
      </c>
      <c r="F31" s="19"/>
      <c r="G31" s="19"/>
      <c r="H31" s="39" t="str">
        <f t="shared" si="1"/>
        <v/>
      </c>
      <c r="I31" s="19"/>
      <c r="J31" s="19"/>
      <c r="K31" s="39" t="str">
        <f t="shared" si="2"/>
        <v/>
      </c>
      <c r="L31" s="19"/>
      <c r="M31" s="19"/>
      <c r="N31" s="39" t="str">
        <f t="shared" si="3"/>
        <v/>
      </c>
      <c r="O31" s="23" t="s">
        <v>32</v>
      </c>
      <c r="P31" s="19"/>
      <c r="Q31" s="19"/>
      <c r="R31" s="39" t="str">
        <f t="shared" si="4"/>
        <v/>
      </c>
      <c r="S31" s="19"/>
      <c r="T31" s="19"/>
      <c r="U31" s="39" t="str">
        <f t="shared" si="5"/>
        <v/>
      </c>
      <c r="V31" s="23" t="s">
        <v>32</v>
      </c>
      <c r="W31" s="19"/>
      <c r="X31" s="19"/>
      <c r="Y31" s="39" t="str">
        <f t="shared" si="6"/>
        <v/>
      </c>
      <c r="Z31" s="23" t="s">
        <v>32</v>
      </c>
      <c r="AA31" s="19">
        <v>17460</v>
      </c>
      <c r="AB31" s="19">
        <v>830</v>
      </c>
      <c r="AC31" s="39">
        <f t="shared" si="7"/>
        <v>4.7537227949599081E-2</v>
      </c>
      <c r="AD31" s="19"/>
      <c r="AE31" s="19"/>
      <c r="AF31" s="39" t="str">
        <f t="shared" si="8"/>
        <v/>
      </c>
      <c r="AG31" s="19"/>
      <c r="AH31" s="19"/>
      <c r="AI31" s="39" t="str">
        <f t="shared" si="9"/>
        <v/>
      </c>
      <c r="AJ31" s="23" t="s">
        <v>32</v>
      </c>
      <c r="AK31" s="19"/>
      <c r="AL31" s="19"/>
      <c r="AM31" s="39" t="str">
        <f t="shared" si="10"/>
        <v/>
      </c>
    </row>
    <row r="32" spans="1:39" s="4" customFormat="1" x14ac:dyDescent="0.3">
      <c r="A32" s="16" t="s">
        <v>50</v>
      </c>
      <c r="B32" s="23" t="s">
        <v>32</v>
      </c>
      <c r="E32" s="39" t="str">
        <f t="shared" si="0"/>
        <v/>
      </c>
      <c r="F32" s="19"/>
      <c r="G32" s="19"/>
      <c r="H32" s="39" t="str">
        <f t="shared" si="1"/>
        <v/>
      </c>
      <c r="I32" s="19"/>
      <c r="J32" s="19"/>
      <c r="K32" s="39" t="str">
        <f t="shared" si="2"/>
        <v/>
      </c>
      <c r="L32" s="19"/>
      <c r="M32" s="19"/>
      <c r="N32" s="39" t="str">
        <f t="shared" si="3"/>
        <v/>
      </c>
      <c r="O32" s="23" t="s">
        <v>32</v>
      </c>
      <c r="P32" s="19"/>
      <c r="Q32" s="19"/>
      <c r="R32" s="39" t="str">
        <f t="shared" si="4"/>
        <v/>
      </c>
      <c r="S32" s="19"/>
      <c r="T32" s="19"/>
      <c r="U32" s="39" t="str">
        <f t="shared" si="5"/>
        <v/>
      </c>
      <c r="V32" s="23" t="s">
        <v>32</v>
      </c>
      <c r="W32" s="19"/>
      <c r="X32" s="19"/>
      <c r="Y32" s="39" t="str">
        <f t="shared" si="6"/>
        <v/>
      </c>
      <c r="Z32" s="23" t="s">
        <v>32</v>
      </c>
      <c r="AA32" s="19"/>
      <c r="AB32" s="19"/>
      <c r="AC32" s="39" t="str">
        <f t="shared" si="7"/>
        <v/>
      </c>
      <c r="AD32" s="19"/>
      <c r="AE32" s="19"/>
      <c r="AF32" s="39" t="str">
        <f t="shared" si="8"/>
        <v/>
      </c>
      <c r="AG32" s="19"/>
      <c r="AH32" s="19"/>
      <c r="AI32" s="39" t="str">
        <f t="shared" si="9"/>
        <v/>
      </c>
      <c r="AJ32" s="23" t="s">
        <v>32</v>
      </c>
      <c r="AK32" s="19">
        <f>D40*4309</f>
        <v>482608</v>
      </c>
      <c r="AL32" s="19">
        <v>8070</v>
      </c>
      <c r="AM32" s="39">
        <f t="shared" si="10"/>
        <v>1.6721645724894738E-2</v>
      </c>
    </row>
    <row r="33" spans="1:40" s="4" customFormat="1" x14ac:dyDescent="0.3">
      <c r="A33" s="16" t="s">
        <v>11</v>
      </c>
      <c r="B33" s="23" t="s">
        <v>32</v>
      </c>
      <c r="E33" s="39" t="str">
        <f t="shared" si="0"/>
        <v/>
      </c>
      <c r="F33" s="19"/>
      <c r="G33" s="19"/>
      <c r="H33" s="39" t="str">
        <f t="shared" si="1"/>
        <v/>
      </c>
      <c r="I33" s="19"/>
      <c r="J33" s="19"/>
      <c r="K33" s="39" t="str">
        <f t="shared" si="2"/>
        <v/>
      </c>
      <c r="L33" s="19"/>
      <c r="M33" s="19"/>
      <c r="N33" s="39" t="str">
        <f t="shared" si="3"/>
        <v/>
      </c>
      <c r="O33" s="23" t="s">
        <v>32</v>
      </c>
      <c r="P33" s="19"/>
      <c r="Q33" s="19"/>
      <c r="R33" s="39" t="str">
        <f t="shared" si="4"/>
        <v/>
      </c>
      <c r="S33" s="19"/>
      <c r="T33" s="19"/>
      <c r="U33" s="39" t="str">
        <f t="shared" si="5"/>
        <v/>
      </c>
      <c r="V33" s="23" t="s">
        <v>32</v>
      </c>
      <c r="W33" s="19"/>
      <c r="X33" s="19"/>
      <c r="Y33" s="39" t="str">
        <f t="shared" si="6"/>
        <v/>
      </c>
      <c r="Z33" s="23" t="s">
        <v>32</v>
      </c>
      <c r="AA33" s="19"/>
      <c r="AB33" s="19"/>
      <c r="AC33" s="39" t="str">
        <f t="shared" si="7"/>
        <v/>
      </c>
      <c r="AD33" s="19"/>
      <c r="AE33" s="19"/>
      <c r="AF33" s="39" t="str">
        <f t="shared" si="8"/>
        <v/>
      </c>
      <c r="AG33" s="19"/>
      <c r="AH33" s="19"/>
      <c r="AI33" s="39" t="str">
        <f t="shared" si="9"/>
        <v/>
      </c>
      <c r="AJ33" s="23" t="s">
        <v>32</v>
      </c>
      <c r="AK33" s="19">
        <f>D40*23</f>
        <v>2576</v>
      </c>
      <c r="AL33" s="19">
        <v>1349</v>
      </c>
      <c r="AM33" s="39">
        <f t="shared" si="10"/>
        <v>0.52368012422360244</v>
      </c>
    </row>
    <row r="34" spans="1:40" s="4" customFormat="1" x14ac:dyDescent="0.3">
      <c r="A34" s="16" t="s">
        <v>37</v>
      </c>
      <c r="B34" s="23" t="s">
        <v>32</v>
      </c>
      <c r="E34" s="39" t="str">
        <f t="shared" si="0"/>
        <v/>
      </c>
      <c r="F34" s="19"/>
      <c r="G34" s="19"/>
      <c r="H34" s="39" t="str">
        <f t="shared" si="1"/>
        <v/>
      </c>
      <c r="I34" s="19"/>
      <c r="J34" s="19"/>
      <c r="K34" s="39" t="str">
        <f t="shared" si="2"/>
        <v/>
      </c>
      <c r="L34" s="19"/>
      <c r="M34" s="19"/>
      <c r="N34" s="39" t="str">
        <f t="shared" si="3"/>
        <v/>
      </c>
      <c r="O34" s="23" t="s">
        <v>32</v>
      </c>
      <c r="P34" s="19"/>
      <c r="Q34" s="19"/>
      <c r="R34" s="39" t="str">
        <f t="shared" si="4"/>
        <v/>
      </c>
      <c r="S34" s="19"/>
      <c r="T34" s="19"/>
      <c r="U34" s="39" t="str">
        <f t="shared" si="5"/>
        <v/>
      </c>
      <c r="V34" s="23" t="s">
        <v>32</v>
      </c>
      <c r="W34" s="19"/>
      <c r="X34" s="19"/>
      <c r="Y34" s="39" t="str">
        <f t="shared" si="6"/>
        <v/>
      </c>
      <c r="Z34" s="23" t="s">
        <v>32</v>
      </c>
      <c r="AA34" s="19">
        <v>114120</v>
      </c>
      <c r="AB34" s="19">
        <v>970</v>
      </c>
      <c r="AC34" s="39">
        <f t="shared" si="7"/>
        <v>8.499824745881528E-3</v>
      </c>
      <c r="AD34" s="19"/>
      <c r="AE34" s="19"/>
      <c r="AF34" s="39" t="str">
        <f t="shared" si="8"/>
        <v/>
      </c>
      <c r="AG34" s="19"/>
      <c r="AH34" s="19"/>
      <c r="AI34" s="39" t="str">
        <f t="shared" si="9"/>
        <v/>
      </c>
      <c r="AJ34" s="23" t="s">
        <v>32</v>
      </c>
      <c r="AK34" s="19">
        <f>D40*2394</f>
        <v>268128</v>
      </c>
      <c r="AL34" s="19">
        <v>3071</v>
      </c>
      <c r="AM34" s="39">
        <f t="shared" si="10"/>
        <v>1.1453484902733024E-2</v>
      </c>
    </row>
    <row r="35" spans="1:40" s="4" customFormat="1" x14ac:dyDescent="0.3">
      <c r="A35" s="16" t="s">
        <v>51</v>
      </c>
      <c r="B35" s="23" t="s">
        <v>32</v>
      </c>
      <c r="E35" s="39" t="str">
        <f t="shared" si="0"/>
        <v/>
      </c>
      <c r="F35" s="19"/>
      <c r="G35" s="19"/>
      <c r="H35" s="39" t="str">
        <f t="shared" si="1"/>
        <v/>
      </c>
      <c r="I35" s="19"/>
      <c r="J35" s="19"/>
      <c r="K35" s="39" t="str">
        <f t="shared" si="2"/>
        <v/>
      </c>
      <c r="L35" s="19"/>
      <c r="M35" s="19"/>
      <c r="N35" s="39" t="str">
        <f t="shared" si="3"/>
        <v/>
      </c>
      <c r="O35" s="23" t="s">
        <v>32</v>
      </c>
      <c r="P35" s="19"/>
      <c r="Q35" s="19"/>
      <c r="R35" s="39" t="str">
        <f>IFERROR(Q35/P35,"")</f>
        <v/>
      </c>
      <c r="S35" s="19"/>
      <c r="T35" s="19"/>
      <c r="U35" s="39" t="str">
        <f t="shared" si="5"/>
        <v/>
      </c>
      <c r="V35" s="23" t="s">
        <v>32</v>
      </c>
      <c r="W35" s="19"/>
      <c r="X35" s="19"/>
      <c r="Y35" s="39" t="str">
        <f t="shared" si="6"/>
        <v/>
      </c>
      <c r="Z35" s="23" t="s">
        <v>32</v>
      </c>
      <c r="AA35" s="19">
        <v>484848</v>
      </c>
      <c r="AB35" s="19">
        <v>5000</v>
      </c>
      <c r="AC35" s="39">
        <f t="shared" si="7"/>
        <v>1.0312510312510313E-2</v>
      </c>
      <c r="AD35" s="19"/>
      <c r="AE35" s="19"/>
      <c r="AF35" s="39" t="str">
        <f t="shared" si="8"/>
        <v/>
      </c>
      <c r="AG35" s="19"/>
      <c r="AH35" s="19"/>
      <c r="AI35" s="39" t="str">
        <f t="shared" si="9"/>
        <v/>
      </c>
      <c r="AJ35" s="23" t="s">
        <v>32</v>
      </c>
      <c r="AK35" s="19"/>
      <c r="AL35" s="19"/>
      <c r="AM35" s="39" t="str">
        <f t="shared" si="10"/>
        <v/>
      </c>
    </row>
    <row r="36" spans="1:40" s="4" customFormat="1" x14ac:dyDescent="0.3">
      <c r="A36" s="13" t="s">
        <v>7</v>
      </c>
      <c r="C36" s="19"/>
      <c r="D36" s="19">
        <f>450724</f>
        <v>450724</v>
      </c>
      <c r="E36" s="12"/>
      <c r="F36" s="19"/>
      <c r="G36" s="12">
        <f>331986</f>
        <v>331986</v>
      </c>
      <c r="H36" s="12"/>
      <c r="I36" s="19"/>
      <c r="J36" s="19">
        <f>108280+225600</f>
        <v>333880</v>
      </c>
      <c r="K36" s="12"/>
      <c r="L36" s="19"/>
      <c r="M36" s="19">
        <f>281300+215200</f>
        <v>496500</v>
      </c>
      <c r="N36" s="12"/>
      <c r="P36" s="19"/>
      <c r="Q36" s="19">
        <f>326695+244637</f>
        <v>571332</v>
      </c>
      <c r="R36" s="12"/>
      <c r="S36" s="19"/>
      <c r="T36" s="19">
        <f>326695+244637</f>
        <v>571332</v>
      </c>
      <c r="U36" s="12"/>
      <c r="W36" s="19"/>
      <c r="X36" s="19">
        <v>294053</v>
      </c>
      <c r="Y36" s="12"/>
      <c r="AA36" s="19"/>
      <c r="AB36" s="19">
        <v>359752</v>
      </c>
      <c r="AC36" s="12"/>
      <c r="AD36" s="19"/>
      <c r="AE36" s="19">
        <v>301762</v>
      </c>
      <c r="AF36" s="12"/>
      <c r="AG36" s="19"/>
      <c r="AH36" s="19">
        <v>365342</v>
      </c>
      <c r="AI36" s="12"/>
      <c r="AK36" s="19"/>
      <c r="AL36" s="19">
        <v>1156730</v>
      </c>
      <c r="AM36" s="12"/>
    </row>
    <row r="37" spans="1:40" s="4" customFormat="1" x14ac:dyDescent="0.3">
      <c r="A37" s="16"/>
      <c r="B37" s="22"/>
      <c r="O37" s="22"/>
      <c r="V37" s="22"/>
      <c r="Z37" s="22"/>
      <c r="AJ37" s="22"/>
    </row>
    <row r="38" spans="1:40" s="4" customFormat="1" x14ac:dyDescent="0.3">
      <c r="A38" s="16"/>
      <c r="B38" s="22"/>
      <c r="O38" s="22"/>
      <c r="V38" s="22"/>
      <c r="Z38" s="22"/>
      <c r="AJ38" s="22"/>
    </row>
    <row r="39" spans="1:40" s="4" customFormat="1" x14ac:dyDescent="0.3">
      <c r="A39" s="16"/>
      <c r="B39" s="36" t="s">
        <v>177</v>
      </c>
      <c r="O39" s="22"/>
      <c r="V39" s="22"/>
      <c r="Z39" s="22"/>
      <c r="AJ39" s="22"/>
    </row>
    <row r="40" spans="1:40" s="4" customFormat="1" x14ac:dyDescent="0.3">
      <c r="A40" s="16"/>
      <c r="B40" s="4">
        <v>1</v>
      </c>
      <c r="C40" s="36" t="s">
        <v>14</v>
      </c>
      <c r="D40" s="4">
        <v>112</v>
      </c>
      <c r="E40" s="36" t="s">
        <v>32</v>
      </c>
      <c r="O40" s="22"/>
      <c r="V40" s="22"/>
      <c r="Z40" s="22"/>
      <c r="AJ40" s="22"/>
    </row>
    <row r="41" spans="1:40" s="4" customFormat="1" x14ac:dyDescent="0.3">
      <c r="A41" s="16"/>
      <c r="B41" s="22"/>
      <c r="O41" s="22"/>
      <c r="V41" s="22"/>
      <c r="Z41" s="22"/>
      <c r="AJ41" s="22"/>
    </row>
    <row r="42" spans="1:40" s="4" customFormat="1" x14ac:dyDescent="0.3">
      <c r="A42" s="16"/>
      <c r="B42" s="2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2"/>
      <c r="P42" s="3"/>
      <c r="Q42" s="3"/>
      <c r="R42" s="3"/>
      <c r="S42" s="3"/>
      <c r="T42" s="3"/>
      <c r="U42" s="3"/>
      <c r="V42" s="22"/>
      <c r="W42" s="3"/>
      <c r="X42" s="3"/>
      <c r="Y42" s="3"/>
      <c r="Z42" s="22"/>
      <c r="AA42" s="3"/>
      <c r="AB42" s="3"/>
      <c r="AC42" s="3"/>
      <c r="AD42" s="3"/>
      <c r="AE42" s="3"/>
      <c r="AF42" s="3"/>
      <c r="AG42" s="3"/>
      <c r="AH42" s="3"/>
      <c r="AI42" s="3"/>
      <c r="AJ42" s="22"/>
      <c r="AK42" s="3"/>
      <c r="AL42" s="3"/>
      <c r="AM42" s="3"/>
    </row>
    <row r="43" spans="1:40" s="4" customFormat="1" x14ac:dyDescent="0.3">
      <c r="A43" s="16"/>
      <c r="B43" s="22"/>
      <c r="C43" s="3"/>
      <c r="D43" s="3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4"/>
      <c r="P43" s="3"/>
      <c r="Q43" s="3"/>
      <c r="R43" s="3"/>
      <c r="S43" s="3"/>
      <c r="T43" s="3"/>
      <c r="U43" s="3"/>
      <c r="V43" s="22"/>
      <c r="W43" s="3"/>
      <c r="X43" s="3"/>
      <c r="Y43" s="3"/>
      <c r="Z43" s="22"/>
      <c r="AA43" s="3"/>
      <c r="AB43" s="3"/>
      <c r="AC43" s="3"/>
      <c r="AD43" s="3"/>
      <c r="AE43" s="3"/>
      <c r="AF43" s="3"/>
      <c r="AG43" s="3"/>
      <c r="AH43" s="3"/>
      <c r="AI43" s="3"/>
      <c r="AJ43" s="22"/>
      <c r="AK43" s="3"/>
      <c r="AL43" s="3"/>
      <c r="AM43" s="3"/>
      <c r="AN43" s="3"/>
    </row>
    <row r="44" spans="1:40" s="4" customFormat="1" x14ac:dyDescent="0.3">
      <c r="A44" s="16"/>
      <c r="B44" s="22"/>
      <c r="C44" s="3"/>
      <c r="D44" s="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4"/>
      <c r="P44" s="3"/>
      <c r="Q44" s="3"/>
      <c r="R44" s="3"/>
      <c r="S44" s="3"/>
      <c r="T44" s="3"/>
      <c r="U44" s="3"/>
      <c r="V44" s="22"/>
      <c r="W44" s="3"/>
      <c r="X44" s="3"/>
      <c r="Y44" s="3"/>
      <c r="Z44" s="22"/>
      <c r="AA44" s="3"/>
      <c r="AB44" s="3"/>
      <c r="AC44" s="3"/>
      <c r="AD44" s="3"/>
      <c r="AE44" s="3"/>
      <c r="AF44" s="3"/>
      <c r="AG44" s="3"/>
      <c r="AH44" s="3"/>
      <c r="AI44" s="3"/>
      <c r="AJ44" s="22"/>
      <c r="AK44" s="3"/>
      <c r="AL44" s="3"/>
      <c r="AM44" s="3"/>
      <c r="AN44" s="3"/>
    </row>
    <row r="45" spans="1:40" s="4" customFormat="1" x14ac:dyDescent="0.3">
      <c r="A45" s="16"/>
      <c r="B45" s="22"/>
      <c r="C45" s="3"/>
      <c r="D45" s="3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4"/>
      <c r="P45" s="3"/>
      <c r="Q45" s="3"/>
      <c r="R45" s="3"/>
      <c r="S45" s="3"/>
      <c r="T45" s="3"/>
      <c r="U45" s="3"/>
      <c r="V45" s="22"/>
      <c r="W45" s="3"/>
      <c r="X45" s="3"/>
      <c r="Y45" s="3"/>
      <c r="Z45" s="22"/>
      <c r="AA45" s="3"/>
      <c r="AB45" s="3"/>
      <c r="AC45" s="3"/>
      <c r="AD45" s="3"/>
      <c r="AE45" s="3"/>
      <c r="AF45" s="3"/>
      <c r="AG45" s="3"/>
      <c r="AH45" s="3"/>
      <c r="AI45" s="3"/>
      <c r="AJ45" s="22"/>
      <c r="AK45" s="3"/>
      <c r="AL45" s="3"/>
      <c r="AM45" s="3"/>
      <c r="AN45" s="3"/>
    </row>
    <row r="46" spans="1:40" s="4" customFormat="1" x14ac:dyDescent="0.3">
      <c r="A46" s="16"/>
      <c r="B46" s="22"/>
      <c r="C46" s="3"/>
      <c r="D46" s="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4"/>
      <c r="P46" s="3"/>
      <c r="Q46" s="3"/>
      <c r="R46" s="3"/>
      <c r="S46" s="3"/>
      <c r="T46" s="3"/>
      <c r="U46" s="3"/>
      <c r="V46" s="22"/>
      <c r="W46" s="3"/>
      <c r="X46" s="3"/>
      <c r="Y46" s="3"/>
      <c r="Z46" s="22"/>
      <c r="AA46" s="3"/>
      <c r="AB46" s="3"/>
      <c r="AC46" s="3"/>
      <c r="AD46" s="3"/>
      <c r="AE46" s="3"/>
      <c r="AF46" s="3"/>
      <c r="AG46" s="3"/>
      <c r="AH46" s="3"/>
      <c r="AI46" s="3"/>
      <c r="AJ46" s="22"/>
      <c r="AK46" s="3"/>
      <c r="AL46" s="3"/>
      <c r="AM46" s="3"/>
      <c r="AN46" s="3"/>
    </row>
    <row r="47" spans="1:40" s="4" customFormat="1" x14ac:dyDescent="0.3">
      <c r="A47" s="16"/>
      <c r="B47" s="22"/>
      <c r="C47" s="3"/>
      <c r="D47" s="3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4"/>
      <c r="P47" s="3"/>
      <c r="Q47" s="3"/>
      <c r="R47" s="3"/>
      <c r="S47" s="3"/>
      <c r="T47" s="3"/>
      <c r="U47" s="3"/>
      <c r="V47" s="22"/>
      <c r="W47" s="3"/>
      <c r="X47" s="3"/>
      <c r="Y47" s="3"/>
      <c r="Z47" s="22"/>
      <c r="AA47" s="3"/>
      <c r="AB47" s="3"/>
      <c r="AC47" s="3"/>
      <c r="AD47" s="3"/>
      <c r="AE47" s="3"/>
      <c r="AF47" s="3"/>
      <c r="AG47" s="3"/>
      <c r="AH47" s="3"/>
      <c r="AI47" s="3"/>
      <c r="AJ47" s="22"/>
      <c r="AK47" s="3"/>
      <c r="AL47" s="3"/>
      <c r="AM47" s="3"/>
      <c r="AN47" s="3"/>
    </row>
    <row r="48" spans="1:40" s="4" customFormat="1" x14ac:dyDescent="0.3">
      <c r="A48" s="16"/>
      <c r="B48" s="22"/>
      <c r="C48" s="3"/>
      <c r="D48" s="3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4"/>
      <c r="P48" s="3"/>
      <c r="Q48" s="3"/>
      <c r="R48" s="3"/>
      <c r="S48" s="3"/>
      <c r="T48" s="3"/>
      <c r="U48" s="3"/>
      <c r="V48" s="22"/>
      <c r="W48" s="3"/>
      <c r="X48" s="3"/>
      <c r="Y48" s="3"/>
      <c r="Z48" s="22"/>
      <c r="AA48" s="3"/>
      <c r="AB48" s="3"/>
      <c r="AC48" s="3"/>
      <c r="AD48" s="3"/>
      <c r="AE48" s="3"/>
      <c r="AF48" s="3"/>
      <c r="AG48" s="3"/>
      <c r="AH48" s="3"/>
      <c r="AI48" s="3"/>
      <c r="AJ48" s="22"/>
      <c r="AK48" s="3"/>
      <c r="AL48" s="3"/>
      <c r="AM48" s="3"/>
      <c r="AN48" s="3"/>
    </row>
    <row r="49" spans="1:40" s="4" customFormat="1" x14ac:dyDescent="0.3">
      <c r="A49" s="16"/>
      <c r="B49" s="22"/>
      <c r="C49" s="3"/>
      <c r="D49" s="3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4"/>
      <c r="P49" s="3"/>
      <c r="Q49" s="3"/>
      <c r="R49" s="3"/>
      <c r="S49" s="3"/>
      <c r="T49" s="3"/>
      <c r="U49" s="3"/>
      <c r="V49" s="22"/>
      <c r="W49" s="3"/>
      <c r="X49" s="3"/>
      <c r="Y49" s="3"/>
      <c r="Z49" s="22"/>
      <c r="AA49" s="3"/>
      <c r="AB49" s="3"/>
      <c r="AC49" s="3"/>
      <c r="AD49" s="3"/>
      <c r="AE49" s="3"/>
      <c r="AF49" s="3"/>
      <c r="AG49" s="3"/>
      <c r="AH49" s="3"/>
      <c r="AI49" s="3"/>
      <c r="AJ49" s="22"/>
      <c r="AK49" s="3"/>
      <c r="AL49" s="3"/>
      <c r="AM49" s="3"/>
    </row>
    <row r="50" spans="1:40" s="4" customFormat="1" x14ac:dyDescent="0.3">
      <c r="A50" s="16"/>
      <c r="B50" s="22"/>
      <c r="C50" s="3"/>
      <c r="D50" s="3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4"/>
      <c r="P50" s="3"/>
      <c r="Q50" s="3"/>
      <c r="R50" s="3"/>
      <c r="S50" s="3"/>
      <c r="T50" s="3"/>
      <c r="U50" s="3"/>
      <c r="V50" s="22"/>
      <c r="W50" s="3"/>
      <c r="X50" s="3"/>
      <c r="Y50" s="3"/>
      <c r="Z50" s="22"/>
      <c r="AA50" s="3"/>
      <c r="AB50" s="3"/>
      <c r="AC50" s="3"/>
      <c r="AD50" s="3"/>
      <c r="AE50" s="3"/>
      <c r="AF50" s="3"/>
      <c r="AG50" s="3"/>
      <c r="AH50" s="3"/>
      <c r="AI50" s="3"/>
      <c r="AJ50" s="22"/>
      <c r="AK50" s="3"/>
      <c r="AL50" s="3"/>
      <c r="AM50" s="3"/>
      <c r="AN50" s="3"/>
    </row>
    <row r="51" spans="1:40" s="4" customFormat="1" ht="15.6" x14ac:dyDescent="0.3">
      <c r="A51" s="16"/>
      <c r="B51" s="22"/>
      <c r="C51" s="3"/>
      <c r="D51" s="3"/>
      <c r="E51" s="41"/>
      <c r="F51" s="41"/>
      <c r="G51" s="41"/>
      <c r="H51" s="41"/>
      <c r="I51" s="42"/>
      <c r="J51" s="43"/>
      <c r="K51" s="43"/>
      <c r="L51" s="42"/>
      <c r="M51" s="43"/>
      <c r="N51" s="43"/>
      <c r="O51" s="44"/>
      <c r="P51" s="3"/>
      <c r="Q51" s="3"/>
      <c r="R51" s="3"/>
      <c r="S51" s="3"/>
      <c r="T51" s="3"/>
      <c r="U51" s="3"/>
      <c r="V51" s="22"/>
      <c r="W51" s="3"/>
      <c r="X51" s="3"/>
      <c r="Y51" s="3"/>
      <c r="Z51" s="22"/>
      <c r="AA51" s="3"/>
      <c r="AB51" s="3"/>
      <c r="AC51" s="3"/>
      <c r="AD51" s="3"/>
      <c r="AE51" s="3"/>
      <c r="AF51" s="3"/>
      <c r="AG51" s="3"/>
      <c r="AH51" s="3"/>
      <c r="AI51" s="3"/>
      <c r="AJ51" s="22"/>
      <c r="AK51" s="3"/>
      <c r="AL51" s="3"/>
      <c r="AM51" s="3"/>
      <c r="AN51" s="3"/>
    </row>
    <row r="52" spans="1:40" s="4" customFormat="1" ht="15.6" x14ac:dyDescent="0.3">
      <c r="A52" s="16"/>
      <c r="B52" s="22"/>
      <c r="C52" s="5"/>
      <c r="D52" s="2"/>
      <c r="E52" s="43"/>
      <c r="F52" s="42"/>
      <c r="G52" s="43"/>
      <c r="H52" s="43"/>
      <c r="I52" s="42"/>
      <c r="J52" s="43"/>
      <c r="K52" s="43"/>
      <c r="L52" s="42"/>
      <c r="M52" s="43"/>
      <c r="N52" s="43"/>
      <c r="O52" s="44"/>
      <c r="P52" s="5"/>
      <c r="Q52" s="2"/>
      <c r="R52" s="2"/>
      <c r="S52" s="5"/>
      <c r="T52" s="2"/>
      <c r="U52" s="2"/>
      <c r="V52" s="22"/>
      <c r="W52" s="5"/>
      <c r="X52" s="2"/>
      <c r="Y52" s="2"/>
      <c r="Z52" s="22"/>
      <c r="AA52" s="5"/>
      <c r="AB52" s="2"/>
      <c r="AC52" s="2"/>
      <c r="AD52" s="5"/>
      <c r="AE52" s="2"/>
      <c r="AF52" s="2"/>
      <c r="AG52" s="5"/>
      <c r="AH52" s="2"/>
      <c r="AI52" s="2"/>
      <c r="AJ52" s="22"/>
      <c r="AK52" s="5"/>
      <c r="AL52" s="2"/>
      <c r="AM52" s="2"/>
      <c r="AN52" s="3"/>
    </row>
    <row r="53" spans="1:40" s="4" customFormat="1" ht="15.6" x14ac:dyDescent="0.3">
      <c r="A53" s="16"/>
      <c r="B53" s="22"/>
      <c r="C53" s="5"/>
      <c r="D53" s="2"/>
      <c r="E53" s="43"/>
      <c r="F53" s="42"/>
      <c r="G53" s="43"/>
      <c r="H53" s="43"/>
      <c r="I53" s="41"/>
      <c r="J53" s="41"/>
      <c r="K53" s="41"/>
      <c r="L53" s="41"/>
      <c r="M53" s="41"/>
      <c r="N53" s="41"/>
      <c r="O53" s="44"/>
      <c r="P53" s="5"/>
      <c r="Q53" s="2"/>
      <c r="R53" s="2"/>
      <c r="S53" s="5"/>
      <c r="T53" s="2"/>
      <c r="U53" s="2"/>
      <c r="V53" s="22"/>
      <c r="W53" s="5"/>
      <c r="X53" s="2"/>
      <c r="Y53" s="2"/>
      <c r="Z53" s="22"/>
      <c r="AA53" s="5"/>
      <c r="AB53" s="2"/>
      <c r="AC53" s="2"/>
      <c r="AD53" s="5"/>
      <c r="AE53" s="2"/>
      <c r="AF53" s="2"/>
      <c r="AG53" s="5"/>
      <c r="AH53" s="2"/>
      <c r="AI53" s="2"/>
      <c r="AJ53" s="22"/>
      <c r="AK53" s="5"/>
      <c r="AL53" s="2"/>
      <c r="AM53" s="2"/>
      <c r="AN53" s="3"/>
    </row>
    <row r="54" spans="1:40" s="4" customFormat="1" x14ac:dyDescent="0.3">
      <c r="A54" s="16"/>
      <c r="B54" s="22"/>
      <c r="C54" s="3"/>
      <c r="D54" s="3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4"/>
      <c r="P54" s="3"/>
      <c r="Q54" s="3"/>
      <c r="R54" s="3"/>
      <c r="S54" s="3"/>
      <c r="T54" s="3"/>
      <c r="U54" s="3"/>
      <c r="V54" s="22"/>
      <c r="W54" s="3"/>
      <c r="X54" s="3"/>
      <c r="Y54" s="3"/>
      <c r="Z54" s="22"/>
      <c r="AA54" s="3"/>
      <c r="AB54" s="3"/>
      <c r="AC54" s="3"/>
      <c r="AD54" s="3"/>
      <c r="AE54" s="3"/>
      <c r="AF54" s="3"/>
      <c r="AG54" s="3"/>
      <c r="AH54" s="3"/>
      <c r="AI54" s="3"/>
      <c r="AJ54" s="22"/>
      <c r="AK54" s="3"/>
      <c r="AL54" s="3"/>
      <c r="AM54" s="3"/>
      <c r="AN54" s="3"/>
    </row>
    <row r="55" spans="1:40" s="4" customFormat="1" x14ac:dyDescent="0.3">
      <c r="A55" s="16"/>
      <c r="B55" s="22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4"/>
      <c r="V55" s="22"/>
      <c r="Z55" s="22"/>
      <c r="AJ55" s="22"/>
      <c r="AN55" s="3"/>
    </row>
    <row r="56" spans="1:40" s="4" customFormat="1" x14ac:dyDescent="0.3">
      <c r="A56" s="16"/>
      <c r="B56" s="22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4"/>
      <c r="V56" s="22"/>
      <c r="Z56" s="22"/>
      <c r="AJ56" s="22"/>
      <c r="AN56" s="3"/>
    </row>
    <row r="57" spans="1:40" s="4" customFormat="1" x14ac:dyDescent="0.3">
      <c r="A57" s="16"/>
      <c r="B57" s="22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4"/>
      <c r="V57" s="22"/>
      <c r="Z57" s="22"/>
      <c r="AJ57" s="22"/>
      <c r="AN57" s="3"/>
    </row>
    <row r="58" spans="1:40" s="4" customFormat="1" x14ac:dyDescent="0.3">
      <c r="A58" s="16"/>
      <c r="B58" s="22"/>
      <c r="C58" s="3"/>
      <c r="D58" s="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4"/>
      <c r="P58" s="3"/>
      <c r="Q58" s="3"/>
      <c r="R58" s="3"/>
      <c r="S58" s="3"/>
      <c r="T58" s="3"/>
      <c r="U58" s="3"/>
      <c r="V58" s="22"/>
      <c r="W58" s="3"/>
      <c r="X58" s="3"/>
      <c r="Y58" s="3"/>
      <c r="Z58" s="22"/>
      <c r="AA58" s="3"/>
      <c r="AB58" s="3"/>
      <c r="AC58" s="3"/>
      <c r="AD58" s="3"/>
      <c r="AE58" s="3"/>
      <c r="AF58" s="3"/>
      <c r="AG58" s="3"/>
      <c r="AH58" s="3"/>
      <c r="AI58" s="3"/>
      <c r="AJ58" s="22"/>
      <c r="AK58" s="3"/>
      <c r="AL58" s="3"/>
      <c r="AM58" s="3"/>
      <c r="AN58" s="3"/>
    </row>
    <row r="59" spans="1:40" s="4" customFormat="1" x14ac:dyDescent="0.3">
      <c r="A59" s="16"/>
      <c r="B59" s="22"/>
      <c r="C59" s="3"/>
      <c r="D59" s="3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4"/>
      <c r="P59" s="3"/>
      <c r="Q59" s="3"/>
      <c r="R59" s="3"/>
      <c r="S59" s="3"/>
      <c r="T59" s="3"/>
      <c r="U59" s="3"/>
      <c r="V59" s="22"/>
      <c r="W59" s="3"/>
      <c r="X59" s="3"/>
      <c r="Y59" s="3"/>
      <c r="Z59" s="22"/>
      <c r="AA59" s="3"/>
      <c r="AB59" s="3"/>
      <c r="AC59" s="3"/>
      <c r="AD59" s="3"/>
      <c r="AE59" s="3"/>
      <c r="AF59" s="3"/>
      <c r="AG59" s="3"/>
      <c r="AH59" s="3"/>
      <c r="AI59" s="3"/>
      <c r="AJ59" s="22"/>
      <c r="AK59" s="3"/>
      <c r="AL59" s="3"/>
      <c r="AM59" s="3"/>
      <c r="AN59" s="3"/>
    </row>
    <row r="60" spans="1:40" s="4" customFormat="1" x14ac:dyDescent="0.3">
      <c r="A60" s="16"/>
      <c r="B60" s="22"/>
      <c r="C60" s="3"/>
      <c r="D60" s="3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4"/>
      <c r="P60" s="3"/>
      <c r="Q60" s="3"/>
      <c r="R60" s="3"/>
      <c r="S60" s="3"/>
      <c r="T60" s="3"/>
      <c r="U60" s="3"/>
      <c r="V60" s="22"/>
      <c r="W60" s="3"/>
      <c r="X60" s="3"/>
      <c r="Y60" s="3"/>
      <c r="Z60" s="22"/>
      <c r="AA60" s="3"/>
      <c r="AB60" s="3"/>
      <c r="AC60" s="3"/>
      <c r="AD60" s="3"/>
      <c r="AE60" s="3"/>
      <c r="AF60" s="3"/>
      <c r="AG60" s="3"/>
      <c r="AH60" s="3"/>
      <c r="AI60" s="3"/>
      <c r="AJ60" s="22"/>
      <c r="AK60" s="3"/>
      <c r="AL60" s="3"/>
      <c r="AM60" s="3"/>
      <c r="AN60" s="3"/>
    </row>
    <row r="61" spans="1:40" s="4" customFormat="1" x14ac:dyDescent="0.3">
      <c r="A61" s="16"/>
      <c r="B61" s="22"/>
      <c r="C61" s="3"/>
      <c r="D61" s="3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4"/>
      <c r="P61" s="3"/>
      <c r="Q61" s="3"/>
      <c r="R61" s="3"/>
      <c r="S61" s="3"/>
      <c r="T61" s="3"/>
      <c r="U61" s="3"/>
      <c r="V61" s="22"/>
      <c r="W61" s="3"/>
      <c r="X61" s="3"/>
      <c r="Y61" s="3"/>
      <c r="Z61" s="22"/>
      <c r="AA61" s="3"/>
      <c r="AB61" s="3"/>
      <c r="AC61" s="3"/>
      <c r="AD61" s="3"/>
      <c r="AE61" s="3"/>
      <c r="AF61" s="3"/>
      <c r="AG61" s="3"/>
      <c r="AH61" s="3"/>
      <c r="AI61" s="3"/>
      <c r="AJ61" s="22"/>
      <c r="AK61" s="3"/>
      <c r="AL61" s="3"/>
      <c r="AM61" s="3"/>
      <c r="AN61" s="3"/>
    </row>
    <row r="62" spans="1:40" s="4" customFormat="1" x14ac:dyDescent="0.3">
      <c r="A62" s="16"/>
      <c r="B62" s="22"/>
      <c r="C62" s="3"/>
      <c r="D62" s="3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4"/>
      <c r="P62" s="3"/>
      <c r="Q62" s="3"/>
      <c r="R62" s="3"/>
      <c r="S62" s="3"/>
      <c r="T62" s="3"/>
      <c r="U62" s="3"/>
      <c r="V62" s="22"/>
      <c r="W62" s="3"/>
      <c r="X62" s="3"/>
      <c r="Y62" s="3"/>
      <c r="Z62" s="22"/>
      <c r="AA62" s="3"/>
      <c r="AB62" s="3"/>
      <c r="AC62" s="3"/>
      <c r="AD62" s="3"/>
      <c r="AE62" s="3"/>
      <c r="AF62" s="3"/>
      <c r="AG62" s="3"/>
      <c r="AH62" s="3"/>
      <c r="AI62" s="3"/>
      <c r="AJ62" s="22"/>
      <c r="AK62" s="3"/>
      <c r="AL62" s="3"/>
      <c r="AM62" s="3"/>
      <c r="AN62" s="3"/>
    </row>
    <row r="63" spans="1:40" s="4" customFormat="1" x14ac:dyDescent="0.3">
      <c r="A63" s="16"/>
      <c r="B63" s="22"/>
      <c r="C63" s="3"/>
      <c r="D63" s="3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4"/>
      <c r="P63" s="3"/>
      <c r="Q63" s="3"/>
      <c r="R63" s="3"/>
      <c r="S63" s="3"/>
      <c r="T63" s="3"/>
      <c r="U63" s="3"/>
      <c r="V63" s="22"/>
      <c r="W63" s="3"/>
      <c r="X63" s="3"/>
      <c r="Y63" s="3"/>
      <c r="Z63" s="22"/>
      <c r="AA63" s="3"/>
      <c r="AB63" s="3"/>
      <c r="AC63" s="3"/>
      <c r="AD63" s="3"/>
      <c r="AE63" s="3"/>
      <c r="AF63" s="3"/>
      <c r="AG63" s="3"/>
      <c r="AH63" s="3"/>
      <c r="AI63" s="3"/>
      <c r="AJ63" s="22"/>
      <c r="AK63" s="3"/>
      <c r="AL63" s="3"/>
      <c r="AM63" s="3"/>
      <c r="AN63" s="3"/>
    </row>
    <row r="64" spans="1:40" s="4" customFormat="1" x14ac:dyDescent="0.3">
      <c r="A64" s="16"/>
      <c r="B64" s="22"/>
      <c r="C64" s="3"/>
      <c r="D64" s="3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4"/>
      <c r="P64" s="3"/>
      <c r="Q64" s="3"/>
      <c r="R64" s="3"/>
      <c r="S64" s="3"/>
      <c r="T64" s="3"/>
      <c r="U64" s="3"/>
      <c r="V64" s="22"/>
      <c r="W64" s="3"/>
      <c r="X64" s="3"/>
      <c r="Y64" s="3"/>
      <c r="Z64" s="22"/>
      <c r="AA64" s="3"/>
      <c r="AB64" s="3"/>
      <c r="AC64" s="3"/>
      <c r="AD64" s="3"/>
      <c r="AE64" s="3"/>
      <c r="AF64" s="3"/>
      <c r="AG64" s="3"/>
      <c r="AH64" s="3"/>
      <c r="AI64" s="3"/>
      <c r="AJ64" s="22"/>
      <c r="AK64" s="3"/>
      <c r="AL64" s="3"/>
      <c r="AM64" s="3"/>
      <c r="AN64" s="3"/>
    </row>
    <row r="65" spans="1:40" s="4" customFormat="1" x14ac:dyDescent="0.3">
      <c r="A65" s="16"/>
      <c r="B65" s="22"/>
      <c r="C65" s="3"/>
      <c r="D65" s="3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4"/>
      <c r="P65" s="3"/>
      <c r="Q65" s="3"/>
      <c r="R65" s="3"/>
      <c r="S65" s="3"/>
      <c r="T65" s="3"/>
      <c r="U65" s="3"/>
      <c r="V65" s="22"/>
      <c r="W65" s="3"/>
      <c r="X65" s="3"/>
      <c r="Y65" s="3"/>
      <c r="Z65" s="22"/>
      <c r="AA65" s="3"/>
      <c r="AB65" s="3"/>
      <c r="AC65" s="3"/>
      <c r="AD65" s="3"/>
      <c r="AE65" s="3"/>
      <c r="AF65" s="3"/>
      <c r="AG65" s="3"/>
      <c r="AH65" s="3"/>
      <c r="AI65" s="3"/>
      <c r="AJ65" s="22"/>
      <c r="AK65" s="3"/>
      <c r="AL65" s="3"/>
      <c r="AM65" s="3"/>
      <c r="AN65" s="3"/>
    </row>
    <row r="66" spans="1:40" s="4" customFormat="1" x14ac:dyDescent="0.3">
      <c r="A66" s="16"/>
      <c r="B66" s="22"/>
      <c r="C66" s="3"/>
      <c r="D66" s="3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4"/>
      <c r="P66" s="3"/>
      <c r="Q66" s="3"/>
      <c r="R66" s="3"/>
      <c r="S66" s="3"/>
      <c r="T66" s="3"/>
      <c r="U66" s="3"/>
      <c r="V66" s="22"/>
      <c r="W66" s="3"/>
      <c r="X66" s="3"/>
      <c r="Y66" s="3"/>
      <c r="Z66" s="22"/>
      <c r="AA66" s="3"/>
      <c r="AB66" s="3"/>
      <c r="AC66" s="3"/>
      <c r="AD66" s="3"/>
      <c r="AE66" s="3"/>
      <c r="AF66" s="3"/>
      <c r="AG66" s="3"/>
      <c r="AH66" s="3"/>
      <c r="AI66" s="3"/>
      <c r="AJ66" s="22"/>
      <c r="AK66" s="3"/>
      <c r="AL66" s="3"/>
      <c r="AM66" s="3"/>
      <c r="AN66" s="3"/>
    </row>
    <row r="67" spans="1:40" s="4" customFormat="1" x14ac:dyDescent="0.3">
      <c r="A67" s="16"/>
      <c r="B67" s="22"/>
      <c r="C67" s="3"/>
      <c r="D67" s="3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4"/>
      <c r="P67" s="3"/>
      <c r="Q67" s="3"/>
      <c r="R67" s="3"/>
      <c r="S67" s="3"/>
      <c r="T67" s="3"/>
      <c r="U67" s="3"/>
      <c r="V67" s="22"/>
      <c r="W67" s="3"/>
      <c r="X67" s="3"/>
      <c r="Y67" s="3"/>
      <c r="Z67" s="22"/>
      <c r="AA67" s="3"/>
      <c r="AB67" s="3"/>
      <c r="AC67" s="3"/>
      <c r="AD67" s="3"/>
      <c r="AE67" s="3"/>
      <c r="AF67" s="3"/>
      <c r="AG67" s="3"/>
      <c r="AH67" s="3"/>
      <c r="AI67" s="3"/>
      <c r="AJ67" s="22"/>
      <c r="AK67" s="3"/>
      <c r="AL67" s="3"/>
      <c r="AM67" s="3"/>
      <c r="AN67" s="3"/>
    </row>
    <row r="68" spans="1:40" s="4" customFormat="1" x14ac:dyDescent="0.3">
      <c r="A68" s="16"/>
      <c r="B68" s="22"/>
      <c r="C68" s="3"/>
      <c r="D68" s="3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4"/>
      <c r="P68" s="3"/>
      <c r="Q68" s="3"/>
      <c r="R68" s="3"/>
      <c r="S68" s="3"/>
      <c r="T68" s="3"/>
      <c r="U68" s="3"/>
      <c r="V68" s="22"/>
      <c r="W68" s="3"/>
      <c r="X68" s="3"/>
      <c r="Y68" s="3"/>
      <c r="Z68" s="22"/>
      <c r="AA68" s="3"/>
      <c r="AB68" s="3"/>
      <c r="AC68" s="3"/>
      <c r="AD68" s="3"/>
      <c r="AE68" s="3"/>
      <c r="AF68" s="3"/>
      <c r="AG68" s="3"/>
      <c r="AH68" s="3"/>
      <c r="AI68" s="3"/>
      <c r="AJ68" s="22"/>
      <c r="AK68" s="3"/>
      <c r="AL68" s="3"/>
      <c r="AM68" s="3"/>
    </row>
    <row r="69" spans="1:40" s="4" customFormat="1" x14ac:dyDescent="0.3">
      <c r="A69" s="16"/>
      <c r="B69" s="22"/>
      <c r="C69" s="3"/>
      <c r="D69" s="3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4"/>
      <c r="P69" s="3"/>
      <c r="Q69" s="3"/>
      <c r="R69" s="3"/>
      <c r="S69" s="3"/>
      <c r="T69" s="3"/>
      <c r="U69" s="3"/>
      <c r="V69" s="22"/>
      <c r="W69" s="3"/>
      <c r="X69" s="3"/>
      <c r="Y69" s="3"/>
      <c r="Z69" s="22"/>
      <c r="AA69" s="3"/>
      <c r="AB69" s="3"/>
      <c r="AC69" s="3"/>
      <c r="AD69" s="3"/>
      <c r="AE69" s="3"/>
      <c r="AF69" s="3"/>
      <c r="AG69" s="3"/>
      <c r="AH69" s="3"/>
      <c r="AI69" s="3"/>
      <c r="AJ69" s="22"/>
      <c r="AK69" s="3"/>
      <c r="AL69" s="3"/>
      <c r="AM69" s="3"/>
    </row>
    <row r="70" spans="1:40" s="4" customFormat="1" x14ac:dyDescent="0.3">
      <c r="A70" s="16"/>
      <c r="B70" s="22"/>
      <c r="C70" s="3"/>
      <c r="D70" s="3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4"/>
      <c r="P70" s="3"/>
      <c r="Q70" s="3"/>
      <c r="R70" s="3"/>
      <c r="S70" s="3"/>
      <c r="T70" s="3"/>
      <c r="U70" s="3"/>
      <c r="V70" s="22"/>
      <c r="W70" s="3"/>
      <c r="X70" s="3"/>
      <c r="Y70" s="3"/>
      <c r="Z70" s="22"/>
      <c r="AA70" s="3"/>
      <c r="AB70" s="3"/>
      <c r="AC70" s="3"/>
      <c r="AD70" s="3"/>
      <c r="AE70" s="3"/>
      <c r="AF70" s="3"/>
      <c r="AG70" s="3"/>
      <c r="AH70" s="3"/>
      <c r="AI70" s="3"/>
      <c r="AJ70" s="22"/>
      <c r="AK70" s="3"/>
      <c r="AL70" s="3"/>
      <c r="AM70" s="3"/>
      <c r="AN70" s="3"/>
    </row>
    <row r="71" spans="1:40" s="4" customFormat="1" x14ac:dyDescent="0.3">
      <c r="A71" s="16"/>
      <c r="B71" s="22"/>
      <c r="C71" s="3"/>
      <c r="D71" s="3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4"/>
      <c r="P71" s="3"/>
      <c r="Q71" s="3"/>
      <c r="R71" s="3"/>
      <c r="S71" s="3"/>
      <c r="T71" s="3"/>
      <c r="U71" s="3"/>
      <c r="V71" s="22"/>
      <c r="W71" s="3"/>
      <c r="X71" s="3"/>
      <c r="Y71" s="3"/>
      <c r="Z71" s="22"/>
      <c r="AA71" s="3"/>
      <c r="AB71" s="3"/>
      <c r="AC71" s="3"/>
      <c r="AD71" s="3"/>
      <c r="AE71" s="3"/>
      <c r="AF71" s="3"/>
      <c r="AG71" s="3"/>
      <c r="AH71" s="3"/>
      <c r="AI71" s="3"/>
      <c r="AJ71" s="22"/>
      <c r="AK71" s="3"/>
      <c r="AL71" s="3"/>
      <c r="AM71" s="3"/>
    </row>
    <row r="72" spans="1:40" s="4" customFormat="1" x14ac:dyDescent="0.3">
      <c r="A72" s="16"/>
      <c r="B72" s="22"/>
      <c r="C72" s="3"/>
      <c r="D72" s="3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4"/>
      <c r="P72" s="3"/>
      <c r="Q72" s="3"/>
      <c r="R72" s="3"/>
      <c r="S72" s="3"/>
      <c r="T72" s="3"/>
      <c r="U72" s="3"/>
      <c r="V72" s="22"/>
      <c r="W72" s="3"/>
      <c r="X72" s="3"/>
      <c r="Y72" s="3"/>
      <c r="Z72" s="22"/>
      <c r="AA72" s="3"/>
      <c r="AB72" s="3"/>
      <c r="AC72" s="3"/>
      <c r="AD72" s="3"/>
      <c r="AE72" s="3"/>
      <c r="AF72" s="3"/>
      <c r="AG72" s="3"/>
      <c r="AH72" s="3"/>
      <c r="AI72" s="3"/>
      <c r="AJ72" s="22"/>
      <c r="AK72" s="3"/>
      <c r="AL72" s="3"/>
      <c r="AM72" s="3"/>
    </row>
    <row r="73" spans="1:40" s="4" customFormat="1" x14ac:dyDescent="0.3">
      <c r="A73" s="16"/>
      <c r="B73" s="22"/>
      <c r="C73" s="3"/>
      <c r="D73" s="3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4"/>
      <c r="P73" s="3"/>
      <c r="Q73" s="3"/>
      <c r="R73" s="3"/>
      <c r="S73" s="3"/>
      <c r="T73" s="3"/>
      <c r="U73" s="3"/>
      <c r="V73" s="22"/>
      <c r="W73" s="3"/>
      <c r="X73" s="3"/>
      <c r="Y73" s="3"/>
      <c r="Z73" s="22"/>
      <c r="AA73" s="3"/>
      <c r="AB73" s="3"/>
      <c r="AC73" s="3"/>
      <c r="AD73" s="3"/>
      <c r="AE73" s="3"/>
      <c r="AF73" s="3"/>
      <c r="AG73" s="3"/>
      <c r="AH73" s="3"/>
      <c r="AI73" s="3"/>
      <c r="AJ73" s="22"/>
      <c r="AK73" s="3"/>
      <c r="AL73" s="3"/>
      <c r="AM73" s="3"/>
    </row>
    <row r="74" spans="1:40" s="4" customFormat="1" x14ac:dyDescent="0.3">
      <c r="A74" s="16"/>
      <c r="B74" s="22"/>
      <c r="C74" s="3"/>
      <c r="D74" s="3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4"/>
      <c r="P74" s="3"/>
      <c r="Q74" s="3"/>
      <c r="R74" s="3"/>
      <c r="S74" s="3"/>
      <c r="T74" s="3"/>
      <c r="U74" s="3"/>
      <c r="V74" s="22"/>
      <c r="W74" s="3"/>
      <c r="X74" s="3"/>
      <c r="Y74" s="3"/>
      <c r="Z74" s="22"/>
      <c r="AA74" s="3"/>
      <c r="AB74" s="3"/>
      <c r="AC74" s="3"/>
      <c r="AD74" s="3"/>
      <c r="AE74" s="3"/>
      <c r="AF74" s="3"/>
      <c r="AG74" s="3"/>
      <c r="AH74" s="3"/>
      <c r="AI74" s="3"/>
      <c r="AJ74" s="22"/>
      <c r="AK74" s="3"/>
      <c r="AL74" s="3"/>
      <c r="AM74" s="3"/>
      <c r="AN74" s="3"/>
    </row>
    <row r="75" spans="1:40" s="4" customFormat="1" x14ac:dyDescent="0.3">
      <c r="A75" s="16"/>
      <c r="B75" s="22"/>
      <c r="C75" s="3"/>
      <c r="D75" s="3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4"/>
      <c r="P75" s="3"/>
      <c r="Q75" s="3"/>
      <c r="R75" s="3"/>
      <c r="S75" s="3"/>
      <c r="T75" s="3"/>
      <c r="U75" s="3"/>
      <c r="V75" s="22"/>
      <c r="W75" s="3"/>
      <c r="X75" s="3"/>
      <c r="Y75" s="3"/>
      <c r="Z75" s="22"/>
      <c r="AA75" s="3"/>
      <c r="AB75" s="3"/>
      <c r="AC75" s="3"/>
      <c r="AD75" s="3"/>
      <c r="AE75" s="3"/>
      <c r="AF75" s="3"/>
      <c r="AG75" s="3"/>
      <c r="AH75" s="3"/>
      <c r="AI75" s="3"/>
      <c r="AJ75" s="22"/>
      <c r="AK75" s="3"/>
      <c r="AL75" s="3"/>
      <c r="AM75" s="3"/>
      <c r="AN75" s="3"/>
    </row>
    <row r="76" spans="1:40" s="4" customFormat="1" x14ac:dyDescent="0.3">
      <c r="A76" s="16"/>
      <c r="B76" s="22"/>
      <c r="C76" s="3"/>
      <c r="D76" s="3"/>
      <c r="E76" s="3"/>
      <c r="F76" s="3"/>
      <c r="G76" s="3"/>
      <c r="H76" s="3"/>
      <c r="P76" s="3"/>
      <c r="Q76" s="3"/>
      <c r="R76" s="3"/>
      <c r="S76" s="3"/>
      <c r="T76" s="3"/>
      <c r="U76" s="3"/>
      <c r="V76" s="22"/>
      <c r="W76" s="3"/>
      <c r="X76" s="3"/>
      <c r="Y76" s="3"/>
      <c r="Z76" s="22"/>
      <c r="AA76" s="3"/>
      <c r="AB76" s="3"/>
      <c r="AC76" s="3"/>
      <c r="AD76" s="3"/>
      <c r="AE76" s="3"/>
      <c r="AF76" s="3"/>
      <c r="AG76" s="3"/>
      <c r="AH76" s="3"/>
      <c r="AI76" s="3"/>
      <c r="AJ76" s="22"/>
      <c r="AK76" s="3"/>
      <c r="AL76" s="3"/>
      <c r="AM76" s="3"/>
      <c r="AN76" s="3"/>
    </row>
    <row r="77" spans="1:40" s="4" customFormat="1" x14ac:dyDescent="0.3">
      <c r="A77" s="16"/>
      <c r="B77" s="2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22"/>
      <c r="P77" s="3"/>
      <c r="Q77" s="3"/>
      <c r="R77" s="3"/>
      <c r="S77" s="3"/>
      <c r="T77" s="3"/>
      <c r="U77" s="3"/>
      <c r="V77" s="22"/>
      <c r="W77" s="3"/>
      <c r="X77" s="3"/>
      <c r="Y77" s="3"/>
      <c r="Z77" s="22"/>
      <c r="AA77" s="3"/>
      <c r="AB77" s="3"/>
      <c r="AC77" s="3"/>
      <c r="AD77" s="3"/>
      <c r="AE77" s="3"/>
      <c r="AF77" s="3"/>
      <c r="AG77" s="3"/>
      <c r="AH77" s="3"/>
      <c r="AI77" s="3"/>
      <c r="AJ77" s="22"/>
      <c r="AK77" s="3"/>
      <c r="AL77" s="3"/>
      <c r="AM77" s="3"/>
      <c r="AN77" s="3"/>
    </row>
    <row r="78" spans="1:40" s="4" customFormat="1" x14ac:dyDescent="0.3">
      <c r="A78" s="16"/>
      <c r="B78" s="2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22"/>
      <c r="P78" s="3"/>
      <c r="Q78" s="3"/>
      <c r="R78" s="3"/>
      <c r="S78" s="3"/>
      <c r="T78" s="3"/>
      <c r="U78" s="3"/>
      <c r="V78" s="22"/>
      <c r="W78" s="3"/>
      <c r="X78" s="3"/>
      <c r="Y78" s="3"/>
      <c r="Z78" s="22"/>
      <c r="AA78" s="3"/>
      <c r="AB78" s="3"/>
      <c r="AC78" s="3"/>
      <c r="AD78" s="3"/>
      <c r="AE78" s="3"/>
      <c r="AF78" s="3"/>
      <c r="AG78" s="3"/>
      <c r="AH78" s="3"/>
      <c r="AI78" s="3"/>
      <c r="AJ78" s="22"/>
      <c r="AK78" s="3"/>
      <c r="AL78" s="3"/>
      <c r="AM78" s="3"/>
      <c r="AN78" s="3"/>
    </row>
    <row r="79" spans="1:40" s="4" customFormat="1" x14ac:dyDescent="0.3">
      <c r="A79" s="16"/>
      <c r="B79" s="2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22"/>
      <c r="P79" s="3"/>
      <c r="Q79" s="3"/>
      <c r="R79" s="3"/>
      <c r="S79" s="3"/>
      <c r="T79" s="3"/>
      <c r="U79" s="3"/>
      <c r="V79" s="22"/>
      <c r="W79" s="3"/>
      <c r="X79" s="3"/>
      <c r="Y79" s="3"/>
      <c r="Z79" s="22"/>
      <c r="AA79" s="3"/>
      <c r="AB79" s="3"/>
      <c r="AC79" s="3"/>
      <c r="AD79" s="3"/>
      <c r="AE79" s="3"/>
      <c r="AF79" s="3"/>
      <c r="AG79" s="3"/>
      <c r="AH79" s="3"/>
      <c r="AI79" s="3"/>
      <c r="AJ79" s="22"/>
      <c r="AK79" s="3"/>
      <c r="AL79" s="3"/>
      <c r="AM79" s="3"/>
      <c r="AN79" s="3"/>
    </row>
    <row r="80" spans="1:40" s="4" customFormat="1" x14ac:dyDescent="0.3">
      <c r="A80" s="16"/>
      <c r="B80" s="2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22"/>
      <c r="P80" s="3"/>
      <c r="Q80" s="3"/>
      <c r="R80" s="3"/>
      <c r="S80" s="3"/>
      <c r="T80" s="3"/>
      <c r="U80" s="3"/>
      <c r="V80" s="22"/>
      <c r="W80" s="3"/>
      <c r="X80" s="3"/>
      <c r="Y80" s="3"/>
      <c r="Z80" s="22"/>
      <c r="AA80" s="3"/>
      <c r="AB80" s="3"/>
      <c r="AC80" s="3"/>
      <c r="AD80" s="3"/>
      <c r="AE80" s="3"/>
      <c r="AF80" s="3"/>
      <c r="AG80" s="3"/>
      <c r="AH80" s="3"/>
      <c r="AI80" s="3"/>
      <c r="AJ80" s="22"/>
      <c r="AK80" s="3"/>
      <c r="AL80" s="3"/>
      <c r="AM80" s="3"/>
      <c r="AN80" s="3"/>
    </row>
    <row r="81" spans="1:40" s="4" customFormat="1" x14ac:dyDescent="0.3">
      <c r="A81" s="16"/>
      <c r="B81" s="2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22"/>
      <c r="P81" s="3"/>
      <c r="Q81" s="3"/>
      <c r="R81" s="3"/>
      <c r="S81" s="3"/>
      <c r="T81" s="3"/>
      <c r="U81" s="3"/>
      <c r="V81" s="22"/>
      <c r="W81" s="3"/>
      <c r="X81" s="3"/>
      <c r="Y81" s="3"/>
      <c r="Z81" s="22"/>
      <c r="AA81" s="3"/>
      <c r="AB81" s="3"/>
      <c r="AC81" s="3"/>
      <c r="AD81" s="3"/>
      <c r="AE81" s="3"/>
      <c r="AF81" s="3"/>
      <c r="AG81" s="3"/>
      <c r="AH81" s="3"/>
      <c r="AI81" s="3"/>
      <c r="AJ81" s="22"/>
      <c r="AK81" s="3"/>
      <c r="AL81" s="3"/>
      <c r="AM81" s="3"/>
      <c r="AN81" s="3"/>
    </row>
    <row r="82" spans="1:40" s="4" customFormat="1" x14ac:dyDescent="0.3">
      <c r="A82" s="16"/>
      <c r="B82" s="2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22"/>
      <c r="P82" s="3"/>
      <c r="Q82" s="3"/>
      <c r="R82" s="3"/>
      <c r="S82" s="3"/>
      <c r="T82" s="3"/>
      <c r="U82" s="3"/>
      <c r="V82" s="22"/>
      <c r="W82" s="3"/>
      <c r="X82" s="3"/>
      <c r="Y82" s="3"/>
      <c r="Z82" s="22"/>
      <c r="AA82" s="3"/>
      <c r="AB82" s="3"/>
      <c r="AC82" s="3"/>
      <c r="AD82" s="3"/>
      <c r="AE82" s="3"/>
      <c r="AF82" s="3"/>
      <c r="AG82" s="3"/>
      <c r="AH82" s="3"/>
      <c r="AI82" s="3"/>
      <c r="AJ82" s="22"/>
      <c r="AK82" s="3"/>
      <c r="AL82" s="3"/>
      <c r="AM82" s="3"/>
      <c r="AN82" s="3"/>
    </row>
    <row r="83" spans="1:40" s="4" customFormat="1" x14ac:dyDescent="0.3">
      <c r="A83" s="16"/>
      <c r="B83" s="2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22"/>
      <c r="P83" s="3"/>
      <c r="Q83" s="3"/>
      <c r="R83" s="3"/>
      <c r="S83" s="3"/>
      <c r="T83" s="3"/>
      <c r="U83" s="3"/>
      <c r="V83" s="22"/>
      <c r="W83" s="3"/>
      <c r="X83" s="3"/>
      <c r="Y83" s="3"/>
      <c r="Z83" s="22"/>
      <c r="AA83" s="3"/>
      <c r="AB83" s="3"/>
      <c r="AC83" s="3"/>
      <c r="AD83" s="3"/>
      <c r="AE83" s="3"/>
      <c r="AF83" s="3"/>
      <c r="AG83" s="3"/>
      <c r="AH83" s="3"/>
      <c r="AI83" s="3"/>
      <c r="AJ83" s="22"/>
      <c r="AK83" s="3"/>
      <c r="AL83" s="3"/>
      <c r="AM83" s="3"/>
      <c r="AN83" s="3"/>
    </row>
    <row r="84" spans="1:40" s="4" customFormat="1" x14ac:dyDescent="0.3">
      <c r="A84" s="16"/>
      <c r="B84" s="2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22"/>
      <c r="P84" s="3"/>
      <c r="Q84" s="3"/>
      <c r="R84" s="3"/>
      <c r="S84" s="3"/>
      <c r="T84" s="3"/>
      <c r="U84" s="3"/>
      <c r="V84" s="22"/>
      <c r="W84" s="3"/>
      <c r="X84" s="3"/>
      <c r="Y84" s="3"/>
      <c r="Z84" s="22"/>
      <c r="AA84" s="3"/>
      <c r="AB84" s="3"/>
      <c r="AC84" s="3"/>
      <c r="AD84" s="3"/>
      <c r="AE84" s="3"/>
      <c r="AF84" s="3"/>
      <c r="AG84" s="3"/>
      <c r="AH84" s="3"/>
      <c r="AI84" s="3"/>
      <c r="AJ84" s="22"/>
      <c r="AK84" s="3"/>
      <c r="AL84" s="3"/>
      <c r="AM84" s="3"/>
      <c r="AN84" s="3"/>
    </row>
    <row r="85" spans="1:40" s="4" customFormat="1" x14ac:dyDescent="0.3">
      <c r="A85" s="16"/>
      <c r="B85" s="2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22"/>
      <c r="P85" s="3"/>
      <c r="Q85" s="3"/>
      <c r="R85" s="3"/>
      <c r="S85" s="3"/>
      <c r="T85" s="3"/>
      <c r="U85" s="3"/>
      <c r="V85" s="22"/>
      <c r="W85" s="3"/>
      <c r="X85" s="3"/>
      <c r="Y85" s="3"/>
      <c r="Z85" s="22"/>
      <c r="AA85" s="3"/>
      <c r="AB85" s="3"/>
      <c r="AC85" s="3"/>
      <c r="AD85" s="3"/>
      <c r="AE85" s="3"/>
      <c r="AF85" s="3"/>
      <c r="AG85" s="3"/>
      <c r="AH85" s="3"/>
      <c r="AI85" s="3"/>
      <c r="AJ85" s="22"/>
      <c r="AK85" s="3"/>
      <c r="AL85" s="3"/>
      <c r="AM85" s="3"/>
      <c r="AN85" s="3"/>
    </row>
    <row r="86" spans="1:40" s="4" customFormat="1" x14ac:dyDescent="0.3">
      <c r="A86" s="16"/>
      <c r="B86" s="2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22"/>
      <c r="P86" s="3"/>
      <c r="Q86" s="3"/>
      <c r="R86" s="3"/>
      <c r="S86" s="3"/>
      <c r="T86" s="3"/>
      <c r="U86" s="3"/>
      <c r="V86" s="22"/>
      <c r="W86" s="3"/>
      <c r="X86" s="3"/>
      <c r="Y86" s="3"/>
      <c r="Z86" s="22"/>
      <c r="AA86" s="3"/>
      <c r="AB86" s="3"/>
      <c r="AC86" s="3"/>
      <c r="AD86" s="3"/>
      <c r="AE86" s="3"/>
      <c r="AF86" s="3"/>
      <c r="AG86" s="3"/>
      <c r="AH86" s="3"/>
      <c r="AI86" s="3"/>
      <c r="AJ86" s="22"/>
      <c r="AK86" s="3"/>
      <c r="AL86" s="3"/>
      <c r="AM86" s="3"/>
      <c r="AN86" s="3"/>
    </row>
    <row r="87" spans="1:40" s="4" customFormat="1" x14ac:dyDescent="0.3">
      <c r="A87" s="16"/>
      <c r="B87" s="2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22"/>
      <c r="P87" s="3"/>
      <c r="Q87" s="3"/>
      <c r="R87" s="3"/>
      <c r="S87" s="3"/>
      <c r="T87" s="3"/>
      <c r="U87" s="3"/>
      <c r="V87" s="22"/>
      <c r="W87" s="3"/>
      <c r="X87" s="3"/>
      <c r="Y87" s="3"/>
      <c r="Z87" s="22"/>
      <c r="AA87" s="3"/>
      <c r="AB87" s="3"/>
      <c r="AC87" s="3"/>
      <c r="AD87" s="3"/>
      <c r="AE87" s="3"/>
      <c r="AF87" s="3"/>
      <c r="AG87" s="3"/>
      <c r="AH87" s="3"/>
      <c r="AI87" s="3"/>
      <c r="AJ87" s="22"/>
      <c r="AK87" s="3"/>
      <c r="AL87" s="3"/>
      <c r="AM87" s="3"/>
      <c r="AN87" s="3"/>
    </row>
    <row r="88" spans="1:40" s="4" customFormat="1" x14ac:dyDescent="0.3">
      <c r="A88" s="16"/>
      <c r="B88" s="2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22"/>
      <c r="P88" s="3"/>
      <c r="Q88" s="3"/>
      <c r="R88" s="3"/>
      <c r="S88" s="3"/>
      <c r="T88" s="3"/>
      <c r="U88" s="3"/>
      <c r="V88" s="22"/>
      <c r="W88" s="3"/>
      <c r="X88" s="3"/>
      <c r="Y88" s="3"/>
      <c r="Z88" s="22"/>
      <c r="AA88" s="3"/>
      <c r="AB88" s="3"/>
      <c r="AC88" s="3"/>
      <c r="AD88" s="3"/>
      <c r="AE88" s="3"/>
      <c r="AF88" s="3"/>
      <c r="AG88" s="3"/>
      <c r="AH88" s="3"/>
      <c r="AI88" s="3"/>
      <c r="AJ88" s="22"/>
      <c r="AK88" s="3"/>
      <c r="AL88" s="3"/>
      <c r="AM88" s="3"/>
      <c r="AN88" s="3"/>
    </row>
    <row r="89" spans="1:40" s="4" customFormat="1" x14ac:dyDescent="0.3">
      <c r="A89" s="16"/>
      <c r="B89" s="2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22"/>
      <c r="P89" s="3"/>
      <c r="Q89" s="3"/>
      <c r="R89" s="3"/>
      <c r="S89" s="3"/>
      <c r="T89" s="3"/>
      <c r="U89" s="3"/>
      <c r="V89" s="22"/>
      <c r="W89" s="3"/>
      <c r="X89" s="3"/>
      <c r="Y89" s="3"/>
      <c r="Z89" s="22"/>
      <c r="AA89" s="3"/>
      <c r="AB89" s="3"/>
      <c r="AC89" s="3"/>
      <c r="AD89" s="3"/>
      <c r="AE89" s="3"/>
      <c r="AF89" s="3"/>
      <c r="AG89" s="3"/>
      <c r="AH89" s="3"/>
      <c r="AI89" s="3"/>
      <c r="AJ89" s="22"/>
      <c r="AK89" s="3"/>
      <c r="AL89" s="3"/>
      <c r="AM89" s="3"/>
      <c r="AN89" s="3"/>
    </row>
    <row r="90" spans="1:40" s="4" customFormat="1" x14ac:dyDescent="0.3">
      <c r="A90" s="16"/>
      <c r="B90" s="2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22"/>
      <c r="P90" s="3"/>
      <c r="Q90" s="3"/>
      <c r="R90" s="3"/>
      <c r="S90" s="3"/>
      <c r="T90" s="3"/>
      <c r="U90" s="3"/>
      <c r="V90" s="22"/>
      <c r="W90" s="3"/>
      <c r="X90" s="3"/>
      <c r="Y90" s="3"/>
      <c r="Z90" s="22"/>
      <c r="AA90" s="3"/>
      <c r="AB90" s="3"/>
      <c r="AC90" s="3"/>
      <c r="AD90" s="3"/>
      <c r="AE90" s="3"/>
      <c r="AF90" s="3"/>
      <c r="AG90" s="3"/>
      <c r="AH90" s="3"/>
      <c r="AI90" s="3"/>
      <c r="AJ90" s="22"/>
      <c r="AK90" s="3"/>
      <c r="AL90" s="3"/>
      <c r="AM90" s="3"/>
      <c r="AN90" s="3"/>
    </row>
    <row r="91" spans="1:40" s="4" customFormat="1" x14ac:dyDescent="0.3">
      <c r="A91" s="16"/>
      <c r="B91" s="2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22"/>
      <c r="P91" s="3"/>
      <c r="Q91" s="3"/>
      <c r="R91" s="3"/>
      <c r="S91" s="3"/>
      <c r="T91" s="3"/>
      <c r="U91" s="3"/>
      <c r="V91" s="22"/>
      <c r="W91" s="3"/>
      <c r="X91" s="3"/>
      <c r="Y91" s="3"/>
      <c r="Z91" s="22"/>
      <c r="AA91" s="3"/>
      <c r="AB91" s="3"/>
      <c r="AC91" s="3"/>
      <c r="AD91" s="3"/>
      <c r="AE91" s="3"/>
      <c r="AF91" s="3"/>
      <c r="AG91" s="3"/>
      <c r="AH91" s="3"/>
      <c r="AI91" s="3"/>
      <c r="AJ91" s="22"/>
      <c r="AK91" s="3"/>
      <c r="AL91" s="3"/>
      <c r="AM91" s="3"/>
      <c r="AN91" s="3"/>
    </row>
    <row r="92" spans="1:40" s="4" customFormat="1" x14ac:dyDescent="0.3">
      <c r="A92" s="16"/>
      <c r="B92" s="2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22"/>
      <c r="P92" s="3"/>
      <c r="Q92" s="3"/>
      <c r="R92" s="3"/>
      <c r="S92" s="3"/>
      <c r="T92" s="3"/>
      <c r="U92" s="3"/>
      <c r="V92" s="22"/>
      <c r="W92" s="3"/>
      <c r="X92" s="3"/>
      <c r="Y92" s="3"/>
      <c r="Z92" s="22"/>
      <c r="AA92" s="3"/>
      <c r="AB92" s="3"/>
      <c r="AC92" s="3"/>
      <c r="AD92" s="3"/>
      <c r="AE92" s="3"/>
      <c r="AF92" s="3"/>
      <c r="AG92" s="3"/>
      <c r="AH92" s="3"/>
      <c r="AI92" s="3"/>
      <c r="AJ92" s="22"/>
      <c r="AK92" s="3"/>
      <c r="AL92" s="3"/>
      <c r="AM92" s="3"/>
      <c r="AN92" s="3"/>
    </row>
    <row r="93" spans="1:40" s="4" customFormat="1" x14ac:dyDescent="0.3">
      <c r="A93" s="16"/>
      <c r="B93" s="2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22"/>
      <c r="P93" s="3"/>
      <c r="Q93" s="3"/>
      <c r="R93" s="3"/>
      <c r="S93" s="3"/>
      <c r="T93" s="3"/>
      <c r="U93" s="3"/>
      <c r="V93" s="22"/>
      <c r="W93" s="3"/>
      <c r="X93" s="3"/>
      <c r="Y93" s="3"/>
      <c r="Z93" s="22"/>
      <c r="AA93" s="3"/>
      <c r="AB93" s="3"/>
      <c r="AC93" s="3"/>
      <c r="AD93" s="3"/>
      <c r="AE93" s="3"/>
      <c r="AF93" s="3"/>
      <c r="AG93" s="3"/>
      <c r="AH93" s="3"/>
      <c r="AI93" s="3"/>
      <c r="AJ93" s="22"/>
      <c r="AK93" s="3"/>
      <c r="AL93" s="3"/>
      <c r="AM93" s="3"/>
      <c r="AN93" s="3"/>
    </row>
    <row r="94" spans="1:40" s="4" customFormat="1" x14ac:dyDescent="0.3">
      <c r="A94" s="16"/>
      <c r="B94" s="2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22"/>
      <c r="P94" s="3"/>
      <c r="Q94" s="3"/>
      <c r="R94" s="3"/>
      <c r="S94" s="3"/>
      <c r="T94" s="3"/>
      <c r="U94" s="3"/>
      <c r="V94" s="22"/>
      <c r="W94" s="3"/>
      <c r="X94" s="3"/>
      <c r="Y94" s="3"/>
      <c r="Z94" s="22"/>
      <c r="AA94" s="3"/>
      <c r="AB94" s="3"/>
      <c r="AC94" s="3"/>
      <c r="AD94" s="3"/>
      <c r="AE94" s="3"/>
      <c r="AF94" s="3"/>
      <c r="AG94" s="3"/>
      <c r="AH94" s="3"/>
      <c r="AI94" s="3"/>
      <c r="AJ94" s="22"/>
      <c r="AK94" s="3"/>
      <c r="AL94" s="3"/>
      <c r="AM94" s="3"/>
      <c r="AN94" s="3"/>
    </row>
    <row r="95" spans="1:40" s="4" customFormat="1" x14ac:dyDescent="0.3">
      <c r="A95" s="16"/>
      <c r="B95" s="2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22"/>
      <c r="P95" s="3"/>
      <c r="Q95" s="3"/>
      <c r="R95" s="3"/>
      <c r="S95" s="3"/>
      <c r="T95" s="3"/>
      <c r="U95" s="3"/>
      <c r="V95" s="22"/>
      <c r="W95" s="3"/>
      <c r="X95" s="3"/>
      <c r="Y95" s="3"/>
      <c r="Z95" s="22"/>
      <c r="AA95" s="3"/>
      <c r="AB95" s="3"/>
      <c r="AC95" s="3"/>
      <c r="AD95" s="3"/>
      <c r="AE95" s="3"/>
      <c r="AF95" s="3"/>
      <c r="AG95" s="3"/>
      <c r="AH95" s="3"/>
      <c r="AI95" s="3"/>
      <c r="AJ95" s="22"/>
      <c r="AK95" s="3"/>
      <c r="AL95" s="3"/>
      <c r="AM95" s="3"/>
      <c r="AN95" s="3"/>
    </row>
    <row r="96" spans="1:40" s="4" customFormat="1" x14ac:dyDescent="0.3">
      <c r="A96" s="16"/>
      <c r="B96" s="2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22"/>
      <c r="P96" s="3"/>
      <c r="Q96" s="3"/>
      <c r="R96" s="3"/>
      <c r="S96" s="3"/>
      <c r="T96" s="3"/>
      <c r="U96" s="3"/>
      <c r="V96" s="22"/>
      <c r="W96" s="3"/>
      <c r="X96" s="3"/>
      <c r="Y96" s="3"/>
      <c r="Z96" s="22"/>
      <c r="AA96" s="3"/>
      <c r="AB96" s="3"/>
      <c r="AC96" s="3"/>
      <c r="AD96" s="3"/>
      <c r="AE96" s="3"/>
      <c r="AF96" s="3"/>
      <c r="AG96" s="3"/>
      <c r="AH96" s="3"/>
      <c r="AI96" s="3"/>
      <c r="AJ96" s="22"/>
      <c r="AK96" s="3"/>
      <c r="AL96" s="3"/>
      <c r="AM96" s="3"/>
      <c r="AN96" s="3"/>
    </row>
    <row r="97" spans="1:40" s="4" customFormat="1" x14ac:dyDescent="0.3">
      <c r="A97" s="16"/>
      <c r="B97" s="2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22"/>
      <c r="P97" s="3"/>
      <c r="Q97" s="3"/>
      <c r="R97" s="3"/>
      <c r="S97" s="3"/>
      <c r="T97" s="3"/>
      <c r="U97" s="3"/>
      <c r="V97" s="22"/>
      <c r="W97" s="3"/>
      <c r="X97" s="3"/>
      <c r="Y97" s="3"/>
      <c r="Z97" s="22"/>
      <c r="AA97" s="3"/>
      <c r="AB97" s="3"/>
      <c r="AC97" s="3"/>
      <c r="AD97" s="3"/>
      <c r="AE97" s="3"/>
      <c r="AF97" s="3"/>
      <c r="AG97" s="3"/>
      <c r="AH97" s="3"/>
      <c r="AI97" s="3"/>
      <c r="AJ97" s="22"/>
      <c r="AK97" s="3"/>
      <c r="AL97" s="3"/>
      <c r="AM97" s="3"/>
      <c r="AN97" s="3"/>
    </row>
    <row r="98" spans="1:40" s="4" customFormat="1" x14ac:dyDescent="0.3">
      <c r="A98" s="16"/>
      <c r="B98" s="2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22"/>
      <c r="P98" s="3"/>
      <c r="Q98" s="3"/>
      <c r="R98" s="3"/>
      <c r="S98" s="3"/>
      <c r="T98" s="3"/>
      <c r="U98" s="3"/>
      <c r="V98" s="22"/>
      <c r="W98" s="3"/>
      <c r="X98" s="3"/>
      <c r="Y98" s="3"/>
      <c r="Z98" s="22"/>
      <c r="AA98" s="3"/>
      <c r="AB98" s="3"/>
      <c r="AC98" s="3"/>
      <c r="AD98" s="3"/>
      <c r="AE98" s="3"/>
      <c r="AF98" s="3"/>
      <c r="AG98" s="3"/>
      <c r="AH98" s="3"/>
      <c r="AI98" s="3"/>
      <c r="AJ98" s="22"/>
      <c r="AK98" s="3"/>
      <c r="AL98" s="3"/>
      <c r="AM98" s="3"/>
      <c r="AN98" s="3"/>
    </row>
    <row r="99" spans="1:40" s="4" customFormat="1" x14ac:dyDescent="0.3">
      <c r="A99" s="16"/>
      <c r="B99" s="2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22"/>
      <c r="P99" s="3"/>
      <c r="Q99" s="3"/>
      <c r="R99" s="3"/>
      <c r="S99" s="3"/>
      <c r="T99" s="3"/>
      <c r="U99" s="3"/>
      <c r="V99" s="22"/>
      <c r="W99" s="3"/>
      <c r="X99" s="3"/>
      <c r="Y99" s="3"/>
      <c r="Z99" s="22"/>
      <c r="AA99" s="3"/>
      <c r="AB99" s="3"/>
      <c r="AC99" s="3"/>
      <c r="AD99" s="3"/>
      <c r="AE99" s="3"/>
      <c r="AF99" s="3"/>
      <c r="AG99" s="3"/>
      <c r="AH99" s="3"/>
      <c r="AI99" s="3"/>
      <c r="AJ99" s="22"/>
      <c r="AK99" s="3"/>
      <c r="AL99" s="3"/>
      <c r="AM99" s="3"/>
      <c r="AN99" s="3"/>
    </row>
    <row r="100" spans="1:40" s="4" customFormat="1" x14ac:dyDescent="0.3">
      <c r="A100" s="16"/>
      <c r="B100" s="2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22"/>
      <c r="P100" s="3"/>
      <c r="Q100" s="3"/>
      <c r="R100" s="3"/>
      <c r="S100" s="3"/>
      <c r="T100" s="3"/>
      <c r="U100" s="3"/>
      <c r="V100" s="22"/>
      <c r="W100" s="3"/>
      <c r="X100" s="3"/>
      <c r="Y100" s="3"/>
      <c r="Z100" s="22"/>
      <c r="AA100" s="3"/>
      <c r="AB100" s="3"/>
      <c r="AC100" s="3"/>
      <c r="AD100" s="3"/>
      <c r="AE100" s="3"/>
      <c r="AF100" s="3"/>
      <c r="AG100" s="3"/>
      <c r="AH100" s="3"/>
      <c r="AI100" s="3"/>
      <c r="AJ100" s="22"/>
      <c r="AK100" s="3"/>
      <c r="AL100" s="3"/>
      <c r="AM100" s="3"/>
      <c r="AN100" s="3"/>
    </row>
    <row r="101" spans="1:40" s="4" customFormat="1" x14ac:dyDescent="0.3">
      <c r="A101" s="16"/>
      <c r="B101" s="2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22"/>
      <c r="P101" s="3"/>
      <c r="Q101" s="3"/>
      <c r="R101" s="3"/>
      <c r="S101" s="3"/>
      <c r="T101" s="3"/>
      <c r="U101" s="3"/>
      <c r="V101" s="22"/>
      <c r="W101" s="3"/>
      <c r="X101" s="3"/>
      <c r="Y101" s="3"/>
      <c r="Z101" s="22"/>
      <c r="AA101" s="3"/>
      <c r="AB101" s="3"/>
      <c r="AC101" s="3"/>
      <c r="AD101" s="3"/>
      <c r="AE101" s="3"/>
      <c r="AF101" s="3"/>
      <c r="AG101" s="3"/>
      <c r="AH101" s="3"/>
      <c r="AI101" s="3"/>
      <c r="AJ101" s="22"/>
      <c r="AK101" s="3"/>
      <c r="AL101" s="3"/>
      <c r="AM101" s="3"/>
      <c r="AN101" s="3"/>
    </row>
    <row r="102" spans="1:40" s="4" customFormat="1" x14ac:dyDescent="0.3">
      <c r="A102" s="16"/>
      <c r="B102" s="2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22"/>
      <c r="P102" s="3"/>
      <c r="Q102" s="3"/>
      <c r="R102" s="3"/>
      <c r="S102" s="3"/>
      <c r="T102" s="3"/>
      <c r="U102" s="3"/>
      <c r="V102" s="22"/>
      <c r="W102" s="3"/>
      <c r="X102" s="3"/>
      <c r="Y102" s="3"/>
      <c r="Z102" s="22"/>
      <c r="AA102" s="3"/>
      <c r="AB102" s="3"/>
      <c r="AC102" s="3"/>
      <c r="AD102" s="3"/>
      <c r="AE102" s="3"/>
      <c r="AF102" s="3"/>
      <c r="AG102" s="3"/>
      <c r="AH102" s="3"/>
      <c r="AI102" s="3"/>
      <c r="AJ102" s="22"/>
      <c r="AK102" s="3"/>
      <c r="AL102" s="3"/>
      <c r="AM102" s="3"/>
      <c r="AN102" s="3"/>
    </row>
    <row r="103" spans="1:40" s="4" customFormat="1" x14ac:dyDescent="0.3">
      <c r="A103" s="16"/>
      <c r="B103" s="2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22"/>
      <c r="P103" s="3"/>
      <c r="Q103" s="3"/>
      <c r="R103" s="3"/>
      <c r="S103" s="3"/>
      <c r="T103" s="3"/>
      <c r="U103" s="3"/>
      <c r="V103" s="22"/>
      <c r="W103" s="3"/>
      <c r="X103" s="3"/>
      <c r="Y103" s="3"/>
      <c r="Z103" s="22"/>
      <c r="AA103" s="3"/>
      <c r="AB103" s="3"/>
      <c r="AC103" s="3"/>
      <c r="AD103" s="3"/>
      <c r="AE103" s="3"/>
      <c r="AF103" s="3"/>
      <c r="AG103" s="3"/>
      <c r="AH103" s="3"/>
      <c r="AI103" s="3"/>
      <c r="AJ103" s="22"/>
      <c r="AK103" s="3"/>
      <c r="AL103" s="3"/>
      <c r="AM103" s="3"/>
      <c r="AN103" s="3"/>
    </row>
    <row r="104" spans="1:40" s="4" customFormat="1" x14ac:dyDescent="0.3">
      <c r="A104" s="16"/>
      <c r="B104" s="2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22"/>
      <c r="P104" s="3"/>
      <c r="Q104" s="3"/>
      <c r="R104" s="3"/>
      <c r="S104" s="3"/>
      <c r="T104" s="3"/>
      <c r="U104" s="3"/>
      <c r="V104" s="22"/>
      <c r="W104" s="3"/>
      <c r="X104" s="3"/>
      <c r="Y104" s="3"/>
      <c r="Z104" s="22"/>
      <c r="AA104" s="3"/>
      <c r="AB104" s="3"/>
      <c r="AC104" s="3"/>
      <c r="AD104" s="3"/>
      <c r="AE104" s="3"/>
      <c r="AF104" s="3"/>
      <c r="AG104" s="3"/>
      <c r="AH104" s="3"/>
      <c r="AI104" s="3"/>
      <c r="AJ104" s="22"/>
      <c r="AK104" s="3"/>
      <c r="AL104" s="3"/>
      <c r="AM104" s="3"/>
      <c r="AN104" s="3"/>
    </row>
    <row r="105" spans="1:40" s="4" customFormat="1" x14ac:dyDescent="0.3">
      <c r="A105" s="16"/>
      <c r="B105" s="2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22"/>
      <c r="P105" s="3"/>
      <c r="Q105" s="3"/>
      <c r="R105" s="3"/>
      <c r="S105" s="3"/>
      <c r="T105" s="3"/>
      <c r="U105" s="3"/>
      <c r="V105" s="22"/>
      <c r="W105" s="3"/>
      <c r="X105" s="3"/>
      <c r="Y105" s="3"/>
      <c r="Z105" s="22"/>
      <c r="AA105" s="3"/>
      <c r="AB105" s="3"/>
      <c r="AC105" s="3"/>
      <c r="AD105" s="3"/>
      <c r="AE105" s="3"/>
      <c r="AF105" s="3"/>
      <c r="AG105" s="3"/>
      <c r="AH105" s="3"/>
      <c r="AI105" s="3"/>
      <c r="AJ105" s="22"/>
      <c r="AK105" s="3"/>
      <c r="AL105" s="3"/>
      <c r="AM105" s="3"/>
      <c r="AN105" s="3"/>
    </row>
    <row r="106" spans="1:40" s="4" customFormat="1" x14ac:dyDescent="0.3">
      <c r="A106" s="16"/>
      <c r="B106" s="2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22"/>
      <c r="P106" s="3"/>
      <c r="Q106" s="3"/>
      <c r="R106" s="3"/>
      <c r="S106" s="3"/>
      <c r="T106" s="3"/>
      <c r="U106" s="3"/>
      <c r="V106" s="22"/>
      <c r="W106" s="3"/>
      <c r="X106" s="3"/>
      <c r="Y106" s="3"/>
      <c r="Z106" s="22"/>
      <c r="AA106" s="3"/>
      <c r="AB106" s="3"/>
      <c r="AC106" s="3"/>
      <c r="AD106" s="3"/>
      <c r="AE106" s="3"/>
      <c r="AF106" s="3"/>
      <c r="AG106" s="3"/>
      <c r="AH106" s="3"/>
      <c r="AI106" s="3"/>
      <c r="AJ106" s="22"/>
      <c r="AK106" s="3"/>
      <c r="AL106" s="3"/>
      <c r="AM106" s="3"/>
      <c r="AN106" s="3"/>
    </row>
    <row r="107" spans="1:40" s="4" customFormat="1" x14ac:dyDescent="0.3">
      <c r="A107" s="16"/>
      <c r="B107" s="2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22"/>
      <c r="P107" s="3"/>
      <c r="Q107" s="3"/>
      <c r="R107" s="3"/>
      <c r="S107" s="3"/>
      <c r="T107" s="3"/>
      <c r="U107" s="3"/>
      <c r="V107" s="22"/>
      <c r="W107" s="3"/>
      <c r="X107" s="3"/>
      <c r="Y107" s="3"/>
      <c r="Z107" s="22"/>
      <c r="AA107" s="3"/>
      <c r="AB107" s="3"/>
      <c r="AC107" s="3"/>
      <c r="AD107" s="3"/>
      <c r="AE107" s="3"/>
      <c r="AF107" s="3"/>
      <c r="AG107" s="3"/>
      <c r="AH107" s="3"/>
      <c r="AI107" s="3"/>
      <c r="AJ107" s="22"/>
      <c r="AK107" s="3"/>
      <c r="AL107" s="3"/>
      <c r="AM107" s="3"/>
      <c r="AN107" s="3"/>
    </row>
    <row r="108" spans="1:40" s="4" customFormat="1" x14ac:dyDescent="0.3">
      <c r="A108" s="16"/>
      <c r="B108" s="2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22"/>
      <c r="P108" s="3"/>
      <c r="Q108" s="3"/>
      <c r="R108" s="3"/>
      <c r="S108" s="3"/>
      <c r="T108" s="3"/>
      <c r="U108" s="3"/>
      <c r="V108" s="22"/>
      <c r="W108" s="3"/>
      <c r="X108" s="3"/>
      <c r="Y108" s="3"/>
      <c r="Z108" s="22"/>
      <c r="AA108" s="3"/>
      <c r="AB108" s="3"/>
      <c r="AC108" s="3"/>
      <c r="AD108" s="3"/>
      <c r="AE108" s="3"/>
      <c r="AF108" s="3"/>
      <c r="AG108" s="3"/>
      <c r="AH108" s="3"/>
      <c r="AI108" s="3"/>
      <c r="AJ108" s="22"/>
      <c r="AK108" s="3"/>
      <c r="AL108" s="3"/>
      <c r="AM108" s="3"/>
      <c r="AN108" s="3"/>
    </row>
    <row r="109" spans="1:40" s="4" customFormat="1" x14ac:dyDescent="0.3">
      <c r="A109" s="16"/>
      <c r="B109" s="22"/>
      <c r="O109" s="22"/>
      <c r="V109" s="22"/>
      <c r="Z109" s="22"/>
      <c r="AJ109" s="22"/>
      <c r="AN109" s="3"/>
    </row>
    <row r="110" spans="1:40" s="4" customFormat="1" x14ac:dyDescent="0.3">
      <c r="A110" s="16"/>
      <c r="B110" s="22"/>
      <c r="O110" s="22"/>
      <c r="V110" s="22"/>
      <c r="Z110" s="22"/>
      <c r="AJ110" s="22"/>
      <c r="AN110" s="3"/>
    </row>
    <row r="111" spans="1:40" s="4" customFormat="1" x14ac:dyDescent="0.3">
      <c r="A111" s="16"/>
      <c r="B111" s="22"/>
      <c r="O111" s="22"/>
      <c r="V111" s="22"/>
      <c r="Z111" s="22"/>
      <c r="AJ111" s="22"/>
      <c r="AN111" s="3"/>
    </row>
    <row r="112" spans="1:40" s="4" customFormat="1" x14ac:dyDescent="0.3">
      <c r="A112" s="16"/>
      <c r="B112" s="22"/>
      <c r="O112" s="22"/>
      <c r="V112" s="22"/>
      <c r="Z112" s="22"/>
      <c r="AJ112" s="22"/>
      <c r="AN112" s="3"/>
    </row>
    <row r="113" spans="1:40" s="4" customFormat="1" x14ac:dyDescent="0.3">
      <c r="A113" s="16"/>
      <c r="B113" s="22"/>
      <c r="O113" s="22"/>
      <c r="V113" s="22"/>
      <c r="Z113" s="22"/>
      <c r="AJ113" s="22"/>
      <c r="AN113" s="3"/>
    </row>
    <row r="114" spans="1:40" s="4" customFormat="1" x14ac:dyDescent="0.3">
      <c r="A114" s="16"/>
      <c r="B114" s="22"/>
      <c r="O114" s="22"/>
      <c r="V114" s="22"/>
      <c r="Z114" s="22"/>
      <c r="AJ114" s="22"/>
      <c r="AN114" s="3"/>
    </row>
    <row r="115" spans="1:40" s="4" customFormat="1" x14ac:dyDescent="0.3">
      <c r="A115" s="16"/>
      <c r="B115" s="22"/>
      <c r="O115" s="22"/>
      <c r="V115" s="22"/>
      <c r="Z115" s="22"/>
      <c r="AJ115" s="22"/>
      <c r="AN115" s="3"/>
    </row>
    <row r="116" spans="1:40" s="4" customFormat="1" x14ac:dyDescent="0.3">
      <c r="A116" s="16"/>
      <c r="B116" s="22"/>
      <c r="O116" s="22"/>
      <c r="V116" s="22"/>
      <c r="Z116" s="22"/>
      <c r="AJ116" s="22"/>
      <c r="AN116" s="3"/>
    </row>
    <row r="117" spans="1:40" s="4" customFormat="1" x14ac:dyDescent="0.3">
      <c r="A117" s="16"/>
      <c r="B117" s="22"/>
      <c r="O117" s="22"/>
      <c r="V117" s="22"/>
      <c r="Z117" s="22"/>
      <c r="AJ117" s="22"/>
      <c r="AN117" s="3"/>
    </row>
    <row r="118" spans="1:40" s="4" customFormat="1" x14ac:dyDescent="0.3">
      <c r="A118" s="16"/>
      <c r="B118" s="22"/>
      <c r="O118" s="22"/>
      <c r="V118" s="22"/>
      <c r="Z118" s="22"/>
      <c r="AJ118" s="22"/>
      <c r="AN118" s="3"/>
    </row>
    <row r="119" spans="1:40" s="4" customFormat="1" x14ac:dyDescent="0.3">
      <c r="A119" s="16"/>
      <c r="B119" s="2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22"/>
      <c r="P119" s="3"/>
      <c r="Q119" s="3"/>
      <c r="R119" s="3"/>
      <c r="S119" s="3"/>
      <c r="T119" s="3"/>
      <c r="U119" s="3"/>
      <c r="V119" s="22"/>
      <c r="W119" s="3"/>
      <c r="X119" s="3"/>
      <c r="Y119" s="3"/>
      <c r="Z119" s="22"/>
      <c r="AA119" s="3"/>
      <c r="AB119" s="3"/>
      <c r="AC119" s="3"/>
      <c r="AD119" s="3"/>
      <c r="AE119" s="3"/>
      <c r="AF119" s="3"/>
      <c r="AG119" s="3"/>
      <c r="AH119" s="3"/>
      <c r="AI119" s="3"/>
      <c r="AJ119" s="22"/>
      <c r="AK119" s="3"/>
      <c r="AL119" s="3"/>
      <c r="AM119" s="3"/>
      <c r="AN119" s="3"/>
    </row>
    <row r="120" spans="1:40" s="4" customFormat="1" x14ac:dyDescent="0.3">
      <c r="A120" s="16"/>
      <c r="B120" s="2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22"/>
      <c r="P120" s="3"/>
      <c r="Q120" s="3"/>
      <c r="R120" s="3"/>
      <c r="S120" s="3"/>
      <c r="T120" s="3"/>
      <c r="U120" s="3"/>
      <c r="V120" s="22"/>
      <c r="W120" s="3"/>
      <c r="X120" s="3"/>
      <c r="Y120" s="3"/>
      <c r="Z120" s="22"/>
      <c r="AA120" s="3"/>
      <c r="AB120" s="3"/>
      <c r="AC120" s="3"/>
      <c r="AD120" s="3"/>
      <c r="AE120" s="3"/>
      <c r="AF120" s="3"/>
      <c r="AG120" s="3"/>
      <c r="AH120" s="3"/>
      <c r="AI120" s="3"/>
      <c r="AJ120" s="22"/>
      <c r="AK120" s="3"/>
      <c r="AL120" s="3"/>
      <c r="AM120" s="3"/>
      <c r="AN120" s="3"/>
    </row>
    <row r="121" spans="1:40" s="4" customFormat="1" x14ac:dyDescent="0.3">
      <c r="A121" s="16"/>
      <c r="B121" s="2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22"/>
      <c r="P121" s="3"/>
      <c r="Q121" s="3"/>
      <c r="R121" s="3"/>
      <c r="S121" s="3"/>
      <c r="T121" s="3"/>
      <c r="U121" s="3"/>
      <c r="V121" s="22"/>
      <c r="W121" s="3"/>
      <c r="X121" s="3"/>
      <c r="Y121" s="3"/>
      <c r="Z121" s="22"/>
      <c r="AA121" s="3"/>
      <c r="AB121" s="3"/>
      <c r="AC121" s="3"/>
      <c r="AD121" s="3"/>
      <c r="AE121" s="3"/>
      <c r="AF121" s="3"/>
      <c r="AG121" s="3"/>
      <c r="AH121" s="3"/>
      <c r="AI121" s="3"/>
      <c r="AJ121" s="22"/>
      <c r="AK121" s="3"/>
      <c r="AL121" s="3"/>
      <c r="AM121" s="3"/>
      <c r="AN121" s="3"/>
    </row>
    <row r="122" spans="1:40" s="4" customFormat="1" x14ac:dyDescent="0.3">
      <c r="A122" s="16"/>
      <c r="B122" s="2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22"/>
      <c r="P122" s="3"/>
      <c r="Q122" s="3"/>
      <c r="R122" s="3"/>
      <c r="S122" s="3"/>
      <c r="T122" s="3"/>
      <c r="U122" s="3"/>
      <c r="V122" s="22"/>
      <c r="W122" s="3"/>
      <c r="X122" s="3"/>
      <c r="Y122" s="3"/>
      <c r="Z122" s="22"/>
      <c r="AA122" s="3"/>
      <c r="AB122" s="3"/>
      <c r="AC122" s="3"/>
      <c r="AD122" s="3"/>
      <c r="AE122" s="3"/>
      <c r="AF122" s="3"/>
      <c r="AG122" s="3"/>
      <c r="AH122" s="3"/>
      <c r="AI122" s="3"/>
      <c r="AJ122" s="22"/>
      <c r="AK122" s="3"/>
      <c r="AL122" s="3"/>
      <c r="AM122" s="3"/>
      <c r="AN122" s="3"/>
    </row>
    <row r="123" spans="1:40" s="4" customFormat="1" x14ac:dyDescent="0.3">
      <c r="A123" s="16"/>
      <c r="B123" s="2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22"/>
      <c r="P123" s="3"/>
      <c r="Q123" s="3"/>
      <c r="R123" s="3"/>
      <c r="S123" s="3"/>
      <c r="T123" s="3"/>
      <c r="U123" s="3"/>
      <c r="V123" s="22"/>
      <c r="W123" s="3"/>
      <c r="X123" s="3"/>
      <c r="Y123" s="3"/>
      <c r="Z123" s="22"/>
      <c r="AA123" s="3"/>
      <c r="AB123" s="3"/>
      <c r="AC123" s="3"/>
      <c r="AD123" s="3"/>
      <c r="AE123" s="3"/>
      <c r="AF123" s="3"/>
      <c r="AG123" s="3"/>
      <c r="AH123" s="3"/>
      <c r="AI123" s="3"/>
      <c r="AJ123" s="22"/>
      <c r="AK123" s="3"/>
      <c r="AL123" s="3"/>
      <c r="AM123" s="3"/>
      <c r="AN123" s="3"/>
    </row>
    <row r="124" spans="1:40" s="4" customFormat="1" x14ac:dyDescent="0.3">
      <c r="A124" s="16"/>
      <c r="B124" s="2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22"/>
      <c r="P124" s="3"/>
      <c r="Q124" s="3"/>
      <c r="R124" s="3"/>
      <c r="S124" s="3"/>
      <c r="T124" s="3"/>
      <c r="U124" s="3"/>
      <c r="V124" s="22"/>
      <c r="W124" s="3"/>
      <c r="X124" s="3"/>
      <c r="Y124" s="3"/>
      <c r="Z124" s="22"/>
      <c r="AA124" s="3"/>
      <c r="AB124" s="3"/>
      <c r="AC124" s="3"/>
      <c r="AD124" s="3"/>
      <c r="AE124" s="3"/>
      <c r="AF124" s="3"/>
      <c r="AG124" s="3"/>
      <c r="AH124" s="3"/>
      <c r="AI124" s="3"/>
      <c r="AJ124" s="22"/>
      <c r="AK124" s="3"/>
      <c r="AL124" s="3"/>
      <c r="AM124" s="3"/>
      <c r="AN124" s="3"/>
    </row>
    <row r="125" spans="1:40" s="4" customFormat="1" x14ac:dyDescent="0.3">
      <c r="A125" s="16"/>
      <c r="B125" s="2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22"/>
      <c r="P125" s="3"/>
      <c r="Q125" s="3"/>
      <c r="R125" s="3"/>
      <c r="S125" s="3"/>
      <c r="T125" s="3"/>
      <c r="U125" s="3"/>
      <c r="V125" s="22"/>
      <c r="W125" s="3"/>
      <c r="X125" s="3"/>
      <c r="Y125" s="3"/>
      <c r="Z125" s="22"/>
      <c r="AA125" s="3"/>
      <c r="AB125" s="3"/>
      <c r="AC125" s="3"/>
      <c r="AD125" s="3"/>
      <c r="AE125" s="3"/>
      <c r="AF125" s="3"/>
      <c r="AG125" s="3"/>
      <c r="AH125" s="3"/>
      <c r="AI125" s="3"/>
      <c r="AJ125" s="22"/>
      <c r="AK125" s="3"/>
      <c r="AL125" s="3"/>
      <c r="AM125" s="3"/>
    </row>
    <row r="126" spans="1:40" s="4" customFormat="1" x14ac:dyDescent="0.3">
      <c r="A126" s="16"/>
      <c r="B126" s="2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22"/>
      <c r="P126" s="3"/>
      <c r="Q126" s="3"/>
      <c r="R126" s="3"/>
      <c r="S126" s="3"/>
      <c r="T126" s="3"/>
      <c r="U126" s="3"/>
      <c r="V126" s="22"/>
      <c r="W126" s="3"/>
      <c r="X126" s="3"/>
      <c r="Y126" s="3"/>
      <c r="Z126" s="22"/>
      <c r="AA126" s="3"/>
      <c r="AB126" s="3"/>
      <c r="AC126" s="3"/>
      <c r="AD126" s="3"/>
      <c r="AE126" s="3"/>
      <c r="AF126" s="3"/>
      <c r="AG126" s="3"/>
      <c r="AH126" s="3"/>
      <c r="AI126" s="3"/>
      <c r="AJ126" s="22"/>
      <c r="AK126" s="3"/>
      <c r="AL126" s="3"/>
      <c r="AM126" s="3"/>
    </row>
    <row r="127" spans="1:40" s="4" customFormat="1" x14ac:dyDescent="0.3">
      <c r="A127" s="16"/>
      <c r="B127" s="2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22"/>
      <c r="P127" s="3"/>
      <c r="Q127" s="3"/>
      <c r="R127" s="3"/>
      <c r="S127" s="3"/>
      <c r="T127" s="3"/>
      <c r="U127" s="3"/>
      <c r="V127" s="22"/>
      <c r="W127" s="3"/>
      <c r="X127" s="3"/>
      <c r="Y127" s="3"/>
      <c r="Z127" s="22"/>
      <c r="AA127" s="3"/>
      <c r="AB127" s="3"/>
      <c r="AC127" s="3"/>
      <c r="AD127" s="3"/>
      <c r="AE127" s="3"/>
      <c r="AF127" s="3"/>
      <c r="AG127" s="3"/>
      <c r="AH127" s="3"/>
      <c r="AI127" s="3"/>
      <c r="AJ127" s="22"/>
      <c r="AK127" s="3"/>
      <c r="AL127" s="3"/>
      <c r="AM127" s="3"/>
    </row>
    <row r="128" spans="1:40" s="4" customFormat="1" x14ac:dyDescent="0.3">
      <c r="A128" s="16"/>
      <c r="B128" s="2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22"/>
      <c r="P128" s="3"/>
      <c r="Q128" s="3"/>
      <c r="R128" s="3"/>
      <c r="S128" s="3"/>
      <c r="T128" s="3"/>
      <c r="U128" s="3"/>
      <c r="V128" s="22"/>
      <c r="W128" s="3"/>
      <c r="X128" s="3"/>
      <c r="Y128" s="3"/>
      <c r="Z128" s="22"/>
      <c r="AA128" s="3"/>
      <c r="AB128" s="3"/>
      <c r="AC128" s="3"/>
      <c r="AD128" s="3"/>
      <c r="AE128" s="3"/>
      <c r="AF128" s="3"/>
      <c r="AG128" s="3"/>
      <c r="AH128" s="3"/>
      <c r="AI128" s="3"/>
      <c r="AJ128" s="22"/>
      <c r="AK128" s="3"/>
      <c r="AL128" s="3"/>
      <c r="AM128" s="3"/>
    </row>
    <row r="129" spans="1:40" s="4" customFormat="1" x14ac:dyDescent="0.3">
      <c r="A129" s="16"/>
      <c r="B129" s="2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22"/>
      <c r="P129" s="3"/>
      <c r="Q129" s="3"/>
      <c r="R129" s="3"/>
      <c r="S129" s="3"/>
      <c r="T129" s="3"/>
      <c r="U129" s="3"/>
      <c r="V129" s="22"/>
      <c r="W129" s="3"/>
      <c r="X129" s="3"/>
      <c r="Y129" s="3"/>
      <c r="Z129" s="22"/>
      <c r="AA129" s="3"/>
      <c r="AB129" s="3"/>
      <c r="AC129" s="3"/>
      <c r="AD129" s="3"/>
      <c r="AE129" s="3"/>
      <c r="AF129" s="3"/>
      <c r="AG129" s="3"/>
      <c r="AH129" s="3"/>
      <c r="AI129" s="3"/>
      <c r="AJ129" s="22"/>
      <c r="AK129" s="3"/>
      <c r="AL129" s="3"/>
      <c r="AM129" s="3"/>
    </row>
    <row r="130" spans="1:40" s="4" customFormat="1" x14ac:dyDescent="0.3">
      <c r="A130" s="16"/>
      <c r="B130" s="2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22"/>
      <c r="P130" s="3"/>
      <c r="Q130" s="3"/>
      <c r="R130" s="3"/>
      <c r="S130" s="3"/>
      <c r="T130" s="3"/>
      <c r="U130" s="3"/>
      <c r="V130" s="22"/>
      <c r="W130" s="3"/>
      <c r="X130" s="3"/>
      <c r="Y130" s="3"/>
      <c r="Z130" s="22"/>
      <c r="AA130" s="3"/>
      <c r="AB130" s="3"/>
      <c r="AC130" s="3"/>
      <c r="AD130" s="3"/>
      <c r="AE130" s="3"/>
      <c r="AF130" s="3"/>
      <c r="AG130" s="3"/>
      <c r="AH130" s="3"/>
      <c r="AI130" s="3"/>
      <c r="AJ130" s="22"/>
      <c r="AK130" s="3"/>
      <c r="AL130" s="3"/>
      <c r="AM130" s="3"/>
    </row>
    <row r="131" spans="1:40" s="4" customFormat="1" x14ac:dyDescent="0.3">
      <c r="A131" s="16"/>
      <c r="B131" s="2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22"/>
      <c r="P131" s="3"/>
      <c r="Q131" s="3"/>
      <c r="R131" s="3"/>
      <c r="S131" s="3"/>
      <c r="T131" s="3"/>
      <c r="U131" s="3"/>
      <c r="V131" s="22"/>
      <c r="W131" s="3"/>
      <c r="X131" s="3"/>
      <c r="Y131" s="3"/>
      <c r="Z131" s="22"/>
      <c r="AA131" s="3"/>
      <c r="AB131" s="3"/>
      <c r="AC131" s="3"/>
      <c r="AD131" s="3"/>
      <c r="AE131" s="3"/>
      <c r="AF131" s="3"/>
      <c r="AG131" s="3"/>
      <c r="AH131" s="3"/>
      <c r="AI131" s="3"/>
      <c r="AJ131" s="22"/>
      <c r="AK131" s="3"/>
      <c r="AL131" s="3"/>
      <c r="AM131" s="3"/>
    </row>
    <row r="132" spans="1:40" s="4" customFormat="1" x14ac:dyDescent="0.3">
      <c r="A132" s="16"/>
      <c r="B132" s="22"/>
      <c r="O132" s="22"/>
      <c r="V132" s="22"/>
      <c r="Z132" s="22"/>
      <c r="AJ132" s="22"/>
    </row>
    <row r="133" spans="1:40" s="4" customFormat="1" x14ac:dyDescent="0.3">
      <c r="A133" s="16"/>
      <c r="B133" s="2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22"/>
      <c r="P133" s="3"/>
      <c r="Q133" s="3"/>
      <c r="R133" s="3"/>
      <c r="S133" s="3"/>
      <c r="T133" s="3"/>
      <c r="U133" s="3"/>
      <c r="V133" s="22"/>
      <c r="W133" s="3"/>
      <c r="X133" s="3"/>
      <c r="Y133" s="3"/>
      <c r="Z133" s="22"/>
      <c r="AA133" s="3"/>
      <c r="AB133" s="3"/>
      <c r="AC133" s="3"/>
      <c r="AD133" s="3"/>
      <c r="AE133" s="3"/>
      <c r="AF133" s="3"/>
      <c r="AG133" s="3"/>
      <c r="AH133" s="3"/>
      <c r="AI133" s="3"/>
      <c r="AJ133" s="22"/>
      <c r="AK133" s="3"/>
      <c r="AL133" s="3"/>
      <c r="AM133" s="3"/>
    </row>
    <row r="134" spans="1:40" s="4" customFormat="1" x14ac:dyDescent="0.3">
      <c r="A134" s="16"/>
      <c r="B134" s="2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22"/>
      <c r="P134" s="3"/>
      <c r="Q134" s="3"/>
      <c r="R134" s="3"/>
      <c r="S134" s="3"/>
      <c r="T134" s="3"/>
      <c r="U134" s="3"/>
      <c r="V134" s="22"/>
      <c r="W134" s="3"/>
      <c r="X134" s="3"/>
      <c r="Y134" s="3"/>
      <c r="Z134" s="22"/>
      <c r="AA134" s="3"/>
      <c r="AB134" s="3"/>
      <c r="AC134" s="3"/>
      <c r="AD134" s="3"/>
      <c r="AE134" s="3"/>
      <c r="AF134" s="3"/>
      <c r="AG134" s="3"/>
      <c r="AH134" s="3"/>
      <c r="AI134" s="3"/>
      <c r="AJ134" s="22"/>
      <c r="AK134" s="3"/>
      <c r="AL134" s="3"/>
      <c r="AM134" s="3"/>
    </row>
    <row r="135" spans="1:40" s="4" customFormat="1" x14ac:dyDescent="0.3">
      <c r="A135" s="16"/>
      <c r="B135" s="2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22"/>
      <c r="P135" s="3"/>
      <c r="Q135" s="3"/>
      <c r="R135" s="3"/>
      <c r="S135" s="3"/>
      <c r="T135" s="3"/>
      <c r="U135" s="3"/>
      <c r="V135" s="22"/>
      <c r="W135" s="3"/>
      <c r="X135" s="3"/>
      <c r="Y135" s="3"/>
      <c r="Z135" s="22"/>
      <c r="AA135" s="3"/>
      <c r="AB135" s="3"/>
      <c r="AC135" s="3"/>
      <c r="AD135" s="3"/>
      <c r="AE135" s="3"/>
      <c r="AF135" s="3"/>
      <c r="AG135" s="3"/>
      <c r="AH135" s="3"/>
      <c r="AI135" s="3"/>
      <c r="AJ135" s="22"/>
      <c r="AK135" s="3"/>
      <c r="AL135" s="3"/>
      <c r="AM135" s="3"/>
      <c r="AN135" s="3"/>
    </row>
    <row r="136" spans="1:40" s="4" customFormat="1" x14ac:dyDescent="0.3">
      <c r="A136" s="16"/>
      <c r="B136" s="2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22"/>
      <c r="P136" s="3"/>
      <c r="Q136" s="3"/>
      <c r="R136" s="3"/>
      <c r="S136" s="3"/>
      <c r="T136" s="3"/>
      <c r="U136" s="3"/>
      <c r="V136" s="22"/>
      <c r="W136" s="3"/>
      <c r="X136" s="3"/>
      <c r="Y136" s="3"/>
      <c r="Z136" s="22"/>
      <c r="AA136" s="3"/>
      <c r="AB136" s="3"/>
      <c r="AC136" s="3"/>
      <c r="AD136" s="3"/>
      <c r="AE136" s="3"/>
      <c r="AF136" s="3"/>
      <c r="AG136" s="3"/>
      <c r="AH136" s="3"/>
      <c r="AI136" s="3"/>
      <c r="AJ136" s="22"/>
      <c r="AK136" s="3"/>
      <c r="AL136" s="3"/>
      <c r="AM136" s="3"/>
      <c r="AN136" s="3"/>
    </row>
    <row r="137" spans="1:40" s="4" customFormat="1" x14ac:dyDescent="0.3">
      <c r="A137" s="16"/>
      <c r="B137" s="2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22"/>
      <c r="P137" s="3"/>
      <c r="Q137" s="3"/>
      <c r="R137" s="3"/>
      <c r="S137" s="3"/>
      <c r="T137" s="3"/>
      <c r="U137" s="3"/>
      <c r="V137" s="22"/>
      <c r="W137" s="3"/>
      <c r="X137" s="3"/>
      <c r="Y137" s="3"/>
      <c r="Z137" s="22"/>
      <c r="AA137" s="3"/>
      <c r="AB137" s="3"/>
      <c r="AC137" s="3"/>
      <c r="AD137" s="3"/>
      <c r="AE137" s="3"/>
      <c r="AF137" s="3"/>
      <c r="AG137" s="3"/>
      <c r="AH137" s="3"/>
      <c r="AI137" s="3"/>
      <c r="AJ137" s="22"/>
      <c r="AK137" s="3"/>
      <c r="AL137" s="3"/>
      <c r="AM137" s="3"/>
      <c r="AN137" s="3"/>
    </row>
    <row r="138" spans="1:40" s="4" customFormat="1" x14ac:dyDescent="0.3">
      <c r="A138" s="16"/>
      <c r="B138" s="2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22"/>
      <c r="P138" s="3"/>
      <c r="Q138" s="3"/>
      <c r="R138" s="3"/>
      <c r="S138" s="3"/>
      <c r="T138" s="3"/>
      <c r="U138" s="3"/>
      <c r="V138" s="22"/>
      <c r="W138" s="3"/>
      <c r="X138" s="3"/>
      <c r="Y138" s="3"/>
      <c r="Z138" s="22"/>
      <c r="AA138" s="3"/>
      <c r="AB138" s="3"/>
      <c r="AC138" s="3"/>
      <c r="AD138" s="3"/>
      <c r="AE138" s="3"/>
      <c r="AF138" s="3"/>
      <c r="AG138" s="3"/>
      <c r="AH138" s="3"/>
      <c r="AI138" s="3"/>
      <c r="AJ138" s="22"/>
      <c r="AK138" s="3"/>
      <c r="AL138" s="3"/>
      <c r="AM138" s="3"/>
      <c r="AN138" s="3"/>
    </row>
    <row r="139" spans="1:40" s="4" customFormat="1" x14ac:dyDescent="0.3">
      <c r="A139" s="16"/>
      <c r="B139" s="2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22"/>
      <c r="P139" s="3"/>
      <c r="Q139" s="3"/>
      <c r="R139" s="3"/>
      <c r="S139" s="3"/>
      <c r="T139" s="3"/>
      <c r="U139" s="3"/>
      <c r="V139" s="22"/>
      <c r="W139" s="3"/>
      <c r="X139" s="3"/>
      <c r="Y139" s="3"/>
      <c r="Z139" s="22"/>
      <c r="AA139" s="3"/>
      <c r="AB139" s="3"/>
      <c r="AC139" s="3"/>
      <c r="AD139" s="3"/>
      <c r="AE139" s="3"/>
      <c r="AF139" s="3"/>
      <c r="AG139" s="3"/>
      <c r="AH139" s="3"/>
      <c r="AI139" s="3"/>
      <c r="AJ139" s="22"/>
      <c r="AK139" s="3"/>
      <c r="AL139" s="3"/>
      <c r="AM139" s="3"/>
      <c r="AN139" s="3"/>
    </row>
    <row r="140" spans="1:40" s="4" customFormat="1" x14ac:dyDescent="0.3">
      <c r="A140" s="16"/>
      <c r="B140" s="2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22"/>
      <c r="P140" s="3"/>
      <c r="Q140" s="3"/>
      <c r="R140" s="3"/>
      <c r="S140" s="3"/>
      <c r="T140" s="3"/>
      <c r="U140" s="3"/>
      <c r="V140" s="22"/>
      <c r="W140" s="3"/>
      <c r="X140" s="3"/>
      <c r="Y140" s="3"/>
      <c r="Z140" s="22"/>
      <c r="AA140" s="3"/>
      <c r="AB140" s="3"/>
      <c r="AC140" s="3"/>
      <c r="AD140" s="3"/>
      <c r="AE140" s="3"/>
      <c r="AF140" s="3"/>
      <c r="AG140" s="3"/>
      <c r="AH140" s="3"/>
      <c r="AI140" s="3"/>
      <c r="AJ140" s="22"/>
      <c r="AK140" s="3"/>
      <c r="AL140" s="3"/>
      <c r="AM140" s="3"/>
      <c r="AN140" s="3"/>
    </row>
    <row r="141" spans="1:40" s="4" customFormat="1" x14ac:dyDescent="0.3">
      <c r="A141" s="16"/>
      <c r="B141" s="2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22"/>
      <c r="P141" s="3"/>
      <c r="Q141" s="3"/>
      <c r="R141" s="3"/>
      <c r="S141" s="3"/>
      <c r="T141" s="3"/>
      <c r="U141" s="3"/>
      <c r="V141" s="22"/>
      <c r="W141" s="3"/>
      <c r="X141" s="3"/>
      <c r="Y141" s="3"/>
      <c r="Z141" s="22"/>
      <c r="AA141" s="3"/>
      <c r="AB141" s="3"/>
      <c r="AC141" s="3"/>
      <c r="AD141" s="3"/>
      <c r="AE141" s="3"/>
      <c r="AF141" s="3"/>
      <c r="AG141" s="3"/>
      <c r="AH141" s="3"/>
      <c r="AI141" s="3"/>
      <c r="AJ141" s="22"/>
      <c r="AK141" s="3"/>
      <c r="AL141" s="3"/>
      <c r="AM141" s="3"/>
      <c r="AN141" s="3"/>
    </row>
    <row r="142" spans="1:40" s="4" customFormat="1" x14ac:dyDescent="0.3">
      <c r="A142" s="16"/>
      <c r="B142" s="2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22"/>
      <c r="P142" s="3"/>
      <c r="Q142" s="3"/>
      <c r="R142" s="3"/>
      <c r="S142" s="3"/>
      <c r="T142" s="3"/>
      <c r="U142" s="3"/>
      <c r="V142" s="22"/>
      <c r="W142" s="3"/>
      <c r="X142" s="3"/>
      <c r="Y142" s="3"/>
      <c r="Z142" s="22"/>
      <c r="AA142" s="3"/>
      <c r="AB142" s="3"/>
      <c r="AC142" s="3"/>
      <c r="AD142" s="3"/>
      <c r="AE142" s="3"/>
      <c r="AF142" s="3"/>
      <c r="AG142" s="3"/>
      <c r="AH142" s="3"/>
      <c r="AI142" s="3"/>
      <c r="AJ142" s="22"/>
      <c r="AK142" s="3"/>
      <c r="AL142" s="3"/>
      <c r="AM142" s="3"/>
      <c r="AN142" s="3"/>
    </row>
    <row r="143" spans="1:40" s="4" customFormat="1" x14ac:dyDescent="0.3">
      <c r="A143" s="16"/>
      <c r="B143" s="2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22"/>
      <c r="P143" s="3"/>
      <c r="Q143" s="3"/>
      <c r="R143" s="3"/>
      <c r="S143" s="3"/>
      <c r="T143" s="3"/>
      <c r="U143" s="3"/>
      <c r="V143" s="22"/>
      <c r="W143" s="3"/>
      <c r="X143" s="3"/>
      <c r="Y143" s="3"/>
      <c r="Z143" s="22"/>
      <c r="AA143" s="3"/>
      <c r="AB143" s="3"/>
      <c r="AC143" s="3"/>
      <c r="AD143" s="3"/>
      <c r="AE143" s="3"/>
      <c r="AF143" s="3"/>
      <c r="AG143" s="3"/>
      <c r="AH143" s="3"/>
      <c r="AI143" s="3"/>
      <c r="AJ143" s="22"/>
      <c r="AK143" s="3"/>
      <c r="AL143" s="3"/>
      <c r="AM143" s="3"/>
      <c r="AN143" s="3"/>
    </row>
    <row r="144" spans="1:40" s="4" customFormat="1" x14ac:dyDescent="0.3">
      <c r="A144" s="16"/>
      <c r="B144" s="2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22"/>
      <c r="P144" s="3"/>
      <c r="Q144" s="3"/>
      <c r="R144" s="3"/>
      <c r="S144" s="3"/>
      <c r="T144" s="3"/>
      <c r="U144" s="3"/>
      <c r="V144" s="22"/>
      <c r="W144" s="3"/>
      <c r="X144" s="3"/>
      <c r="Y144" s="3"/>
      <c r="Z144" s="22"/>
      <c r="AA144" s="3"/>
      <c r="AB144" s="3"/>
      <c r="AC144" s="3"/>
      <c r="AD144" s="3"/>
      <c r="AE144" s="3"/>
      <c r="AF144" s="3"/>
      <c r="AG144" s="3"/>
      <c r="AH144" s="3"/>
      <c r="AI144" s="3"/>
      <c r="AJ144" s="22"/>
      <c r="AK144" s="3"/>
      <c r="AL144" s="3"/>
      <c r="AM144" s="3"/>
      <c r="AN144" s="3"/>
    </row>
    <row r="145" spans="1:40" s="4" customFormat="1" x14ac:dyDescent="0.3">
      <c r="A145" s="16"/>
      <c r="B145" s="2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22"/>
      <c r="P145" s="3"/>
      <c r="Q145" s="3"/>
      <c r="R145" s="3"/>
      <c r="S145" s="3"/>
      <c r="T145" s="3"/>
      <c r="U145" s="3"/>
      <c r="V145" s="22"/>
      <c r="W145" s="3"/>
      <c r="X145" s="3"/>
      <c r="Y145" s="3"/>
      <c r="Z145" s="22"/>
      <c r="AA145" s="3"/>
      <c r="AB145" s="3"/>
      <c r="AC145" s="3"/>
      <c r="AD145" s="3"/>
      <c r="AE145" s="3"/>
      <c r="AF145" s="3"/>
      <c r="AG145" s="3"/>
      <c r="AH145" s="3"/>
      <c r="AI145" s="3"/>
      <c r="AJ145" s="22"/>
      <c r="AK145" s="3"/>
      <c r="AL145" s="3"/>
      <c r="AM145" s="3"/>
      <c r="AN145" s="3"/>
    </row>
    <row r="146" spans="1:40" s="4" customFormat="1" x14ac:dyDescent="0.3">
      <c r="A146" s="16"/>
      <c r="B146" s="2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22"/>
      <c r="P146" s="3"/>
      <c r="Q146" s="3"/>
      <c r="R146" s="3"/>
      <c r="S146" s="3"/>
      <c r="T146" s="3"/>
      <c r="U146" s="3"/>
      <c r="V146" s="22"/>
      <c r="W146" s="3"/>
      <c r="X146" s="3"/>
      <c r="Y146" s="3"/>
      <c r="Z146" s="22"/>
      <c r="AA146" s="3"/>
      <c r="AB146" s="3"/>
      <c r="AC146" s="3"/>
      <c r="AD146" s="3"/>
      <c r="AE146" s="3"/>
      <c r="AF146" s="3"/>
      <c r="AG146" s="3"/>
      <c r="AH146" s="3"/>
      <c r="AI146" s="3"/>
      <c r="AJ146" s="22"/>
      <c r="AK146" s="3"/>
      <c r="AL146" s="3"/>
      <c r="AM146" s="3"/>
      <c r="AN146" s="3"/>
    </row>
    <row r="147" spans="1:40" s="4" customFormat="1" x14ac:dyDescent="0.3">
      <c r="A147" s="16"/>
      <c r="B147" s="2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22"/>
      <c r="P147" s="3"/>
      <c r="Q147" s="3"/>
      <c r="R147" s="3"/>
      <c r="S147" s="3"/>
      <c r="T147" s="3"/>
      <c r="U147" s="3"/>
      <c r="V147" s="22"/>
      <c r="W147" s="3"/>
      <c r="X147" s="3"/>
      <c r="Y147" s="3"/>
      <c r="Z147" s="22"/>
      <c r="AA147" s="3"/>
      <c r="AB147" s="3"/>
      <c r="AC147" s="3"/>
      <c r="AD147" s="3"/>
      <c r="AE147" s="3"/>
      <c r="AF147" s="3"/>
      <c r="AG147" s="3"/>
      <c r="AH147" s="3"/>
      <c r="AI147" s="3"/>
      <c r="AJ147" s="22"/>
      <c r="AK147" s="3"/>
      <c r="AL147" s="3"/>
      <c r="AM147" s="3"/>
      <c r="AN147" s="3"/>
    </row>
    <row r="148" spans="1:40" s="4" customFormat="1" x14ac:dyDescent="0.3">
      <c r="A148" s="16"/>
      <c r="B148" s="2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22"/>
      <c r="P148" s="3"/>
      <c r="Q148" s="3"/>
      <c r="R148" s="3"/>
      <c r="S148" s="3"/>
      <c r="T148" s="3"/>
      <c r="U148" s="3"/>
      <c r="V148" s="22"/>
      <c r="W148" s="3"/>
      <c r="X148" s="3"/>
      <c r="Y148" s="3"/>
      <c r="Z148" s="22"/>
      <c r="AA148" s="3"/>
      <c r="AB148" s="3"/>
      <c r="AC148" s="3"/>
      <c r="AD148" s="3"/>
      <c r="AE148" s="3"/>
      <c r="AF148" s="3"/>
      <c r="AG148" s="3"/>
      <c r="AH148" s="3"/>
      <c r="AI148" s="3"/>
      <c r="AJ148" s="22"/>
      <c r="AK148" s="3"/>
      <c r="AL148" s="3"/>
      <c r="AM148" s="3"/>
    </row>
    <row r="149" spans="1:40" s="4" customFormat="1" x14ac:dyDescent="0.3">
      <c r="A149" s="16"/>
      <c r="B149" s="2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2"/>
      <c r="P149" s="3"/>
      <c r="Q149" s="3"/>
      <c r="R149" s="3"/>
      <c r="S149" s="3"/>
      <c r="T149" s="3"/>
      <c r="U149" s="3"/>
      <c r="V149" s="22"/>
      <c r="W149" s="3"/>
      <c r="X149" s="3"/>
      <c r="Y149" s="3"/>
      <c r="Z149" s="22"/>
      <c r="AA149" s="3"/>
      <c r="AB149" s="3"/>
      <c r="AC149" s="3"/>
      <c r="AD149" s="3"/>
      <c r="AE149" s="3"/>
      <c r="AF149" s="3"/>
      <c r="AG149" s="3"/>
      <c r="AH149" s="3"/>
      <c r="AI149" s="3"/>
      <c r="AJ149" s="22"/>
      <c r="AK149" s="3"/>
      <c r="AL149" s="3"/>
      <c r="AM149" s="3"/>
      <c r="AN149" s="3"/>
    </row>
    <row r="150" spans="1:40" s="4" customFormat="1" x14ac:dyDescent="0.3">
      <c r="A150" s="16"/>
      <c r="B150" s="2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22"/>
      <c r="P150" s="3"/>
      <c r="Q150" s="3"/>
      <c r="R150" s="3"/>
      <c r="S150" s="3"/>
      <c r="T150" s="3"/>
      <c r="U150" s="3"/>
      <c r="V150" s="22"/>
      <c r="W150" s="3"/>
      <c r="X150" s="3"/>
      <c r="Y150" s="3"/>
      <c r="Z150" s="22"/>
      <c r="AA150" s="3"/>
      <c r="AB150" s="3"/>
      <c r="AC150" s="3"/>
      <c r="AD150" s="3"/>
      <c r="AE150" s="3"/>
      <c r="AF150" s="3"/>
      <c r="AG150" s="3"/>
      <c r="AH150" s="3"/>
      <c r="AI150" s="3"/>
      <c r="AJ150" s="22"/>
      <c r="AK150" s="3"/>
      <c r="AL150" s="3"/>
      <c r="AM150" s="3"/>
      <c r="AN150" s="3"/>
    </row>
    <row r="151" spans="1:40" s="4" customFormat="1" x14ac:dyDescent="0.3">
      <c r="A151" s="16"/>
      <c r="B151" s="2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22"/>
      <c r="P151" s="3"/>
      <c r="Q151" s="3"/>
      <c r="R151" s="3"/>
      <c r="S151" s="3"/>
      <c r="T151" s="3"/>
      <c r="U151" s="3"/>
      <c r="V151" s="22"/>
      <c r="W151" s="3"/>
      <c r="X151" s="3"/>
      <c r="Y151" s="3"/>
      <c r="Z151" s="22"/>
      <c r="AA151" s="3"/>
      <c r="AB151" s="3"/>
      <c r="AC151" s="3"/>
      <c r="AD151" s="3"/>
      <c r="AE151" s="3"/>
      <c r="AF151" s="3"/>
      <c r="AG151" s="3"/>
      <c r="AH151" s="3"/>
      <c r="AI151" s="3"/>
      <c r="AJ151" s="22"/>
      <c r="AK151" s="3"/>
      <c r="AL151" s="3"/>
      <c r="AM151" s="3"/>
      <c r="AN151" s="3"/>
    </row>
    <row r="152" spans="1:40" s="4" customFormat="1" x14ac:dyDescent="0.3">
      <c r="A152" s="16"/>
      <c r="B152" s="2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22"/>
      <c r="P152" s="3"/>
      <c r="Q152" s="3"/>
      <c r="R152" s="3"/>
      <c r="S152" s="3"/>
      <c r="T152" s="3"/>
      <c r="U152" s="3"/>
      <c r="V152" s="22"/>
      <c r="W152" s="3"/>
      <c r="X152" s="3"/>
      <c r="Y152" s="3"/>
      <c r="Z152" s="22"/>
      <c r="AA152" s="3"/>
      <c r="AB152" s="3"/>
      <c r="AC152" s="3"/>
      <c r="AD152" s="3"/>
      <c r="AE152" s="3"/>
      <c r="AF152" s="3"/>
      <c r="AG152" s="3"/>
      <c r="AH152" s="3"/>
      <c r="AI152" s="3"/>
      <c r="AJ152" s="22"/>
      <c r="AK152" s="3"/>
      <c r="AL152" s="3"/>
      <c r="AM152" s="3"/>
      <c r="AN152" s="3"/>
    </row>
    <row r="153" spans="1:40" s="4" customFormat="1" x14ac:dyDescent="0.3">
      <c r="A153" s="16"/>
      <c r="B153" s="2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22"/>
      <c r="P153" s="3"/>
      <c r="Q153" s="3"/>
      <c r="R153" s="3"/>
      <c r="S153" s="3"/>
      <c r="T153" s="3"/>
      <c r="U153" s="3"/>
      <c r="V153" s="22"/>
      <c r="W153" s="3"/>
      <c r="X153" s="3"/>
      <c r="Y153" s="3"/>
      <c r="Z153" s="22"/>
      <c r="AA153" s="3"/>
      <c r="AB153" s="3"/>
      <c r="AC153" s="3"/>
      <c r="AD153" s="3"/>
      <c r="AE153" s="3"/>
      <c r="AF153" s="3"/>
      <c r="AG153" s="3"/>
      <c r="AH153" s="3"/>
      <c r="AI153" s="3"/>
      <c r="AJ153" s="22"/>
      <c r="AK153" s="3"/>
      <c r="AL153" s="3"/>
      <c r="AM153" s="3"/>
      <c r="AN153" s="3"/>
    </row>
    <row r="154" spans="1:40" s="4" customFormat="1" x14ac:dyDescent="0.3">
      <c r="A154" s="16"/>
      <c r="B154" s="2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22"/>
      <c r="P154" s="3"/>
      <c r="Q154" s="3"/>
      <c r="R154" s="3"/>
      <c r="S154" s="3"/>
      <c r="T154" s="3"/>
      <c r="U154" s="3"/>
      <c r="V154" s="22"/>
      <c r="W154" s="3"/>
      <c r="X154" s="3"/>
      <c r="Y154" s="3"/>
      <c r="Z154" s="22"/>
      <c r="AA154" s="3"/>
      <c r="AB154" s="3"/>
      <c r="AC154" s="3"/>
      <c r="AD154" s="3"/>
      <c r="AE154" s="3"/>
      <c r="AF154" s="3"/>
      <c r="AG154" s="3"/>
      <c r="AH154" s="3"/>
      <c r="AI154" s="3"/>
      <c r="AJ154" s="22"/>
      <c r="AK154" s="3"/>
      <c r="AL154" s="3"/>
      <c r="AM154" s="3"/>
      <c r="AN154" s="3"/>
    </row>
    <row r="155" spans="1:40" s="4" customFormat="1" x14ac:dyDescent="0.3">
      <c r="A155" s="16"/>
      <c r="B155" s="2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22"/>
      <c r="P155" s="3"/>
      <c r="Q155" s="3"/>
      <c r="R155" s="3"/>
      <c r="S155" s="3"/>
      <c r="T155" s="3"/>
      <c r="U155" s="3"/>
      <c r="V155" s="22"/>
      <c r="W155" s="3"/>
      <c r="X155" s="3"/>
      <c r="Y155" s="3"/>
      <c r="Z155" s="22"/>
      <c r="AA155" s="3"/>
      <c r="AB155" s="3"/>
      <c r="AC155" s="3"/>
      <c r="AD155" s="3"/>
      <c r="AE155" s="3"/>
      <c r="AF155" s="3"/>
      <c r="AG155" s="3"/>
      <c r="AH155" s="3"/>
      <c r="AI155" s="3"/>
      <c r="AJ155" s="22"/>
      <c r="AK155" s="3"/>
      <c r="AL155" s="3"/>
      <c r="AM155" s="3"/>
      <c r="AN155" s="3"/>
    </row>
    <row r="156" spans="1:40" s="4" customFormat="1" x14ac:dyDescent="0.3">
      <c r="A156" s="16"/>
      <c r="B156" s="2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22"/>
      <c r="P156" s="3"/>
      <c r="Q156" s="3"/>
      <c r="R156" s="3"/>
      <c r="S156" s="3"/>
      <c r="T156" s="3"/>
      <c r="U156" s="3"/>
      <c r="V156" s="22"/>
      <c r="W156" s="3"/>
      <c r="X156" s="3"/>
      <c r="Y156" s="3"/>
      <c r="Z156" s="22"/>
      <c r="AA156" s="3"/>
      <c r="AB156" s="3"/>
      <c r="AC156" s="3"/>
      <c r="AD156" s="3"/>
      <c r="AE156" s="3"/>
      <c r="AF156" s="3"/>
      <c r="AG156" s="3"/>
      <c r="AH156" s="3"/>
      <c r="AI156" s="3"/>
      <c r="AJ156" s="22"/>
      <c r="AK156" s="3"/>
      <c r="AL156" s="3"/>
      <c r="AM156" s="3"/>
      <c r="AN156" s="3"/>
    </row>
    <row r="157" spans="1:40" s="4" customFormat="1" x14ac:dyDescent="0.3">
      <c r="A157" s="16"/>
      <c r="B157" s="2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2"/>
      <c r="P157" s="3"/>
      <c r="Q157" s="3"/>
      <c r="R157" s="3"/>
      <c r="S157" s="3"/>
      <c r="T157" s="3"/>
      <c r="U157" s="3"/>
      <c r="V157" s="22"/>
      <c r="W157" s="3"/>
      <c r="X157" s="3"/>
      <c r="Y157" s="3"/>
      <c r="Z157" s="22"/>
      <c r="AA157" s="3"/>
      <c r="AB157" s="3"/>
      <c r="AC157" s="3"/>
      <c r="AD157" s="3"/>
      <c r="AE157" s="3"/>
      <c r="AF157" s="3"/>
      <c r="AG157" s="3"/>
      <c r="AH157" s="3"/>
      <c r="AI157" s="3"/>
      <c r="AJ157" s="22"/>
      <c r="AK157" s="3"/>
      <c r="AL157" s="3"/>
      <c r="AM157" s="3"/>
      <c r="AN157" s="3"/>
    </row>
    <row r="158" spans="1:40" s="4" customFormat="1" x14ac:dyDescent="0.3">
      <c r="A158" s="16"/>
      <c r="B158" s="2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22"/>
      <c r="P158" s="3"/>
      <c r="Q158" s="3"/>
      <c r="R158" s="3"/>
      <c r="S158" s="3"/>
      <c r="T158" s="3"/>
      <c r="U158" s="3"/>
      <c r="V158" s="22"/>
      <c r="W158" s="3"/>
      <c r="X158" s="3"/>
      <c r="Y158" s="3"/>
      <c r="Z158" s="22"/>
      <c r="AA158" s="3"/>
      <c r="AB158" s="3"/>
      <c r="AC158" s="3"/>
      <c r="AD158" s="3"/>
      <c r="AE158" s="3"/>
      <c r="AF158" s="3"/>
      <c r="AG158" s="3"/>
      <c r="AH158" s="3"/>
      <c r="AI158" s="3"/>
      <c r="AJ158" s="22"/>
      <c r="AK158" s="3"/>
      <c r="AL158" s="3"/>
      <c r="AM158" s="3"/>
      <c r="AN158" s="3"/>
    </row>
    <row r="159" spans="1:40" s="4" customFormat="1" x14ac:dyDescent="0.3">
      <c r="A159" s="16"/>
      <c r="B159" s="2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22"/>
      <c r="P159" s="3"/>
      <c r="Q159" s="3"/>
      <c r="R159" s="3"/>
      <c r="S159" s="3"/>
      <c r="T159" s="3"/>
      <c r="U159" s="3"/>
      <c r="V159" s="22"/>
      <c r="W159" s="3"/>
      <c r="X159" s="3"/>
      <c r="Y159" s="3"/>
      <c r="Z159" s="22"/>
      <c r="AA159" s="3"/>
      <c r="AB159" s="3"/>
      <c r="AC159" s="3"/>
      <c r="AD159" s="3"/>
      <c r="AE159" s="3"/>
      <c r="AF159" s="3"/>
      <c r="AG159" s="3"/>
      <c r="AH159" s="3"/>
      <c r="AI159" s="3"/>
      <c r="AJ159" s="22"/>
      <c r="AK159" s="3"/>
      <c r="AL159" s="3"/>
      <c r="AM159" s="3"/>
      <c r="AN159" s="3"/>
    </row>
    <row r="160" spans="1:40" s="4" customFormat="1" x14ac:dyDescent="0.3">
      <c r="A160" s="16"/>
      <c r="B160" s="2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22"/>
      <c r="P160" s="3"/>
      <c r="Q160" s="3"/>
      <c r="R160" s="3"/>
      <c r="S160" s="3"/>
      <c r="T160" s="3"/>
      <c r="U160" s="3"/>
      <c r="V160" s="22"/>
      <c r="W160" s="3"/>
      <c r="X160" s="3"/>
      <c r="Y160" s="3"/>
      <c r="Z160" s="22"/>
      <c r="AA160" s="3"/>
      <c r="AB160" s="3"/>
      <c r="AC160" s="3"/>
      <c r="AD160" s="3"/>
      <c r="AE160" s="3"/>
      <c r="AF160" s="3"/>
      <c r="AG160" s="3"/>
      <c r="AH160" s="3"/>
      <c r="AI160" s="3"/>
      <c r="AJ160" s="22"/>
      <c r="AK160" s="3"/>
      <c r="AL160" s="3"/>
      <c r="AM160" s="3"/>
      <c r="AN160" s="3"/>
    </row>
    <row r="161" spans="1:40" s="4" customFormat="1" x14ac:dyDescent="0.3">
      <c r="A161" s="16"/>
      <c r="B161" s="2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22"/>
      <c r="P161" s="3"/>
      <c r="Q161" s="3"/>
      <c r="R161" s="3"/>
      <c r="S161" s="3"/>
      <c r="T161" s="3"/>
      <c r="U161" s="3"/>
      <c r="V161" s="22"/>
      <c r="W161" s="3"/>
      <c r="X161" s="3"/>
      <c r="Y161" s="3"/>
      <c r="Z161" s="22"/>
      <c r="AA161" s="3"/>
      <c r="AB161" s="3"/>
      <c r="AC161" s="3"/>
      <c r="AD161" s="3"/>
      <c r="AE161" s="3"/>
      <c r="AF161" s="3"/>
      <c r="AG161" s="3"/>
      <c r="AH161" s="3"/>
      <c r="AI161" s="3"/>
      <c r="AJ161" s="22"/>
      <c r="AK161" s="3"/>
      <c r="AL161" s="3"/>
      <c r="AM161" s="3"/>
      <c r="AN161" s="3"/>
    </row>
    <row r="162" spans="1:40" s="4" customFormat="1" x14ac:dyDescent="0.3">
      <c r="A162" s="16"/>
      <c r="B162" s="2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22"/>
      <c r="P162" s="3"/>
      <c r="Q162" s="3"/>
      <c r="R162" s="3"/>
      <c r="S162" s="3"/>
      <c r="T162" s="3"/>
      <c r="U162" s="3"/>
      <c r="V162" s="22"/>
      <c r="W162" s="3"/>
      <c r="X162" s="3"/>
      <c r="Y162" s="3"/>
      <c r="Z162" s="22"/>
      <c r="AA162" s="3"/>
      <c r="AB162" s="3"/>
      <c r="AC162" s="3"/>
      <c r="AD162" s="3"/>
      <c r="AE162" s="3"/>
      <c r="AF162" s="3"/>
      <c r="AG162" s="3"/>
      <c r="AH162" s="3"/>
      <c r="AI162" s="3"/>
      <c r="AJ162" s="22"/>
      <c r="AK162" s="3"/>
      <c r="AL162" s="3"/>
      <c r="AM162" s="3"/>
      <c r="AN162" s="3"/>
    </row>
    <row r="163" spans="1:40" s="4" customFormat="1" x14ac:dyDescent="0.3">
      <c r="A163" s="16"/>
      <c r="B163" s="2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22"/>
      <c r="P163" s="3"/>
      <c r="Q163" s="3"/>
      <c r="R163" s="3"/>
      <c r="S163" s="3"/>
      <c r="T163" s="3"/>
      <c r="U163" s="3"/>
      <c r="V163" s="22"/>
      <c r="W163" s="3"/>
      <c r="X163" s="3"/>
      <c r="Y163" s="3"/>
      <c r="Z163" s="22"/>
      <c r="AA163" s="3"/>
      <c r="AB163" s="3"/>
      <c r="AC163" s="3"/>
      <c r="AD163" s="3"/>
      <c r="AE163" s="3"/>
      <c r="AF163" s="3"/>
      <c r="AG163" s="3"/>
      <c r="AH163" s="3"/>
      <c r="AI163" s="3"/>
      <c r="AJ163" s="22"/>
      <c r="AK163" s="3"/>
      <c r="AL163" s="3"/>
      <c r="AM163" s="3"/>
      <c r="AN163" s="3"/>
    </row>
    <row r="164" spans="1:40" s="4" customFormat="1" x14ac:dyDescent="0.3">
      <c r="A164" s="16"/>
      <c r="B164" s="2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22"/>
      <c r="P164" s="3"/>
      <c r="Q164" s="3"/>
      <c r="R164" s="3"/>
      <c r="S164" s="3"/>
      <c r="T164" s="3"/>
      <c r="U164" s="3"/>
      <c r="V164" s="22"/>
      <c r="W164" s="3"/>
      <c r="X164" s="3"/>
      <c r="Y164" s="3"/>
      <c r="Z164" s="22"/>
      <c r="AA164" s="3"/>
      <c r="AB164" s="3"/>
      <c r="AC164" s="3"/>
      <c r="AD164" s="3"/>
      <c r="AE164" s="3"/>
      <c r="AF164" s="3"/>
      <c r="AG164" s="3"/>
      <c r="AH164" s="3"/>
      <c r="AI164" s="3"/>
      <c r="AJ164" s="22"/>
      <c r="AK164" s="3"/>
      <c r="AL164" s="3"/>
      <c r="AM164" s="3"/>
      <c r="AN164" s="3"/>
    </row>
    <row r="165" spans="1:40" s="4" customFormat="1" x14ac:dyDescent="0.3">
      <c r="A165" s="16"/>
      <c r="B165" s="2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22"/>
      <c r="P165" s="3"/>
      <c r="Q165" s="3"/>
      <c r="R165" s="3"/>
      <c r="S165" s="3"/>
      <c r="T165" s="3"/>
      <c r="U165" s="3"/>
      <c r="V165" s="22"/>
      <c r="W165" s="3"/>
      <c r="X165" s="3"/>
      <c r="Y165" s="3"/>
      <c r="Z165" s="22"/>
      <c r="AA165" s="3"/>
      <c r="AB165" s="3"/>
      <c r="AC165" s="3"/>
      <c r="AD165" s="3"/>
      <c r="AE165" s="3"/>
      <c r="AF165" s="3"/>
      <c r="AG165" s="3"/>
      <c r="AH165" s="3"/>
      <c r="AI165" s="3"/>
      <c r="AJ165" s="22"/>
      <c r="AK165" s="3"/>
      <c r="AL165" s="3"/>
      <c r="AM165" s="3"/>
      <c r="AN165" s="3"/>
    </row>
    <row r="166" spans="1:40" s="4" customFormat="1" x14ac:dyDescent="0.3">
      <c r="A166" s="16"/>
      <c r="B166" s="2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22"/>
      <c r="P166" s="3"/>
      <c r="Q166" s="3"/>
      <c r="R166" s="3"/>
      <c r="S166" s="3"/>
      <c r="T166" s="3"/>
      <c r="U166" s="3"/>
      <c r="V166" s="22"/>
      <c r="W166" s="3"/>
      <c r="X166" s="3"/>
      <c r="Y166" s="3"/>
      <c r="Z166" s="22"/>
      <c r="AA166" s="3"/>
      <c r="AB166" s="3"/>
      <c r="AC166" s="3"/>
      <c r="AD166" s="3"/>
      <c r="AE166" s="3"/>
      <c r="AF166" s="3"/>
      <c r="AG166" s="3"/>
      <c r="AH166" s="3"/>
      <c r="AI166" s="3"/>
      <c r="AJ166" s="22"/>
      <c r="AK166" s="3"/>
      <c r="AL166" s="3"/>
      <c r="AM166" s="3"/>
      <c r="AN166" s="3"/>
    </row>
    <row r="167" spans="1:40" s="4" customFormat="1" x14ac:dyDescent="0.3">
      <c r="A167" s="16"/>
      <c r="B167" s="2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22"/>
      <c r="P167" s="3"/>
      <c r="Q167" s="3"/>
      <c r="R167" s="3"/>
      <c r="S167" s="3"/>
      <c r="T167" s="3"/>
      <c r="U167" s="3"/>
      <c r="V167" s="22"/>
      <c r="W167" s="3"/>
      <c r="X167" s="3"/>
      <c r="Y167" s="3"/>
      <c r="Z167" s="22"/>
      <c r="AA167" s="3"/>
      <c r="AB167" s="3"/>
      <c r="AC167" s="3"/>
      <c r="AD167" s="3"/>
      <c r="AE167" s="3"/>
      <c r="AF167" s="3"/>
      <c r="AG167" s="3"/>
      <c r="AH167" s="3"/>
      <c r="AI167" s="3"/>
      <c r="AJ167" s="22"/>
      <c r="AK167" s="3"/>
      <c r="AL167" s="3"/>
      <c r="AM167" s="3"/>
      <c r="AN167" s="3"/>
    </row>
    <row r="168" spans="1:40" s="4" customFormat="1" x14ac:dyDescent="0.3">
      <c r="A168" s="16"/>
      <c r="B168" s="2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22"/>
      <c r="P168" s="3"/>
      <c r="Q168" s="3"/>
      <c r="R168" s="3"/>
      <c r="S168" s="3"/>
      <c r="T168" s="3"/>
      <c r="U168" s="3"/>
      <c r="V168" s="22"/>
      <c r="W168" s="3"/>
      <c r="X168" s="3"/>
      <c r="Y168" s="3"/>
      <c r="Z168" s="22"/>
      <c r="AA168" s="3"/>
      <c r="AB168" s="3"/>
      <c r="AC168" s="3"/>
      <c r="AD168" s="3"/>
      <c r="AE168" s="3"/>
      <c r="AF168" s="3"/>
      <c r="AG168" s="3"/>
      <c r="AH168" s="3"/>
      <c r="AI168" s="3"/>
      <c r="AJ168" s="22"/>
      <c r="AK168" s="3"/>
      <c r="AL168" s="3"/>
      <c r="AM168" s="3"/>
      <c r="AN168" s="3"/>
    </row>
    <row r="169" spans="1:40" s="4" customFormat="1" x14ac:dyDescent="0.3">
      <c r="A169" s="16"/>
      <c r="B169" s="2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22"/>
      <c r="P169" s="3"/>
      <c r="Q169" s="3"/>
      <c r="R169" s="3"/>
      <c r="S169" s="3"/>
      <c r="T169" s="3"/>
      <c r="U169" s="3"/>
      <c r="V169" s="22"/>
      <c r="W169" s="3"/>
      <c r="X169" s="3"/>
      <c r="Y169" s="3"/>
      <c r="Z169" s="22"/>
      <c r="AA169" s="3"/>
      <c r="AB169" s="3"/>
      <c r="AC169" s="3"/>
      <c r="AD169" s="3"/>
      <c r="AE169" s="3"/>
      <c r="AF169" s="3"/>
      <c r="AG169" s="3"/>
      <c r="AH169" s="3"/>
      <c r="AI169" s="3"/>
      <c r="AJ169" s="22"/>
      <c r="AK169" s="3"/>
      <c r="AL169" s="3"/>
      <c r="AM169" s="3"/>
      <c r="AN169" s="3"/>
    </row>
    <row r="170" spans="1:40" s="4" customFormat="1" x14ac:dyDescent="0.3">
      <c r="A170" s="16"/>
      <c r="B170" s="2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22"/>
      <c r="P170" s="3"/>
      <c r="Q170" s="3"/>
      <c r="R170" s="3"/>
      <c r="S170" s="3"/>
      <c r="T170" s="3"/>
      <c r="U170" s="3"/>
      <c r="V170" s="22"/>
      <c r="W170" s="3"/>
      <c r="X170" s="3"/>
      <c r="Y170" s="3"/>
      <c r="Z170" s="22"/>
      <c r="AA170" s="3"/>
      <c r="AB170" s="3"/>
      <c r="AC170" s="3"/>
      <c r="AD170" s="3"/>
      <c r="AE170" s="3"/>
      <c r="AF170" s="3"/>
      <c r="AG170" s="3"/>
      <c r="AH170" s="3"/>
      <c r="AI170" s="3"/>
      <c r="AJ170" s="22"/>
      <c r="AK170" s="3"/>
      <c r="AL170" s="3"/>
      <c r="AM170" s="3"/>
      <c r="AN170" s="3"/>
    </row>
    <row r="171" spans="1:40" s="4" customFormat="1" x14ac:dyDescent="0.3">
      <c r="A171" s="16"/>
      <c r="B171" s="2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22"/>
      <c r="P171" s="3"/>
      <c r="Q171" s="3"/>
      <c r="R171" s="3"/>
      <c r="S171" s="3"/>
      <c r="T171" s="3"/>
      <c r="U171" s="3"/>
      <c r="V171" s="22"/>
      <c r="W171" s="3"/>
      <c r="X171" s="3"/>
      <c r="Y171" s="3"/>
      <c r="Z171" s="22"/>
      <c r="AA171" s="3"/>
      <c r="AB171" s="3"/>
      <c r="AC171" s="3"/>
      <c r="AD171" s="3"/>
      <c r="AE171" s="3"/>
      <c r="AF171" s="3"/>
      <c r="AG171" s="3"/>
      <c r="AH171" s="3"/>
      <c r="AI171" s="3"/>
      <c r="AJ171" s="22"/>
      <c r="AK171" s="3"/>
      <c r="AL171" s="3"/>
      <c r="AM171" s="3"/>
      <c r="AN171" s="3"/>
    </row>
    <row r="172" spans="1:40" s="4" customFormat="1" x14ac:dyDescent="0.3">
      <c r="A172" s="16"/>
      <c r="B172" s="2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22"/>
      <c r="P172" s="3"/>
      <c r="Q172" s="3"/>
      <c r="R172" s="3"/>
      <c r="S172" s="3"/>
      <c r="T172" s="3"/>
      <c r="U172" s="3"/>
      <c r="V172" s="22"/>
      <c r="W172" s="3"/>
      <c r="X172" s="3"/>
      <c r="Y172" s="3"/>
      <c r="Z172" s="22"/>
      <c r="AA172" s="3"/>
      <c r="AB172" s="3"/>
      <c r="AC172" s="3"/>
      <c r="AD172" s="3"/>
      <c r="AE172" s="3"/>
      <c r="AF172" s="3"/>
      <c r="AG172" s="3"/>
      <c r="AH172" s="3"/>
      <c r="AI172" s="3"/>
      <c r="AJ172" s="22"/>
      <c r="AK172" s="3"/>
      <c r="AL172" s="3"/>
      <c r="AM172" s="3"/>
      <c r="AN172" s="3"/>
    </row>
    <row r="173" spans="1:40" s="4" customFormat="1" x14ac:dyDescent="0.3">
      <c r="A173" s="16"/>
      <c r="B173" s="2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22"/>
      <c r="P173" s="3"/>
      <c r="Q173" s="3"/>
      <c r="R173" s="3"/>
      <c r="S173" s="3"/>
      <c r="T173" s="3"/>
      <c r="U173" s="3"/>
      <c r="V173" s="22"/>
      <c r="W173" s="3"/>
      <c r="X173" s="3"/>
      <c r="Y173" s="3"/>
      <c r="Z173" s="22"/>
      <c r="AA173" s="3"/>
      <c r="AB173" s="3"/>
      <c r="AC173" s="3"/>
      <c r="AD173" s="3"/>
      <c r="AE173" s="3"/>
      <c r="AF173" s="3"/>
      <c r="AG173" s="3"/>
      <c r="AH173" s="3"/>
      <c r="AI173" s="3"/>
      <c r="AJ173" s="22"/>
      <c r="AK173" s="3"/>
      <c r="AL173" s="3"/>
      <c r="AM173" s="3"/>
      <c r="AN173" s="3"/>
    </row>
    <row r="174" spans="1:40" s="4" customFormat="1" x14ac:dyDescent="0.3">
      <c r="A174" s="16"/>
      <c r="B174" s="2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2"/>
      <c r="P174" s="3"/>
      <c r="Q174" s="3"/>
      <c r="R174" s="3"/>
      <c r="S174" s="3"/>
      <c r="T174" s="3"/>
      <c r="U174" s="3"/>
      <c r="V174" s="22"/>
      <c r="W174" s="3"/>
      <c r="X174" s="3"/>
      <c r="Y174" s="3"/>
      <c r="Z174" s="22"/>
      <c r="AA174" s="3"/>
      <c r="AB174" s="3"/>
      <c r="AC174" s="3"/>
      <c r="AD174" s="3"/>
      <c r="AE174" s="3"/>
      <c r="AF174" s="3"/>
      <c r="AG174" s="3"/>
      <c r="AH174" s="3"/>
      <c r="AI174" s="3"/>
      <c r="AJ174" s="22"/>
      <c r="AK174" s="3"/>
      <c r="AL174" s="3"/>
      <c r="AM174" s="3"/>
      <c r="AN174" s="3"/>
    </row>
    <row r="175" spans="1:40" s="4" customFormat="1" x14ac:dyDescent="0.3">
      <c r="A175" s="16"/>
      <c r="B175" s="2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2"/>
      <c r="P175" s="3"/>
      <c r="Q175" s="3"/>
      <c r="R175" s="3"/>
      <c r="S175" s="3"/>
      <c r="T175" s="3"/>
      <c r="U175" s="3"/>
      <c r="V175" s="22"/>
      <c r="W175" s="3"/>
      <c r="X175" s="3"/>
      <c r="Y175" s="3"/>
      <c r="Z175" s="22"/>
      <c r="AA175" s="3"/>
      <c r="AB175" s="3"/>
      <c r="AC175" s="3"/>
      <c r="AD175" s="3"/>
      <c r="AE175" s="3"/>
      <c r="AF175" s="3"/>
      <c r="AG175" s="3"/>
      <c r="AH175" s="3"/>
      <c r="AI175" s="3"/>
      <c r="AJ175" s="22"/>
      <c r="AK175" s="3"/>
      <c r="AL175" s="3"/>
      <c r="AM175" s="3"/>
      <c r="AN175" s="3"/>
    </row>
    <row r="176" spans="1:40" s="4" customFormat="1" x14ac:dyDescent="0.3">
      <c r="A176" s="16"/>
      <c r="B176" s="2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2"/>
      <c r="P176" s="3"/>
      <c r="Q176" s="3"/>
      <c r="R176" s="3"/>
      <c r="S176" s="3"/>
      <c r="T176" s="3"/>
      <c r="U176" s="3"/>
      <c r="V176" s="22"/>
      <c r="W176" s="3"/>
      <c r="X176" s="3"/>
      <c r="Y176" s="3"/>
      <c r="Z176" s="22"/>
      <c r="AA176" s="3"/>
      <c r="AB176" s="3"/>
      <c r="AC176" s="3"/>
      <c r="AD176" s="3"/>
      <c r="AE176" s="3"/>
      <c r="AF176" s="3"/>
      <c r="AG176" s="3"/>
      <c r="AH176" s="3"/>
      <c r="AI176" s="3"/>
      <c r="AJ176" s="22"/>
      <c r="AK176" s="3"/>
      <c r="AL176" s="3"/>
      <c r="AM176" s="3"/>
      <c r="AN176" s="3"/>
    </row>
    <row r="177" spans="1:40" s="4" customFormat="1" x14ac:dyDescent="0.3">
      <c r="A177" s="16"/>
      <c r="B177" s="2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2"/>
      <c r="P177" s="3"/>
      <c r="Q177" s="3"/>
      <c r="R177" s="3"/>
      <c r="S177" s="3"/>
      <c r="T177" s="3"/>
      <c r="U177" s="3"/>
      <c r="V177" s="22"/>
      <c r="W177" s="3"/>
      <c r="X177" s="3"/>
      <c r="Y177" s="3"/>
      <c r="Z177" s="22"/>
      <c r="AA177" s="3"/>
      <c r="AB177" s="3"/>
      <c r="AC177" s="3"/>
      <c r="AD177" s="3"/>
      <c r="AE177" s="3"/>
      <c r="AF177" s="3"/>
      <c r="AG177" s="3"/>
      <c r="AH177" s="3"/>
      <c r="AI177" s="3"/>
      <c r="AJ177" s="22"/>
      <c r="AK177" s="3"/>
      <c r="AL177" s="3"/>
      <c r="AM177" s="3"/>
      <c r="AN177" s="3"/>
    </row>
    <row r="178" spans="1:40" s="4" customFormat="1" x14ac:dyDescent="0.3">
      <c r="A178" s="16"/>
      <c r="B178" s="2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2"/>
      <c r="P178" s="3"/>
      <c r="Q178" s="3"/>
      <c r="R178" s="3"/>
      <c r="S178" s="3"/>
      <c r="T178" s="3"/>
      <c r="U178" s="3"/>
      <c r="V178" s="22"/>
      <c r="W178" s="3"/>
      <c r="X178" s="3"/>
      <c r="Y178" s="3"/>
      <c r="Z178" s="22"/>
      <c r="AA178" s="3"/>
      <c r="AB178" s="3"/>
      <c r="AC178" s="3"/>
      <c r="AD178" s="3"/>
      <c r="AE178" s="3"/>
      <c r="AF178" s="3"/>
      <c r="AG178" s="3"/>
      <c r="AH178" s="3"/>
      <c r="AI178" s="3"/>
      <c r="AJ178" s="22"/>
      <c r="AK178" s="3"/>
      <c r="AL178" s="3"/>
      <c r="AM178" s="3"/>
      <c r="AN178" s="3"/>
    </row>
    <row r="179" spans="1:40" s="4" customFormat="1" x14ac:dyDescent="0.3">
      <c r="A179" s="16"/>
      <c r="B179" s="2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22"/>
      <c r="P179" s="3"/>
      <c r="Q179" s="3"/>
      <c r="R179" s="3"/>
      <c r="S179" s="3"/>
      <c r="T179" s="3"/>
      <c r="U179" s="3"/>
      <c r="V179" s="22"/>
      <c r="W179" s="3"/>
      <c r="X179" s="3"/>
      <c r="Y179" s="3"/>
      <c r="Z179" s="22"/>
      <c r="AA179" s="3"/>
      <c r="AB179" s="3"/>
      <c r="AC179" s="3"/>
      <c r="AD179" s="3"/>
      <c r="AE179" s="3"/>
      <c r="AF179" s="3"/>
      <c r="AG179" s="3"/>
      <c r="AH179" s="3"/>
      <c r="AI179" s="3"/>
      <c r="AJ179" s="22"/>
      <c r="AK179" s="3"/>
      <c r="AL179" s="3"/>
      <c r="AM179" s="3"/>
      <c r="AN179" s="3"/>
    </row>
    <row r="180" spans="1:40" s="4" customFormat="1" x14ac:dyDescent="0.3">
      <c r="A180" s="16"/>
      <c r="B180" s="2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22"/>
      <c r="P180" s="3"/>
      <c r="Q180" s="3"/>
      <c r="R180" s="3"/>
      <c r="S180" s="3"/>
      <c r="T180" s="3"/>
      <c r="U180" s="3"/>
      <c r="V180" s="22"/>
      <c r="W180" s="3"/>
      <c r="X180" s="3"/>
      <c r="Y180" s="3"/>
      <c r="Z180" s="22"/>
      <c r="AA180" s="3"/>
      <c r="AB180" s="3"/>
      <c r="AC180" s="3"/>
      <c r="AD180" s="3"/>
      <c r="AE180" s="3"/>
      <c r="AF180" s="3"/>
      <c r="AG180" s="3"/>
      <c r="AH180" s="3"/>
      <c r="AI180" s="3"/>
      <c r="AJ180" s="22"/>
      <c r="AK180" s="3"/>
      <c r="AL180" s="3"/>
      <c r="AM180" s="3"/>
      <c r="AN180" s="3"/>
    </row>
    <row r="181" spans="1:40" s="4" customFormat="1" x14ac:dyDescent="0.3">
      <c r="A181" s="16"/>
      <c r="B181" s="2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22"/>
      <c r="P181" s="3"/>
      <c r="Q181" s="3"/>
      <c r="R181" s="3"/>
      <c r="S181" s="3"/>
      <c r="T181" s="3"/>
      <c r="U181" s="3"/>
      <c r="V181" s="22"/>
      <c r="W181" s="3"/>
      <c r="X181" s="3"/>
      <c r="Y181" s="3"/>
      <c r="Z181" s="22"/>
      <c r="AA181" s="3"/>
      <c r="AB181" s="3"/>
      <c r="AC181" s="3"/>
      <c r="AD181" s="3"/>
      <c r="AE181" s="3"/>
      <c r="AF181" s="3"/>
      <c r="AG181" s="3"/>
      <c r="AH181" s="3"/>
      <c r="AI181" s="3"/>
      <c r="AJ181" s="22"/>
      <c r="AK181" s="3"/>
      <c r="AL181" s="3"/>
      <c r="AM181" s="3"/>
      <c r="AN181" s="3"/>
    </row>
    <row r="182" spans="1:40" s="4" customFormat="1" x14ac:dyDescent="0.3">
      <c r="A182" s="16"/>
      <c r="B182" s="2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22"/>
      <c r="P182" s="3"/>
      <c r="Q182" s="3"/>
      <c r="R182" s="3"/>
      <c r="S182" s="3"/>
      <c r="T182" s="3"/>
      <c r="U182" s="3"/>
      <c r="V182" s="22"/>
      <c r="W182" s="3"/>
      <c r="X182" s="3"/>
      <c r="Y182" s="3"/>
      <c r="Z182" s="22"/>
      <c r="AA182" s="3"/>
      <c r="AB182" s="3"/>
      <c r="AC182" s="3"/>
      <c r="AD182" s="3"/>
      <c r="AE182" s="3"/>
      <c r="AF182" s="3"/>
      <c r="AG182" s="3"/>
      <c r="AH182" s="3"/>
      <c r="AI182" s="3"/>
      <c r="AJ182" s="22"/>
      <c r="AK182" s="3"/>
      <c r="AL182" s="3"/>
      <c r="AM182" s="3"/>
      <c r="AN182" s="3"/>
    </row>
    <row r="183" spans="1:40" s="4" customFormat="1" x14ac:dyDescent="0.3">
      <c r="A183" s="16"/>
      <c r="B183" s="2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22"/>
      <c r="P183" s="3"/>
      <c r="Q183" s="3"/>
      <c r="R183" s="3"/>
      <c r="S183" s="3"/>
      <c r="T183" s="3"/>
      <c r="U183" s="3"/>
      <c r="V183" s="22"/>
      <c r="W183" s="3"/>
      <c r="X183" s="3"/>
      <c r="Y183" s="3"/>
      <c r="Z183" s="22"/>
      <c r="AA183" s="3"/>
      <c r="AB183" s="3"/>
      <c r="AC183" s="3"/>
      <c r="AD183" s="3"/>
      <c r="AE183" s="3"/>
      <c r="AF183" s="3"/>
      <c r="AG183" s="3"/>
      <c r="AH183" s="3"/>
      <c r="AI183" s="3"/>
      <c r="AJ183" s="22"/>
      <c r="AK183" s="3"/>
      <c r="AL183" s="3"/>
      <c r="AM183" s="3"/>
      <c r="AN183" s="3"/>
    </row>
    <row r="184" spans="1:40" s="4" customFormat="1" x14ac:dyDescent="0.3">
      <c r="A184" s="16"/>
      <c r="B184" s="2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2"/>
      <c r="P184" s="1"/>
      <c r="Q184" s="1"/>
      <c r="R184" s="1"/>
      <c r="S184" s="1"/>
      <c r="T184" s="1"/>
      <c r="U184" s="1"/>
      <c r="V184" s="22"/>
      <c r="W184" s="1"/>
      <c r="X184" s="1"/>
      <c r="Y184" s="1"/>
      <c r="Z184" s="22"/>
      <c r="AA184" s="1"/>
      <c r="AB184" s="1"/>
      <c r="AC184" s="1"/>
      <c r="AD184" s="1"/>
      <c r="AE184" s="1"/>
      <c r="AF184" s="1"/>
      <c r="AG184" s="1"/>
      <c r="AH184" s="1"/>
      <c r="AI184" s="1"/>
      <c r="AJ184" s="22"/>
      <c r="AK184" s="1"/>
      <c r="AL184" s="1"/>
      <c r="AM184" s="1"/>
      <c r="AN184" s="3"/>
    </row>
    <row r="185" spans="1:40" s="4" customFormat="1" x14ac:dyDescent="0.3">
      <c r="A185" s="16"/>
      <c r="B185" s="2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2"/>
      <c r="P185" s="1"/>
      <c r="Q185" s="1"/>
      <c r="R185" s="1"/>
      <c r="S185" s="1"/>
      <c r="T185" s="1"/>
      <c r="U185" s="1"/>
      <c r="V185" s="22"/>
      <c r="W185" s="1"/>
      <c r="X185" s="1"/>
      <c r="Y185" s="1"/>
      <c r="Z185" s="22"/>
      <c r="AA185" s="1"/>
      <c r="AB185" s="1"/>
      <c r="AC185" s="1"/>
      <c r="AD185" s="1"/>
      <c r="AE185" s="1"/>
      <c r="AF185" s="1"/>
      <c r="AG185" s="1"/>
      <c r="AH185" s="1"/>
      <c r="AI185" s="1"/>
      <c r="AJ185" s="22"/>
      <c r="AK185" s="1"/>
      <c r="AL185" s="1"/>
      <c r="AM185" s="1"/>
      <c r="AN185" s="3"/>
    </row>
    <row r="186" spans="1:40" s="4" customFormat="1" x14ac:dyDescent="0.3">
      <c r="A186" s="16"/>
      <c r="B186" s="2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2"/>
      <c r="P186" s="1"/>
      <c r="Q186" s="1"/>
      <c r="R186" s="1"/>
      <c r="S186" s="1"/>
      <c r="T186" s="1"/>
      <c r="U186" s="1"/>
      <c r="V186" s="22"/>
      <c r="W186" s="1"/>
      <c r="X186" s="1"/>
      <c r="Y186" s="1"/>
      <c r="Z186" s="22"/>
      <c r="AA186" s="1"/>
      <c r="AB186" s="1"/>
      <c r="AC186" s="1"/>
      <c r="AD186" s="1"/>
      <c r="AE186" s="1"/>
      <c r="AF186" s="1"/>
      <c r="AG186" s="1"/>
      <c r="AH186" s="1"/>
      <c r="AI186" s="1"/>
      <c r="AJ186" s="22"/>
      <c r="AK186" s="1"/>
      <c r="AL186" s="1"/>
      <c r="AM186" s="1"/>
      <c r="AN186" s="3"/>
    </row>
    <row r="187" spans="1:40" s="4" customFormat="1" x14ac:dyDescent="0.3">
      <c r="A187" s="16"/>
      <c r="B187" s="2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2"/>
      <c r="P187" s="1"/>
      <c r="Q187" s="1"/>
      <c r="R187" s="1"/>
      <c r="S187" s="1"/>
      <c r="T187" s="1"/>
      <c r="U187" s="1"/>
      <c r="V187" s="22"/>
      <c r="W187" s="1"/>
      <c r="X187" s="1"/>
      <c r="Y187" s="1"/>
      <c r="Z187" s="22"/>
      <c r="AA187" s="1"/>
      <c r="AB187" s="1"/>
      <c r="AC187" s="1"/>
      <c r="AD187" s="1"/>
      <c r="AE187" s="1"/>
      <c r="AF187" s="1"/>
      <c r="AG187" s="1"/>
      <c r="AH187" s="1"/>
      <c r="AI187" s="1"/>
      <c r="AJ187" s="22"/>
      <c r="AK187" s="1"/>
      <c r="AL187" s="1"/>
      <c r="AM187" s="1"/>
      <c r="AN187" s="3"/>
    </row>
    <row r="188" spans="1:40" s="4" customFormat="1" x14ac:dyDescent="0.3">
      <c r="A188" s="16"/>
      <c r="B188" s="2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2"/>
      <c r="P188" s="1"/>
      <c r="Q188" s="1"/>
      <c r="R188" s="1"/>
      <c r="S188" s="1"/>
      <c r="T188" s="1"/>
      <c r="U188" s="1"/>
      <c r="V188" s="22"/>
      <c r="W188" s="1"/>
      <c r="X188" s="1"/>
      <c r="Y188" s="1"/>
      <c r="Z188" s="22"/>
      <c r="AA188" s="1"/>
      <c r="AB188" s="1"/>
      <c r="AC188" s="1"/>
      <c r="AD188" s="1"/>
      <c r="AE188" s="1"/>
      <c r="AF188" s="1"/>
      <c r="AG188" s="1"/>
      <c r="AH188" s="1"/>
      <c r="AI188" s="1"/>
      <c r="AJ188" s="22"/>
      <c r="AK188" s="1"/>
      <c r="AL188" s="1"/>
      <c r="AM188" s="1"/>
      <c r="AN188" s="3"/>
    </row>
    <row r="189" spans="1:40" s="4" customFormat="1" x14ac:dyDescent="0.3">
      <c r="A189" s="16"/>
      <c r="B189" s="2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2"/>
      <c r="P189" s="1"/>
      <c r="Q189" s="1"/>
      <c r="R189" s="1"/>
      <c r="S189" s="1"/>
      <c r="T189" s="1"/>
      <c r="U189" s="1"/>
      <c r="V189" s="22"/>
      <c r="W189" s="1"/>
      <c r="X189" s="1"/>
      <c r="Y189" s="1"/>
      <c r="Z189" s="22"/>
      <c r="AA189" s="1"/>
      <c r="AB189" s="1"/>
      <c r="AC189" s="1"/>
      <c r="AD189" s="1"/>
      <c r="AE189" s="1"/>
      <c r="AF189" s="1"/>
      <c r="AG189" s="1"/>
      <c r="AH189" s="1"/>
      <c r="AI189" s="1"/>
      <c r="AJ189" s="22"/>
      <c r="AK189" s="1"/>
      <c r="AL189" s="1"/>
      <c r="AM189" s="1"/>
      <c r="AN189" s="3"/>
    </row>
    <row r="190" spans="1:40" s="4" customFormat="1" x14ac:dyDescent="0.3">
      <c r="A190" s="16"/>
      <c r="B190" s="2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2"/>
      <c r="P190" s="1"/>
      <c r="Q190" s="1"/>
      <c r="R190" s="1"/>
      <c r="S190" s="1"/>
      <c r="T190" s="1"/>
      <c r="U190" s="1"/>
      <c r="V190" s="22"/>
      <c r="W190" s="1"/>
      <c r="X190" s="1"/>
      <c r="Y190" s="1"/>
      <c r="Z190" s="22"/>
      <c r="AA190" s="1"/>
      <c r="AB190" s="1"/>
      <c r="AC190" s="1"/>
      <c r="AD190" s="1"/>
      <c r="AE190" s="1"/>
      <c r="AF190" s="1"/>
      <c r="AG190" s="1"/>
      <c r="AH190" s="1"/>
      <c r="AI190" s="1"/>
      <c r="AJ190" s="22"/>
      <c r="AK190" s="1"/>
      <c r="AL190" s="1"/>
      <c r="AM190" s="1"/>
      <c r="AN190" s="3"/>
    </row>
    <row r="191" spans="1:40" s="4" customFormat="1" x14ac:dyDescent="0.3">
      <c r="A191" s="16"/>
      <c r="B191" s="2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2"/>
      <c r="P191" s="1"/>
      <c r="Q191" s="1"/>
      <c r="R191" s="1"/>
      <c r="S191" s="1"/>
      <c r="T191" s="1"/>
      <c r="U191" s="1"/>
      <c r="V191" s="22"/>
      <c r="W191" s="1"/>
      <c r="X191" s="1"/>
      <c r="Y191" s="1"/>
      <c r="Z191" s="22"/>
      <c r="AA191" s="1"/>
      <c r="AB191" s="1"/>
      <c r="AC191" s="1"/>
      <c r="AD191" s="1"/>
      <c r="AE191" s="1"/>
      <c r="AF191" s="1"/>
      <c r="AG191" s="1"/>
      <c r="AH191" s="1"/>
      <c r="AI191" s="1"/>
      <c r="AJ191" s="22"/>
      <c r="AK191" s="1"/>
      <c r="AL191" s="1"/>
      <c r="AM191" s="1"/>
      <c r="AN191" s="3"/>
    </row>
    <row r="192" spans="1:40" s="4" customFormat="1" x14ac:dyDescent="0.3">
      <c r="A192" s="16"/>
      <c r="B192" s="2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2"/>
      <c r="P192" s="1"/>
      <c r="Q192" s="1"/>
      <c r="R192" s="1"/>
      <c r="S192" s="1"/>
      <c r="T192" s="1"/>
      <c r="U192" s="1"/>
      <c r="V192" s="22"/>
      <c r="W192" s="1"/>
      <c r="X192" s="1"/>
      <c r="Y192" s="1"/>
      <c r="Z192" s="22"/>
      <c r="AA192" s="1"/>
      <c r="AB192" s="1"/>
      <c r="AC192" s="1"/>
      <c r="AD192" s="1"/>
      <c r="AE192" s="1"/>
      <c r="AF192" s="1"/>
      <c r="AG192" s="1"/>
      <c r="AH192" s="1"/>
      <c r="AI192" s="1"/>
      <c r="AJ192" s="22"/>
      <c r="AK192" s="1"/>
      <c r="AL192" s="1"/>
      <c r="AM192" s="1"/>
      <c r="AN192" s="3"/>
    </row>
    <row r="193" spans="1:40" s="4" customFormat="1" x14ac:dyDescent="0.3">
      <c r="A193" s="16"/>
      <c r="B193" s="2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2"/>
      <c r="P193" s="1"/>
      <c r="Q193" s="1"/>
      <c r="R193" s="1"/>
      <c r="S193" s="1"/>
      <c r="T193" s="1"/>
      <c r="U193" s="1"/>
      <c r="V193" s="22"/>
      <c r="W193" s="1"/>
      <c r="X193" s="1"/>
      <c r="Y193" s="1"/>
      <c r="Z193" s="22"/>
      <c r="AA193" s="1"/>
      <c r="AB193" s="1"/>
      <c r="AC193" s="1"/>
      <c r="AD193" s="1"/>
      <c r="AE193" s="1"/>
      <c r="AF193" s="1"/>
      <c r="AG193" s="1"/>
      <c r="AH193" s="1"/>
      <c r="AI193" s="1"/>
      <c r="AJ193" s="22"/>
      <c r="AK193" s="1"/>
      <c r="AL193" s="1"/>
      <c r="AM193" s="1"/>
      <c r="AN193" s="3"/>
    </row>
    <row r="194" spans="1:40" s="4" customFormat="1" x14ac:dyDescent="0.3">
      <c r="A194" s="16"/>
      <c r="B194" s="2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2"/>
      <c r="P194" s="1"/>
      <c r="Q194" s="1"/>
      <c r="R194" s="1"/>
      <c r="S194" s="1"/>
      <c r="T194" s="1"/>
      <c r="U194" s="1"/>
      <c r="V194" s="22"/>
      <c r="W194" s="1"/>
      <c r="X194" s="1"/>
      <c r="Y194" s="1"/>
      <c r="Z194" s="22"/>
      <c r="AA194" s="1"/>
      <c r="AB194" s="1"/>
      <c r="AC194" s="1"/>
      <c r="AD194" s="1"/>
      <c r="AE194" s="1"/>
      <c r="AF194" s="1"/>
      <c r="AG194" s="1"/>
      <c r="AH194" s="1"/>
      <c r="AI194" s="1"/>
      <c r="AJ194" s="22"/>
      <c r="AK194" s="1"/>
      <c r="AL194" s="1"/>
      <c r="AM194" s="1"/>
      <c r="AN194" s="3"/>
    </row>
    <row r="195" spans="1:40" s="4" customFormat="1" x14ac:dyDescent="0.3">
      <c r="A195" s="16"/>
      <c r="B195" s="2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2"/>
      <c r="P195" s="1"/>
      <c r="Q195" s="1"/>
      <c r="R195" s="1"/>
      <c r="S195" s="1"/>
      <c r="T195" s="1"/>
      <c r="U195" s="1"/>
      <c r="V195" s="22"/>
      <c r="W195" s="1"/>
      <c r="X195" s="1"/>
      <c r="Y195" s="1"/>
      <c r="Z195" s="22"/>
      <c r="AA195" s="1"/>
      <c r="AB195" s="1"/>
      <c r="AC195" s="1"/>
      <c r="AD195" s="1"/>
      <c r="AE195" s="1"/>
      <c r="AF195" s="1"/>
      <c r="AG195" s="1"/>
      <c r="AH195" s="1"/>
      <c r="AI195" s="1"/>
      <c r="AJ195" s="22"/>
      <c r="AK195" s="1"/>
      <c r="AL195" s="1"/>
      <c r="AM195" s="1"/>
      <c r="AN195" s="3"/>
    </row>
    <row r="196" spans="1:40" s="4" customFormat="1" x14ac:dyDescent="0.3">
      <c r="A196" s="16"/>
      <c r="B196" s="2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2"/>
      <c r="P196" s="1"/>
      <c r="Q196" s="1"/>
      <c r="R196" s="1"/>
      <c r="S196" s="1"/>
      <c r="T196" s="1"/>
      <c r="U196" s="1"/>
      <c r="V196" s="22"/>
      <c r="W196" s="1"/>
      <c r="X196" s="1"/>
      <c r="Y196" s="1"/>
      <c r="Z196" s="22"/>
      <c r="AA196" s="1"/>
      <c r="AB196" s="1"/>
      <c r="AC196" s="1"/>
      <c r="AD196" s="1"/>
      <c r="AE196" s="1"/>
      <c r="AF196" s="1"/>
      <c r="AG196" s="1"/>
      <c r="AH196" s="1"/>
      <c r="AI196" s="1"/>
      <c r="AJ196" s="22"/>
      <c r="AK196" s="1"/>
      <c r="AL196" s="1"/>
      <c r="AM196" s="1"/>
      <c r="AN196" s="3"/>
    </row>
    <row r="197" spans="1:40" s="4" customFormat="1" x14ac:dyDescent="0.3">
      <c r="A197" s="16"/>
      <c r="B197" s="2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2"/>
      <c r="P197" s="1"/>
      <c r="Q197" s="1"/>
      <c r="R197" s="1"/>
      <c r="S197" s="1"/>
      <c r="T197" s="1"/>
      <c r="U197" s="1"/>
      <c r="V197" s="22"/>
      <c r="W197" s="1"/>
      <c r="X197" s="1"/>
      <c r="Y197" s="1"/>
      <c r="Z197" s="22"/>
      <c r="AA197" s="1"/>
      <c r="AB197" s="1"/>
      <c r="AC197" s="1"/>
      <c r="AD197" s="1"/>
      <c r="AE197" s="1"/>
      <c r="AF197" s="1"/>
      <c r="AG197" s="1"/>
      <c r="AH197" s="1"/>
      <c r="AI197" s="1"/>
      <c r="AJ197" s="22"/>
      <c r="AK197" s="1"/>
      <c r="AL197" s="1"/>
      <c r="AM197" s="1"/>
      <c r="AN197" s="3"/>
    </row>
    <row r="198" spans="1:40" s="4" customFormat="1" x14ac:dyDescent="0.3">
      <c r="A198" s="16"/>
      <c r="B198" s="2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2"/>
      <c r="P198" s="1"/>
      <c r="Q198" s="1"/>
      <c r="R198" s="1"/>
      <c r="S198" s="1"/>
      <c r="T198" s="1"/>
      <c r="U198" s="1"/>
      <c r="V198" s="22"/>
      <c r="W198" s="1"/>
      <c r="X198" s="1"/>
      <c r="Y198" s="1"/>
      <c r="Z198" s="22"/>
      <c r="AA198" s="1"/>
      <c r="AB198" s="1"/>
      <c r="AC198" s="1"/>
      <c r="AD198" s="1"/>
      <c r="AE198" s="1"/>
      <c r="AF198" s="1"/>
      <c r="AG198" s="1"/>
      <c r="AH198" s="1"/>
      <c r="AI198" s="1"/>
      <c r="AJ198" s="22"/>
      <c r="AK198" s="1"/>
      <c r="AL198" s="1"/>
      <c r="AM198" s="1"/>
      <c r="AN198" s="3"/>
    </row>
    <row r="199" spans="1:40" s="4" customFormat="1" x14ac:dyDescent="0.3">
      <c r="A199" s="16"/>
      <c r="B199" s="2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2"/>
      <c r="P199" s="1"/>
      <c r="Q199" s="1"/>
      <c r="R199" s="1"/>
      <c r="S199" s="1"/>
      <c r="T199" s="1"/>
      <c r="U199" s="1"/>
      <c r="V199" s="22"/>
      <c r="W199" s="1"/>
      <c r="X199" s="1"/>
      <c r="Y199" s="1"/>
      <c r="Z199" s="22"/>
      <c r="AA199" s="1"/>
      <c r="AB199" s="1"/>
      <c r="AC199" s="1"/>
      <c r="AD199" s="1"/>
      <c r="AE199" s="1"/>
      <c r="AF199" s="1"/>
      <c r="AG199" s="1"/>
      <c r="AH199" s="1"/>
      <c r="AI199" s="1"/>
      <c r="AJ199" s="22"/>
      <c r="AK199" s="1"/>
      <c r="AL199" s="1"/>
      <c r="AM199" s="1"/>
      <c r="AN199" s="3"/>
    </row>
    <row r="200" spans="1:40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P200" s="1"/>
      <c r="Q200" s="1"/>
      <c r="R200" s="1"/>
      <c r="S200" s="1"/>
      <c r="T200" s="1"/>
      <c r="U200" s="1"/>
      <c r="W200" s="1"/>
      <c r="X200" s="1"/>
      <c r="Y200" s="1"/>
      <c r="AA200" s="1"/>
      <c r="AB200" s="1"/>
      <c r="AC200" s="1"/>
      <c r="AD200" s="1"/>
      <c r="AE200" s="1"/>
      <c r="AF200" s="1"/>
      <c r="AG200" s="1"/>
      <c r="AH200" s="1"/>
      <c r="AI200" s="1"/>
      <c r="AK200" s="1"/>
      <c r="AL200" s="1"/>
      <c r="AM200" s="1"/>
      <c r="AN200" s="1"/>
    </row>
    <row r="201" spans="1:40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P201" s="1"/>
      <c r="Q201" s="1"/>
      <c r="R201" s="1"/>
      <c r="S201" s="1"/>
      <c r="T201" s="1"/>
      <c r="U201" s="1"/>
      <c r="W201" s="1"/>
      <c r="X201" s="1"/>
      <c r="Y201" s="1"/>
      <c r="AA201" s="1"/>
      <c r="AB201" s="1"/>
      <c r="AC201" s="1"/>
      <c r="AD201" s="1"/>
      <c r="AE201" s="1"/>
      <c r="AF201" s="1"/>
      <c r="AG201" s="1"/>
      <c r="AH201" s="1"/>
      <c r="AI201" s="1"/>
      <c r="AK201" s="1"/>
      <c r="AL201" s="1"/>
      <c r="AM201" s="1"/>
      <c r="AN201" s="1"/>
    </row>
    <row r="202" spans="1:40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P202" s="1"/>
      <c r="Q202" s="1"/>
      <c r="R202" s="1"/>
      <c r="S202" s="1"/>
      <c r="T202" s="1"/>
      <c r="U202" s="1"/>
      <c r="W202" s="1"/>
      <c r="X202" s="1"/>
      <c r="Y202" s="1"/>
      <c r="AA202" s="1"/>
      <c r="AB202" s="1"/>
      <c r="AC202" s="1"/>
      <c r="AD202" s="1"/>
      <c r="AE202" s="1"/>
      <c r="AF202" s="1"/>
      <c r="AG202" s="1"/>
      <c r="AH202" s="1"/>
      <c r="AI202" s="1"/>
      <c r="AK202" s="1"/>
      <c r="AL202" s="1"/>
      <c r="AM202" s="1"/>
      <c r="AN202" s="1"/>
    </row>
    <row r="203" spans="1:40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P203" s="1"/>
      <c r="Q203" s="1"/>
      <c r="R203" s="1"/>
      <c r="S203" s="1"/>
      <c r="T203" s="1"/>
      <c r="U203" s="1"/>
      <c r="W203" s="1"/>
      <c r="X203" s="1"/>
      <c r="Y203" s="1"/>
      <c r="AA203" s="1"/>
      <c r="AB203" s="1"/>
      <c r="AC203" s="1"/>
      <c r="AD203" s="1"/>
      <c r="AE203" s="1"/>
      <c r="AF203" s="1"/>
      <c r="AG203" s="1"/>
      <c r="AH203" s="1"/>
      <c r="AI203" s="1"/>
      <c r="AK203" s="1"/>
      <c r="AL203" s="1"/>
      <c r="AM203" s="1"/>
      <c r="AN203" s="1"/>
    </row>
    <row r="204" spans="1:40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P204" s="1"/>
      <c r="Q204" s="1"/>
      <c r="R204" s="1"/>
      <c r="S204" s="1"/>
      <c r="T204" s="1"/>
      <c r="U204" s="1"/>
      <c r="W204" s="1"/>
      <c r="X204" s="1"/>
      <c r="Y204" s="1"/>
      <c r="AA204" s="1"/>
      <c r="AB204" s="1"/>
      <c r="AC204" s="1"/>
      <c r="AD204" s="1"/>
      <c r="AE204" s="1"/>
      <c r="AF204" s="1"/>
      <c r="AG204" s="1"/>
      <c r="AH204" s="1"/>
      <c r="AI204" s="1"/>
      <c r="AK204" s="1"/>
      <c r="AL204" s="1"/>
      <c r="AM204" s="1"/>
      <c r="AN204" s="1"/>
    </row>
    <row r="205" spans="1:40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P205" s="1"/>
      <c r="Q205" s="1"/>
      <c r="R205" s="1"/>
      <c r="S205" s="1"/>
      <c r="T205" s="1"/>
      <c r="U205" s="1"/>
      <c r="W205" s="1"/>
      <c r="X205" s="1"/>
      <c r="Y205" s="1"/>
      <c r="AA205" s="1"/>
      <c r="AB205" s="1"/>
      <c r="AC205" s="1"/>
      <c r="AD205" s="1"/>
      <c r="AE205" s="1"/>
      <c r="AF205" s="1"/>
      <c r="AG205" s="1"/>
      <c r="AH205" s="1"/>
      <c r="AI205" s="1"/>
      <c r="AK205" s="1"/>
      <c r="AL205" s="1"/>
      <c r="AM205" s="1"/>
      <c r="AN205" s="1"/>
    </row>
    <row r="206" spans="1:40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P206" s="1"/>
      <c r="Q206" s="1"/>
      <c r="R206" s="1"/>
      <c r="S206" s="1"/>
      <c r="T206" s="1"/>
      <c r="U206" s="1"/>
      <c r="W206" s="1"/>
      <c r="X206" s="1"/>
      <c r="Y206" s="1"/>
      <c r="AA206" s="1"/>
      <c r="AB206" s="1"/>
      <c r="AC206" s="1"/>
      <c r="AD206" s="1"/>
      <c r="AE206" s="1"/>
      <c r="AF206" s="1"/>
      <c r="AG206" s="1"/>
      <c r="AH206" s="1"/>
      <c r="AI206" s="1"/>
      <c r="AK206" s="1"/>
      <c r="AL206" s="1"/>
      <c r="AM206" s="1"/>
      <c r="AN206" s="1"/>
    </row>
    <row r="207" spans="1:40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P207" s="1"/>
      <c r="Q207" s="1"/>
      <c r="R207" s="1"/>
      <c r="S207" s="1"/>
      <c r="T207" s="1"/>
      <c r="U207" s="1"/>
      <c r="W207" s="1"/>
      <c r="X207" s="1"/>
      <c r="Y207" s="1"/>
      <c r="AA207" s="1"/>
      <c r="AB207" s="1"/>
      <c r="AC207" s="1"/>
      <c r="AD207" s="1"/>
      <c r="AE207" s="1"/>
      <c r="AF207" s="1"/>
      <c r="AG207" s="1"/>
      <c r="AH207" s="1"/>
      <c r="AI207" s="1"/>
      <c r="AK207" s="1"/>
      <c r="AL207" s="1"/>
      <c r="AM207" s="1"/>
      <c r="AN207" s="1"/>
    </row>
    <row r="208" spans="1:40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P208" s="1"/>
      <c r="Q208" s="1"/>
      <c r="R208" s="1"/>
      <c r="S208" s="1"/>
      <c r="T208" s="1"/>
      <c r="U208" s="1"/>
      <c r="W208" s="1"/>
      <c r="X208" s="1"/>
      <c r="Y208" s="1"/>
      <c r="AA208" s="1"/>
      <c r="AB208" s="1"/>
      <c r="AC208" s="1"/>
      <c r="AD208" s="1"/>
      <c r="AE208" s="1"/>
      <c r="AF208" s="1"/>
      <c r="AG208" s="1"/>
      <c r="AH208" s="1"/>
      <c r="AI208" s="1"/>
      <c r="AK208" s="1"/>
      <c r="AL208" s="1"/>
      <c r="AM208" s="1"/>
      <c r="AN208" s="1"/>
    </row>
    <row r="209" spans="3:40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P209" s="1"/>
      <c r="Q209" s="1"/>
      <c r="R209" s="1"/>
      <c r="S209" s="1"/>
      <c r="T209" s="1"/>
      <c r="U209" s="1"/>
      <c r="W209" s="1"/>
      <c r="X209" s="1"/>
      <c r="Y209" s="1"/>
      <c r="AA209" s="1"/>
      <c r="AB209" s="1"/>
      <c r="AC209" s="1"/>
      <c r="AD209" s="1"/>
      <c r="AE209" s="1"/>
      <c r="AF209" s="1"/>
      <c r="AG209" s="1"/>
      <c r="AH209" s="1"/>
      <c r="AI209" s="1"/>
      <c r="AK209" s="1"/>
      <c r="AL209" s="1"/>
      <c r="AM209" s="1"/>
      <c r="AN209" s="1"/>
    </row>
    <row r="210" spans="3:40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P210" s="1"/>
      <c r="Q210" s="1"/>
      <c r="R210" s="1"/>
      <c r="S210" s="1"/>
      <c r="T210" s="1"/>
      <c r="U210" s="1"/>
      <c r="W210" s="1"/>
      <c r="X210" s="1"/>
      <c r="Y210" s="1"/>
      <c r="AA210" s="1"/>
      <c r="AB210" s="1"/>
      <c r="AC210" s="1"/>
      <c r="AD210" s="1"/>
      <c r="AE210" s="1"/>
      <c r="AF210" s="1"/>
      <c r="AG210" s="1"/>
      <c r="AH210" s="1"/>
      <c r="AI210" s="1"/>
      <c r="AK210" s="1"/>
      <c r="AL210" s="1"/>
      <c r="AM210" s="1"/>
      <c r="AN210" s="1"/>
    </row>
    <row r="211" spans="3:40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P211" s="1"/>
      <c r="Q211" s="1"/>
      <c r="R211" s="1"/>
      <c r="S211" s="1"/>
      <c r="T211" s="1"/>
      <c r="U211" s="1"/>
      <c r="W211" s="1"/>
      <c r="X211" s="1"/>
      <c r="Y211" s="1"/>
      <c r="AA211" s="1"/>
      <c r="AB211" s="1"/>
      <c r="AC211" s="1"/>
      <c r="AD211" s="1"/>
      <c r="AE211" s="1"/>
      <c r="AF211" s="1"/>
      <c r="AG211" s="1"/>
      <c r="AH211" s="1"/>
      <c r="AI211" s="1"/>
      <c r="AK211" s="1"/>
      <c r="AL211" s="1"/>
      <c r="AM211" s="1"/>
      <c r="AN211" s="1"/>
    </row>
    <row r="212" spans="3:40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P212" s="1"/>
      <c r="Q212" s="1"/>
      <c r="R212" s="1"/>
      <c r="S212" s="1"/>
      <c r="T212" s="1"/>
      <c r="U212" s="1"/>
      <c r="W212" s="1"/>
      <c r="X212" s="1"/>
      <c r="Y212" s="1"/>
      <c r="AA212" s="1"/>
      <c r="AB212" s="1"/>
      <c r="AC212" s="1"/>
      <c r="AD212" s="1"/>
      <c r="AE212" s="1"/>
      <c r="AF212" s="1"/>
      <c r="AG212" s="1"/>
      <c r="AH212" s="1"/>
      <c r="AI212" s="1"/>
      <c r="AK212" s="1"/>
      <c r="AL212" s="1"/>
      <c r="AM212" s="1"/>
      <c r="AN212" s="1"/>
    </row>
    <row r="213" spans="3:40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P213" s="1"/>
      <c r="Q213" s="1"/>
      <c r="R213" s="1"/>
      <c r="S213" s="1"/>
      <c r="T213" s="1"/>
      <c r="U213" s="1"/>
      <c r="W213" s="1"/>
      <c r="X213" s="1"/>
      <c r="Y213" s="1"/>
      <c r="AA213" s="1"/>
      <c r="AB213" s="1"/>
      <c r="AC213" s="1"/>
      <c r="AD213" s="1"/>
      <c r="AE213" s="1"/>
      <c r="AF213" s="1"/>
      <c r="AG213" s="1"/>
      <c r="AH213" s="1"/>
      <c r="AI213" s="1"/>
      <c r="AK213" s="1"/>
      <c r="AL213" s="1"/>
      <c r="AM213" s="1"/>
      <c r="AN213" s="1"/>
    </row>
    <row r="214" spans="3:40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P214" s="1"/>
      <c r="Q214" s="1"/>
      <c r="R214" s="1"/>
      <c r="S214" s="1"/>
      <c r="T214" s="1"/>
      <c r="U214" s="1"/>
      <c r="W214" s="1"/>
      <c r="X214" s="1"/>
      <c r="Y214" s="1"/>
      <c r="AA214" s="1"/>
      <c r="AB214" s="1"/>
      <c r="AC214" s="1"/>
      <c r="AD214" s="1"/>
      <c r="AE214" s="1"/>
      <c r="AF214" s="1"/>
      <c r="AG214" s="1"/>
      <c r="AH214" s="1"/>
      <c r="AI214" s="1"/>
      <c r="AK214" s="1"/>
      <c r="AL214" s="1"/>
      <c r="AM214" s="1"/>
      <c r="AN214" s="1"/>
    </row>
    <row r="215" spans="3:40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P215" s="1"/>
      <c r="Q215" s="1"/>
      <c r="R215" s="1"/>
      <c r="S215" s="1"/>
      <c r="T215" s="1"/>
      <c r="U215" s="1"/>
      <c r="W215" s="1"/>
      <c r="X215" s="1"/>
      <c r="Y215" s="1"/>
      <c r="AA215" s="1"/>
      <c r="AB215" s="1"/>
      <c r="AC215" s="1"/>
      <c r="AD215" s="1"/>
      <c r="AE215" s="1"/>
      <c r="AF215" s="1"/>
      <c r="AG215" s="1"/>
      <c r="AH215" s="1"/>
      <c r="AI215" s="1"/>
      <c r="AK215" s="1"/>
      <c r="AL215" s="1"/>
      <c r="AM215" s="1"/>
      <c r="AN215" s="1"/>
    </row>
    <row r="216" spans="3:40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P216" s="1"/>
      <c r="Q216" s="1"/>
      <c r="R216" s="1"/>
      <c r="S216" s="1"/>
      <c r="T216" s="1"/>
      <c r="U216" s="1"/>
      <c r="W216" s="1"/>
      <c r="X216" s="1"/>
      <c r="Y216" s="1"/>
      <c r="AA216" s="1"/>
      <c r="AB216" s="1"/>
      <c r="AC216" s="1"/>
      <c r="AD216" s="1"/>
      <c r="AE216" s="1"/>
      <c r="AF216" s="1"/>
      <c r="AG216" s="1"/>
      <c r="AH216" s="1"/>
      <c r="AI216" s="1"/>
      <c r="AK216" s="1"/>
      <c r="AL216" s="1"/>
      <c r="AM216" s="1"/>
      <c r="AN216" s="1"/>
    </row>
    <row r="217" spans="3:40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P217" s="1"/>
      <c r="Q217" s="1"/>
      <c r="R217" s="1"/>
      <c r="S217" s="1"/>
      <c r="T217" s="1"/>
      <c r="U217" s="1"/>
      <c r="W217" s="1"/>
      <c r="X217" s="1"/>
      <c r="Y217" s="1"/>
      <c r="AA217" s="1"/>
      <c r="AB217" s="1"/>
      <c r="AC217" s="1"/>
      <c r="AD217" s="1"/>
      <c r="AE217" s="1"/>
      <c r="AF217" s="1"/>
      <c r="AG217" s="1"/>
      <c r="AH217" s="1"/>
      <c r="AI217" s="1"/>
      <c r="AK217" s="1"/>
      <c r="AL217" s="1"/>
      <c r="AM217" s="1"/>
      <c r="AN217" s="1"/>
    </row>
    <row r="218" spans="3:40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P218" s="1"/>
      <c r="Q218" s="1"/>
      <c r="R218" s="1"/>
      <c r="S218" s="1"/>
      <c r="T218" s="1"/>
      <c r="U218" s="1"/>
      <c r="W218" s="1"/>
      <c r="X218" s="1"/>
      <c r="Y218" s="1"/>
      <c r="AA218" s="1"/>
      <c r="AB218" s="1"/>
      <c r="AC218" s="1"/>
      <c r="AD218" s="1"/>
      <c r="AE218" s="1"/>
      <c r="AF218" s="1"/>
      <c r="AG218" s="1"/>
      <c r="AH218" s="1"/>
      <c r="AI218" s="1"/>
      <c r="AK218" s="1"/>
      <c r="AL218" s="1"/>
      <c r="AM218" s="1"/>
      <c r="AN218" s="1"/>
    </row>
    <row r="219" spans="3:40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P219" s="1"/>
      <c r="Q219" s="1"/>
      <c r="R219" s="1"/>
      <c r="S219" s="1"/>
      <c r="T219" s="1"/>
      <c r="U219" s="1"/>
      <c r="W219" s="1"/>
      <c r="X219" s="1"/>
      <c r="Y219" s="1"/>
      <c r="AA219" s="1"/>
      <c r="AB219" s="1"/>
      <c r="AC219" s="1"/>
      <c r="AD219" s="1"/>
      <c r="AE219" s="1"/>
      <c r="AF219" s="1"/>
      <c r="AG219" s="1"/>
      <c r="AH219" s="1"/>
      <c r="AI219" s="1"/>
      <c r="AK219" s="1"/>
      <c r="AL219" s="1"/>
      <c r="AM219" s="1"/>
      <c r="AN219" s="1"/>
    </row>
    <row r="220" spans="3:40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P220" s="1"/>
      <c r="Q220" s="1"/>
      <c r="R220" s="1"/>
      <c r="S220" s="1"/>
      <c r="T220" s="1"/>
      <c r="U220" s="1"/>
      <c r="W220" s="1"/>
      <c r="X220" s="1"/>
      <c r="Y220" s="1"/>
      <c r="AA220" s="1"/>
      <c r="AB220" s="1"/>
      <c r="AC220" s="1"/>
      <c r="AD220" s="1"/>
      <c r="AE220" s="1"/>
      <c r="AF220" s="1"/>
      <c r="AG220" s="1"/>
      <c r="AH220" s="1"/>
      <c r="AI220" s="1"/>
      <c r="AK220" s="1"/>
      <c r="AL220" s="1"/>
      <c r="AM220" s="1"/>
      <c r="AN220" s="1"/>
    </row>
    <row r="221" spans="3:40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P221" s="1"/>
      <c r="Q221" s="1"/>
      <c r="R221" s="1"/>
      <c r="S221" s="1"/>
      <c r="T221" s="1"/>
      <c r="U221" s="1"/>
      <c r="W221" s="1"/>
      <c r="X221" s="1"/>
      <c r="Y221" s="1"/>
      <c r="AA221" s="1"/>
      <c r="AB221" s="1"/>
      <c r="AC221" s="1"/>
      <c r="AD221" s="1"/>
      <c r="AE221" s="1"/>
      <c r="AF221" s="1"/>
      <c r="AG221" s="1"/>
      <c r="AH221" s="1"/>
      <c r="AI221" s="1"/>
      <c r="AK221" s="1"/>
      <c r="AL221" s="1"/>
      <c r="AM221" s="1"/>
      <c r="AN221" s="1"/>
    </row>
    <row r="222" spans="3:40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P222" s="1"/>
      <c r="Q222" s="1"/>
      <c r="R222" s="1"/>
      <c r="S222" s="1"/>
      <c r="T222" s="1"/>
      <c r="U222" s="1"/>
      <c r="W222" s="1"/>
      <c r="X222" s="1"/>
      <c r="Y222" s="1"/>
      <c r="AA222" s="1"/>
      <c r="AB222" s="1"/>
      <c r="AC222" s="1"/>
      <c r="AD222" s="1"/>
      <c r="AE222" s="1"/>
      <c r="AF222" s="1"/>
      <c r="AG222" s="1"/>
      <c r="AH222" s="1"/>
      <c r="AI222" s="1"/>
      <c r="AK222" s="1"/>
      <c r="AL222" s="1"/>
      <c r="AM222" s="1"/>
      <c r="AN222" s="1"/>
    </row>
    <row r="223" spans="3:40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P223" s="1"/>
      <c r="Q223" s="1"/>
      <c r="R223" s="1"/>
      <c r="S223" s="1"/>
      <c r="T223" s="1"/>
      <c r="U223" s="1"/>
      <c r="W223" s="1"/>
      <c r="X223" s="1"/>
      <c r="Y223" s="1"/>
      <c r="AA223" s="1"/>
      <c r="AB223" s="1"/>
      <c r="AC223" s="1"/>
      <c r="AD223" s="1"/>
      <c r="AE223" s="1"/>
      <c r="AF223" s="1"/>
      <c r="AG223" s="1"/>
      <c r="AH223" s="1"/>
      <c r="AI223" s="1"/>
      <c r="AK223" s="1"/>
      <c r="AL223" s="1"/>
      <c r="AM223" s="1"/>
      <c r="AN223" s="1"/>
    </row>
    <row r="224" spans="3:40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P224" s="1"/>
      <c r="Q224" s="1"/>
      <c r="R224" s="1"/>
      <c r="S224" s="1"/>
      <c r="T224" s="1"/>
      <c r="U224" s="1"/>
      <c r="W224" s="1"/>
      <c r="X224" s="1"/>
      <c r="Y224" s="1"/>
      <c r="AA224" s="1"/>
      <c r="AB224" s="1"/>
      <c r="AC224" s="1"/>
      <c r="AD224" s="1"/>
      <c r="AE224" s="1"/>
      <c r="AF224" s="1"/>
      <c r="AG224" s="1"/>
      <c r="AH224" s="1"/>
      <c r="AI224" s="1"/>
      <c r="AK224" s="1"/>
      <c r="AL224" s="1"/>
      <c r="AM224" s="1"/>
      <c r="AN224" s="1"/>
    </row>
    <row r="225" spans="3:40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P225" s="1"/>
      <c r="Q225" s="1"/>
      <c r="R225" s="1"/>
      <c r="S225" s="1"/>
      <c r="T225" s="1"/>
      <c r="U225" s="1"/>
      <c r="W225" s="1"/>
      <c r="X225" s="1"/>
      <c r="Y225" s="1"/>
      <c r="AA225" s="1"/>
      <c r="AB225" s="1"/>
      <c r="AC225" s="1"/>
      <c r="AD225" s="1"/>
      <c r="AE225" s="1"/>
      <c r="AF225" s="1"/>
      <c r="AG225" s="1"/>
      <c r="AH225" s="1"/>
      <c r="AI225" s="1"/>
      <c r="AK225" s="1"/>
      <c r="AL225" s="1"/>
      <c r="AM225" s="1"/>
      <c r="AN225" s="1"/>
    </row>
    <row r="226" spans="3:40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P226" s="1"/>
      <c r="Q226" s="1"/>
      <c r="R226" s="1"/>
      <c r="S226" s="1"/>
      <c r="T226" s="1"/>
      <c r="U226" s="1"/>
      <c r="W226" s="1"/>
      <c r="X226" s="1"/>
      <c r="Y226" s="1"/>
      <c r="AA226" s="1"/>
      <c r="AB226" s="1"/>
      <c r="AC226" s="1"/>
      <c r="AD226" s="1"/>
      <c r="AE226" s="1"/>
      <c r="AF226" s="1"/>
      <c r="AG226" s="1"/>
      <c r="AH226" s="1"/>
      <c r="AI226" s="1"/>
      <c r="AK226" s="1"/>
      <c r="AL226" s="1"/>
      <c r="AM226" s="1"/>
      <c r="AN226" s="1"/>
    </row>
    <row r="227" spans="3:40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P227" s="1"/>
      <c r="Q227" s="1"/>
      <c r="R227" s="1"/>
      <c r="S227" s="1"/>
      <c r="T227" s="1"/>
      <c r="U227" s="1"/>
      <c r="W227" s="1"/>
      <c r="X227" s="1"/>
      <c r="Y227" s="1"/>
      <c r="AA227" s="1"/>
      <c r="AB227" s="1"/>
      <c r="AC227" s="1"/>
      <c r="AD227" s="1"/>
      <c r="AE227" s="1"/>
      <c r="AF227" s="1"/>
      <c r="AG227" s="1"/>
      <c r="AH227" s="1"/>
      <c r="AI227" s="1"/>
      <c r="AK227" s="1"/>
      <c r="AL227" s="1"/>
      <c r="AM227" s="1"/>
      <c r="AN227" s="1"/>
    </row>
    <row r="228" spans="3:40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P228" s="1"/>
      <c r="Q228" s="1"/>
      <c r="R228" s="1"/>
      <c r="S228" s="1"/>
      <c r="T228" s="1"/>
      <c r="U228" s="1"/>
      <c r="W228" s="1"/>
      <c r="X228" s="1"/>
      <c r="Y228" s="1"/>
      <c r="AA228" s="1"/>
      <c r="AB228" s="1"/>
      <c r="AC228" s="1"/>
      <c r="AD228" s="1"/>
      <c r="AE228" s="1"/>
      <c r="AF228" s="1"/>
      <c r="AG228" s="1"/>
      <c r="AH228" s="1"/>
      <c r="AI228" s="1"/>
      <c r="AK228" s="1"/>
      <c r="AL228" s="1"/>
      <c r="AM228" s="1"/>
      <c r="AN228" s="1"/>
    </row>
    <row r="229" spans="3:40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P229" s="1"/>
      <c r="Q229" s="1"/>
      <c r="R229" s="1"/>
      <c r="S229" s="1"/>
      <c r="T229" s="1"/>
      <c r="U229" s="1"/>
      <c r="W229" s="1"/>
      <c r="X229" s="1"/>
      <c r="Y229" s="1"/>
      <c r="AA229" s="1"/>
      <c r="AB229" s="1"/>
      <c r="AC229" s="1"/>
      <c r="AD229" s="1"/>
      <c r="AE229" s="1"/>
      <c r="AF229" s="1"/>
      <c r="AG229" s="1"/>
      <c r="AH229" s="1"/>
      <c r="AI229" s="1"/>
      <c r="AK229" s="1"/>
      <c r="AL229" s="1"/>
      <c r="AM229" s="1"/>
      <c r="AN229" s="1"/>
    </row>
    <row r="230" spans="3:40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P230" s="1"/>
      <c r="Q230" s="1"/>
      <c r="R230" s="1"/>
      <c r="S230" s="1"/>
      <c r="T230" s="1"/>
      <c r="U230" s="1"/>
      <c r="W230" s="1"/>
      <c r="X230" s="1"/>
      <c r="Y230" s="1"/>
      <c r="AA230" s="1"/>
      <c r="AB230" s="1"/>
      <c r="AC230" s="1"/>
      <c r="AD230" s="1"/>
      <c r="AE230" s="1"/>
      <c r="AF230" s="1"/>
      <c r="AG230" s="1"/>
      <c r="AH230" s="1"/>
      <c r="AI230" s="1"/>
      <c r="AK230" s="1"/>
      <c r="AL230" s="1"/>
      <c r="AM230" s="1"/>
      <c r="AN230" s="1"/>
    </row>
    <row r="231" spans="3:40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P231" s="1"/>
      <c r="Q231" s="1"/>
      <c r="R231" s="1"/>
      <c r="S231" s="1"/>
      <c r="T231" s="1"/>
      <c r="U231" s="1"/>
      <c r="W231" s="1"/>
      <c r="X231" s="1"/>
      <c r="Y231" s="1"/>
      <c r="AA231" s="1"/>
      <c r="AB231" s="1"/>
      <c r="AC231" s="1"/>
      <c r="AD231" s="1"/>
      <c r="AE231" s="1"/>
      <c r="AF231" s="1"/>
      <c r="AG231" s="1"/>
      <c r="AH231" s="1"/>
      <c r="AI231" s="1"/>
      <c r="AK231" s="1"/>
      <c r="AL231" s="1"/>
      <c r="AM231" s="1"/>
      <c r="AN231" s="1"/>
    </row>
    <row r="232" spans="3:40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P232" s="1"/>
      <c r="Q232" s="1"/>
      <c r="R232" s="1"/>
      <c r="S232" s="1"/>
      <c r="T232" s="1"/>
      <c r="U232" s="1"/>
      <c r="W232" s="1"/>
      <c r="X232" s="1"/>
      <c r="Y232" s="1"/>
      <c r="AA232" s="1"/>
      <c r="AB232" s="1"/>
      <c r="AC232" s="1"/>
      <c r="AD232" s="1"/>
      <c r="AE232" s="1"/>
      <c r="AF232" s="1"/>
      <c r="AG232" s="1"/>
      <c r="AH232" s="1"/>
      <c r="AI232" s="1"/>
      <c r="AK232" s="1"/>
      <c r="AL232" s="1"/>
      <c r="AM232" s="1"/>
      <c r="AN232" s="1"/>
    </row>
    <row r="233" spans="3:40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P233" s="1"/>
      <c r="Q233" s="1"/>
      <c r="R233" s="1"/>
      <c r="S233" s="1"/>
      <c r="T233" s="1"/>
      <c r="U233" s="1"/>
      <c r="W233" s="1"/>
      <c r="X233" s="1"/>
      <c r="Y233" s="1"/>
      <c r="AA233" s="1"/>
      <c r="AB233" s="1"/>
      <c r="AC233" s="1"/>
      <c r="AD233" s="1"/>
      <c r="AE233" s="1"/>
      <c r="AF233" s="1"/>
      <c r="AG233" s="1"/>
      <c r="AH233" s="1"/>
      <c r="AI233" s="1"/>
      <c r="AK233" s="1"/>
      <c r="AL233" s="1"/>
      <c r="AM233" s="1"/>
      <c r="AN233" s="1"/>
    </row>
    <row r="234" spans="3:40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P234" s="1"/>
      <c r="Q234" s="1"/>
      <c r="R234" s="1"/>
      <c r="S234" s="1"/>
      <c r="T234" s="1"/>
      <c r="U234" s="1"/>
      <c r="W234" s="1"/>
      <c r="X234" s="1"/>
      <c r="Y234" s="1"/>
      <c r="AA234" s="1"/>
      <c r="AB234" s="1"/>
      <c r="AC234" s="1"/>
      <c r="AD234" s="1"/>
      <c r="AE234" s="1"/>
      <c r="AF234" s="1"/>
      <c r="AG234" s="1"/>
      <c r="AH234" s="1"/>
      <c r="AI234" s="1"/>
      <c r="AK234" s="1"/>
      <c r="AL234" s="1"/>
      <c r="AM234" s="1"/>
      <c r="AN234" s="1"/>
    </row>
    <row r="235" spans="3:40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P235" s="1"/>
      <c r="Q235" s="1"/>
      <c r="R235" s="1"/>
      <c r="S235" s="1"/>
      <c r="T235" s="1"/>
      <c r="U235" s="1"/>
      <c r="W235" s="1"/>
      <c r="X235" s="1"/>
      <c r="Y235" s="1"/>
      <c r="AA235" s="1"/>
      <c r="AB235" s="1"/>
      <c r="AC235" s="1"/>
      <c r="AD235" s="1"/>
      <c r="AE235" s="1"/>
      <c r="AF235" s="1"/>
      <c r="AG235" s="1"/>
      <c r="AH235" s="1"/>
      <c r="AI235" s="1"/>
      <c r="AK235" s="1"/>
      <c r="AL235" s="1"/>
      <c r="AM235" s="1"/>
      <c r="AN235" s="1"/>
    </row>
    <row r="236" spans="3:40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P236" s="1"/>
      <c r="Q236" s="1"/>
      <c r="R236" s="1"/>
      <c r="S236" s="1"/>
      <c r="T236" s="1"/>
      <c r="U236" s="1"/>
      <c r="W236" s="1"/>
      <c r="X236" s="1"/>
      <c r="Y236" s="1"/>
      <c r="AA236" s="1"/>
      <c r="AB236" s="1"/>
      <c r="AC236" s="1"/>
      <c r="AD236" s="1"/>
      <c r="AE236" s="1"/>
      <c r="AF236" s="1"/>
      <c r="AG236" s="1"/>
      <c r="AH236" s="1"/>
      <c r="AI236" s="1"/>
      <c r="AK236" s="1"/>
      <c r="AL236" s="1"/>
      <c r="AM236" s="1"/>
      <c r="AN236" s="1"/>
    </row>
    <row r="237" spans="3:40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P237" s="1"/>
      <c r="Q237" s="1"/>
      <c r="R237" s="1"/>
      <c r="S237" s="1"/>
      <c r="T237" s="1"/>
      <c r="U237" s="1"/>
      <c r="W237" s="1"/>
      <c r="X237" s="1"/>
      <c r="Y237" s="1"/>
      <c r="AA237" s="1"/>
      <c r="AB237" s="1"/>
      <c r="AC237" s="1"/>
      <c r="AD237" s="1"/>
      <c r="AE237" s="1"/>
      <c r="AF237" s="1"/>
      <c r="AG237" s="1"/>
      <c r="AH237" s="1"/>
      <c r="AI237" s="1"/>
      <c r="AK237" s="1"/>
      <c r="AL237" s="1"/>
      <c r="AM237" s="1"/>
      <c r="AN237" s="1"/>
    </row>
    <row r="238" spans="3:40" x14ac:dyDescent="0.3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P238" s="1"/>
      <c r="Q238" s="1"/>
      <c r="R238" s="1"/>
      <c r="S238" s="1"/>
      <c r="T238" s="1"/>
      <c r="U238" s="1"/>
      <c r="W238" s="1"/>
      <c r="X238" s="1"/>
      <c r="Y238" s="1"/>
      <c r="AA238" s="1"/>
      <c r="AB238" s="1"/>
      <c r="AC238" s="1"/>
      <c r="AD238" s="1"/>
      <c r="AE238" s="1"/>
      <c r="AF238" s="1"/>
      <c r="AG238" s="1"/>
      <c r="AH238" s="1"/>
      <c r="AI238" s="1"/>
      <c r="AK238" s="1"/>
      <c r="AL238" s="1"/>
      <c r="AM238" s="1"/>
      <c r="AN238" s="1"/>
    </row>
    <row r="239" spans="3:40" x14ac:dyDescent="0.3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P239" s="1"/>
      <c r="Q239" s="1"/>
      <c r="R239" s="1"/>
      <c r="S239" s="1"/>
      <c r="T239" s="1"/>
      <c r="U239" s="1"/>
      <c r="W239" s="1"/>
      <c r="X239" s="1"/>
      <c r="Y239" s="1"/>
      <c r="AA239" s="1"/>
      <c r="AB239" s="1"/>
      <c r="AC239" s="1"/>
      <c r="AD239" s="1"/>
      <c r="AE239" s="1"/>
      <c r="AF239" s="1"/>
      <c r="AG239" s="1"/>
      <c r="AH239" s="1"/>
      <c r="AI239" s="1"/>
      <c r="AK239" s="1"/>
      <c r="AL239" s="1"/>
      <c r="AM239" s="1"/>
      <c r="AN239" s="1"/>
    </row>
    <row r="240" spans="3:40" x14ac:dyDescent="0.3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P240" s="1"/>
      <c r="Q240" s="1"/>
      <c r="R240" s="1"/>
      <c r="S240" s="1"/>
      <c r="T240" s="1"/>
      <c r="U240" s="1"/>
      <c r="W240" s="1"/>
      <c r="X240" s="1"/>
      <c r="Y240" s="1"/>
      <c r="AA240" s="1"/>
      <c r="AB240" s="1"/>
      <c r="AC240" s="1"/>
      <c r="AD240" s="1"/>
      <c r="AE240" s="1"/>
      <c r="AF240" s="1"/>
      <c r="AG240" s="1"/>
      <c r="AH240" s="1"/>
      <c r="AI240" s="1"/>
      <c r="AK240" s="1"/>
      <c r="AL240" s="1"/>
      <c r="AM240" s="1"/>
      <c r="AN240" s="1"/>
    </row>
    <row r="241" spans="3:40" x14ac:dyDescent="0.3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P241" s="1"/>
      <c r="Q241" s="1"/>
      <c r="R241" s="1"/>
      <c r="S241" s="1"/>
      <c r="T241" s="1"/>
      <c r="U241" s="1"/>
      <c r="W241" s="1"/>
      <c r="X241" s="1"/>
      <c r="Y241" s="1"/>
      <c r="AA241" s="1"/>
      <c r="AB241" s="1"/>
      <c r="AC241" s="1"/>
      <c r="AD241" s="1"/>
      <c r="AE241" s="1"/>
      <c r="AF241" s="1"/>
      <c r="AG241" s="1"/>
      <c r="AH241" s="1"/>
      <c r="AI241" s="1"/>
      <c r="AK241" s="1"/>
      <c r="AL241" s="1"/>
      <c r="AM241" s="1"/>
      <c r="AN241" s="1"/>
    </row>
    <row r="242" spans="3:40" x14ac:dyDescent="0.3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P242" s="1"/>
      <c r="Q242" s="1"/>
      <c r="R242" s="1"/>
      <c r="S242" s="1"/>
      <c r="T242" s="1"/>
      <c r="U242" s="1"/>
      <c r="W242" s="1"/>
      <c r="X242" s="1"/>
      <c r="Y242" s="1"/>
      <c r="AA242" s="1"/>
      <c r="AB242" s="1"/>
      <c r="AC242" s="1"/>
      <c r="AD242" s="1"/>
      <c r="AE242" s="1"/>
      <c r="AF242" s="1"/>
      <c r="AG242" s="1"/>
      <c r="AH242" s="1"/>
      <c r="AI242" s="1"/>
      <c r="AK242" s="1"/>
      <c r="AL242" s="1"/>
      <c r="AM242" s="1"/>
      <c r="AN242" s="1"/>
    </row>
    <row r="243" spans="3:40" x14ac:dyDescent="0.3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P243" s="1"/>
      <c r="Q243" s="1"/>
      <c r="R243" s="1"/>
      <c r="S243" s="1"/>
      <c r="T243" s="1"/>
      <c r="U243" s="1"/>
      <c r="W243" s="1"/>
      <c r="X243" s="1"/>
      <c r="Y243" s="1"/>
      <c r="AA243" s="1"/>
      <c r="AB243" s="1"/>
      <c r="AC243" s="1"/>
      <c r="AD243" s="1"/>
      <c r="AE243" s="1"/>
      <c r="AF243" s="1"/>
      <c r="AG243" s="1"/>
      <c r="AH243" s="1"/>
      <c r="AI243" s="1"/>
      <c r="AK243" s="1"/>
      <c r="AL243" s="1"/>
      <c r="AM243" s="1"/>
      <c r="AN243" s="1"/>
    </row>
    <row r="244" spans="3:40" x14ac:dyDescent="0.3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P244" s="1"/>
      <c r="Q244" s="1"/>
      <c r="R244" s="1"/>
      <c r="S244" s="1"/>
      <c r="T244" s="1"/>
      <c r="U244" s="1"/>
      <c r="W244" s="1"/>
      <c r="X244" s="1"/>
      <c r="Y244" s="1"/>
      <c r="AA244" s="1"/>
      <c r="AB244" s="1"/>
      <c r="AC244" s="1"/>
      <c r="AD244" s="1"/>
      <c r="AE244" s="1"/>
      <c r="AF244" s="1"/>
      <c r="AG244" s="1"/>
      <c r="AH244" s="1"/>
      <c r="AI244" s="1"/>
      <c r="AK244" s="1"/>
      <c r="AL244" s="1"/>
      <c r="AM244" s="1"/>
      <c r="AN244" s="1"/>
    </row>
    <row r="245" spans="3:40" x14ac:dyDescent="0.3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P245" s="1"/>
      <c r="Q245" s="1"/>
      <c r="R245" s="1"/>
      <c r="S245" s="1"/>
      <c r="T245" s="1"/>
      <c r="U245" s="1"/>
      <c r="W245" s="1"/>
      <c r="X245" s="1"/>
      <c r="Y245" s="1"/>
      <c r="AA245" s="1"/>
      <c r="AB245" s="1"/>
      <c r="AC245" s="1"/>
      <c r="AD245" s="1"/>
      <c r="AE245" s="1"/>
      <c r="AF245" s="1"/>
      <c r="AG245" s="1"/>
      <c r="AH245" s="1"/>
      <c r="AI245" s="1"/>
      <c r="AK245" s="1"/>
      <c r="AL245" s="1"/>
      <c r="AM245" s="1"/>
      <c r="AN245" s="1"/>
    </row>
    <row r="246" spans="3:40" x14ac:dyDescent="0.3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P246" s="1"/>
      <c r="Q246" s="1"/>
      <c r="R246" s="1"/>
      <c r="S246" s="1"/>
      <c r="T246" s="1"/>
      <c r="U246" s="1"/>
      <c r="W246" s="1"/>
      <c r="X246" s="1"/>
      <c r="Y246" s="1"/>
      <c r="AA246" s="1"/>
      <c r="AB246" s="1"/>
      <c r="AC246" s="1"/>
      <c r="AD246" s="1"/>
      <c r="AE246" s="1"/>
      <c r="AF246" s="1"/>
      <c r="AG246" s="1"/>
      <c r="AH246" s="1"/>
      <c r="AI246" s="1"/>
      <c r="AK246" s="1"/>
      <c r="AL246" s="1"/>
      <c r="AM246" s="1"/>
      <c r="AN246" s="1"/>
    </row>
    <row r="247" spans="3:40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P247" s="1"/>
      <c r="Q247" s="1"/>
      <c r="R247" s="1"/>
      <c r="S247" s="1"/>
      <c r="T247" s="1"/>
      <c r="U247" s="1"/>
      <c r="W247" s="1"/>
      <c r="X247" s="1"/>
      <c r="Y247" s="1"/>
      <c r="AA247" s="1"/>
      <c r="AB247" s="1"/>
      <c r="AC247" s="1"/>
      <c r="AD247" s="1"/>
      <c r="AE247" s="1"/>
      <c r="AF247" s="1"/>
      <c r="AG247" s="1"/>
      <c r="AH247" s="1"/>
      <c r="AI247" s="1"/>
      <c r="AK247" s="1"/>
      <c r="AL247" s="1"/>
      <c r="AM247" s="1"/>
      <c r="AN247" s="1"/>
    </row>
    <row r="248" spans="3:40" x14ac:dyDescent="0.3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P248" s="1"/>
      <c r="Q248" s="1"/>
      <c r="R248" s="1"/>
      <c r="S248" s="1"/>
      <c r="T248" s="1"/>
      <c r="U248" s="1"/>
      <c r="W248" s="1"/>
      <c r="X248" s="1"/>
      <c r="Y248" s="1"/>
      <c r="AA248" s="1"/>
      <c r="AB248" s="1"/>
      <c r="AC248" s="1"/>
      <c r="AD248" s="1"/>
      <c r="AE248" s="1"/>
      <c r="AF248" s="1"/>
      <c r="AG248" s="1"/>
      <c r="AH248" s="1"/>
      <c r="AI248" s="1"/>
      <c r="AK248" s="1"/>
      <c r="AL248" s="1"/>
      <c r="AM248" s="1"/>
      <c r="AN248" s="1"/>
    </row>
    <row r="249" spans="3:40" x14ac:dyDescent="0.3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P249" s="1"/>
      <c r="Q249" s="1"/>
      <c r="R249" s="1"/>
      <c r="S249" s="1"/>
      <c r="T249" s="1"/>
      <c r="U249" s="1"/>
      <c r="W249" s="1"/>
      <c r="X249" s="1"/>
      <c r="Y249" s="1"/>
      <c r="AA249" s="1"/>
      <c r="AB249" s="1"/>
      <c r="AC249" s="1"/>
      <c r="AD249" s="1"/>
      <c r="AE249" s="1"/>
      <c r="AF249" s="1"/>
      <c r="AG249" s="1"/>
      <c r="AH249" s="1"/>
      <c r="AI249" s="1"/>
      <c r="AK249" s="1"/>
      <c r="AL249" s="1"/>
      <c r="AM249" s="1"/>
      <c r="AN249" s="1"/>
    </row>
    <row r="250" spans="3:40" x14ac:dyDescent="0.3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P250" s="1"/>
      <c r="Q250" s="1"/>
      <c r="R250" s="1"/>
      <c r="S250" s="1"/>
      <c r="T250" s="1"/>
      <c r="U250" s="1"/>
      <c r="W250" s="1"/>
      <c r="X250" s="1"/>
      <c r="Y250" s="1"/>
      <c r="AA250" s="1"/>
      <c r="AB250" s="1"/>
      <c r="AC250" s="1"/>
      <c r="AD250" s="1"/>
      <c r="AE250" s="1"/>
      <c r="AF250" s="1"/>
      <c r="AG250" s="1"/>
      <c r="AH250" s="1"/>
      <c r="AI250" s="1"/>
      <c r="AK250" s="1"/>
      <c r="AL250" s="1"/>
      <c r="AM250" s="1"/>
      <c r="AN250" s="1"/>
    </row>
    <row r="251" spans="3:40" x14ac:dyDescent="0.3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P251" s="1"/>
      <c r="Q251" s="1"/>
      <c r="R251" s="1"/>
      <c r="S251" s="1"/>
      <c r="T251" s="1"/>
      <c r="U251" s="1"/>
      <c r="W251" s="1"/>
      <c r="X251" s="1"/>
      <c r="Y251" s="1"/>
      <c r="AA251" s="1"/>
      <c r="AB251" s="1"/>
      <c r="AC251" s="1"/>
      <c r="AD251" s="1"/>
      <c r="AE251" s="1"/>
      <c r="AF251" s="1"/>
      <c r="AG251" s="1"/>
      <c r="AH251" s="1"/>
      <c r="AI251" s="1"/>
      <c r="AK251" s="1"/>
      <c r="AL251" s="1"/>
      <c r="AM251" s="1"/>
      <c r="AN251" s="1"/>
    </row>
    <row r="252" spans="3:40" x14ac:dyDescent="0.3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P252" s="1"/>
      <c r="Q252" s="1"/>
      <c r="R252" s="1"/>
      <c r="S252" s="1"/>
      <c r="T252" s="1"/>
      <c r="U252" s="1"/>
      <c r="W252" s="1"/>
      <c r="X252" s="1"/>
      <c r="Y252" s="1"/>
      <c r="AA252" s="1"/>
      <c r="AB252" s="1"/>
      <c r="AC252" s="1"/>
      <c r="AD252" s="1"/>
      <c r="AE252" s="1"/>
      <c r="AF252" s="1"/>
      <c r="AG252" s="1"/>
      <c r="AH252" s="1"/>
      <c r="AI252" s="1"/>
      <c r="AK252" s="1"/>
      <c r="AL252" s="1"/>
      <c r="AM252" s="1"/>
      <c r="AN252" s="1"/>
    </row>
    <row r="253" spans="3:40" x14ac:dyDescent="0.3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P253" s="1"/>
      <c r="Q253" s="1"/>
      <c r="R253" s="1"/>
      <c r="S253" s="1"/>
      <c r="T253" s="1"/>
      <c r="U253" s="1"/>
      <c r="W253" s="1"/>
      <c r="X253" s="1"/>
      <c r="Y253" s="1"/>
      <c r="AA253" s="1"/>
      <c r="AB253" s="1"/>
      <c r="AC253" s="1"/>
      <c r="AD253" s="1"/>
      <c r="AE253" s="1"/>
      <c r="AF253" s="1"/>
      <c r="AG253" s="1"/>
      <c r="AH253" s="1"/>
      <c r="AI253" s="1"/>
      <c r="AK253" s="1"/>
      <c r="AL253" s="1"/>
      <c r="AM253" s="1"/>
      <c r="AN253" s="1"/>
    </row>
    <row r="254" spans="3:40" x14ac:dyDescent="0.3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P254" s="1"/>
      <c r="Q254" s="1"/>
      <c r="R254" s="1"/>
      <c r="S254" s="1"/>
      <c r="T254" s="1"/>
      <c r="U254" s="1"/>
      <c r="W254" s="1"/>
      <c r="X254" s="1"/>
      <c r="Y254" s="1"/>
      <c r="AA254" s="1"/>
      <c r="AB254" s="1"/>
      <c r="AC254" s="1"/>
      <c r="AD254" s="1"/>
      <c r="AE254" s="1"/>
      <c r="AF254" s="1"/>
      <c r="AG254" s="1"/>
      <c r="AH254" s="1"/>
      <c r="AI254" s="1"/>
      <c r="AK254" s="1"/>
      <c r="AL254" s="1"/>
      <c r="AM254" s="1"/>
      <c r="AN254" s="1"/>
    </row>
    <row r="255" spans="3:40" x14ac:dyDescent="0.3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P255" s="1"/>
      <c r="Q255" s="1"/>
      <c r="R255" s="1"/>
      <c r="S255" s="1"/>
      <c r="T255" s="1"/>
      <c r="U255" s="1"/>
      <c r="W255" s="1"/>
      <c r="X255" s="1"/>
      <c r="Y255" s="1"/>
      <c r="AA255" s="1"/>
      <c r="AB255" s="1"/>
      <c r="AC255" s="1"/>
      <c r="AD255" s="1"/>
      <c r="AE255" s="1"/>
      <c r="AF255" s="1"/>
      <c r="AG255" s="1"/>
      <c r="AH255" s="1"/>
      <c r="AI255" s="1"/>
      <c r="AK255" s="1"/>
      <c r="AL255" s="1"/>
      <c r="AM255" s="1"/>
      <c r="AN255" s="1"/>
    </row>
    <row r="256" spans="3:40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P256" s="1"/>
      <c r="Q256" s="1"/>
      <c r="R256" s="1"/>
      <c r="S256" s="1"/>
      <c r="T256" s="1"/>
      <c r="U256" s="1"/>
      <c r="W256" s="1"/>
      <c r="X256" s="1"/>
      <c r="Y256" s="1"/>
      <c r="AA256" s="1"/>
      <c r="AB256" s="1"/>
      <c r="AC256" s="1"/>
      <c r="AD256" s="1"/>
      <c r="AE256" s="1"/>
      <c r="AF256" s="1"/>
      <c r="AG256" s="1"/>
      <c r="AH256" s="1"/>
      <c r="AI256" s="1"/>
      <c r="AK256" s="1"/>
      <c r="AL256" s="1"/>
      <c r="AM256" s="1"/>
      <c r="AN256" s="1"/>
    </row>
    <row r="257" spans="3:40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P257" s="1"/>
      <c r="Q257" s="1"/>
      <c r="R257" s="1"/>
      <c r="S257" s="1"/>
      <c r="T257" s="1"/>
      <c r="U257" s="1"/>
      <c r="W257" s="1"/>
      <c r="X257" s="1"/>
      <c r="Y257" s="1"/>
      <c r="AA257" s="1"/>
      <c r="AB257" s="1"/>
      <c r="AC257" s="1"/>
      <c r="AD257" s="1"/>
      <c r="AE257" s="1"/>
      <c r="AF257" s="1"/>
      <c r="AG257" s="1"/>
      <c r="AH257" s="1"/>
      <c r="AI257" s="1"/>
      <c r="AK257" s="1"/>
      <c r="AL257" s="1"/>
      <c r="AM257" s="1"/>
      <c r="AN257" s="1"/>
    </row>
    <row r="258" spans="3:40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P258" s="1"/>
      <c r="Q258" s="1"/>
      <c r="R258" s="1"/>
      <c r="S258" s="1"/>
      <c r="T258" s="1"/>
      <c r="U258" s="1"/>
      <c r="W258" s="1"/>
      <c r="X258" s="1"/>
      <c r="Y258" s="1"/>
      <c r="AA258" s="1"/>
      <c r="AB258" s="1"/>
      <c r="AC258" s="1"/>
      <c r="AD258" s="1"/>
      <c r="AE258" s="1"/>
      <c r="AF258" s="1"/>
      <c r="AG258" s="1"/>
      <c r="AH258" s="1"/>
      <c r="AI258" s="1"/>
      <c r="AK258" s="1"/>
      <c r="AL258" s="1"/>
      <c r="AM258" s="1"/>
      <c r="AN258" s="1"/>
    </row>
    <row r="259" spans="3:40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P259" s="1"/>
      <c r="Q259" s="1"/>
      <c r="R259" s="1"/>
      <c r="S259" s="1"/>
      <c r="T259" s="1"/>
      <c r="U259" s="1"/>
      <c r="W259" s="1"/>
      <c r="X259" s="1"/>
      <c r="Y259" s="1"/>
      <c r="AA259" s="1"/>
      <c r="AB259" s="1"/>
      <c r="AC259" s="1"/>
      <c r="AD259" s="1"/>
      <c r="AE259" s="1"/>
      <c r="AF259" s="1"/>
      <c r="AG259" s="1"/>
      <c r="AH259" s="1"/>
      <c r="AI259" s="1"/>
      <c r="AK259" s="1"/>
      <c r="AL259" s="1"/>
      <c r="AM259" s="1"/>
      <c r="AN259" s="1"/>
    </row>
    <row r="260" spans="3:40" x14ac:dyDescent="0.3">
      <c r="AN260" s="1"/>
    </row>
    <row r="261" spans="3:40" x14ac:dyDescent="0.3">
      <c r="AN261" s="1"/>
    </row>
    <row r="262" spans="3:40" x14ac:dyDescent="0.3">
      <c r="AN262" s="1"/>
    </row>
    <row r="263" spans="3:40" x14ac:dyDescent="0.3">
      <c r="AN263" s="1"/>
    </row>
    <row r="264" spans="3:40" x14ac:dyDescent="0.3">
      <c r="AN264" s="1"/>
    </row>
    <row r="265" spans="3:40" x14ac:dyDescent="0.3">
      <c r="AN265" s="1"/>
    </row>
    <row r="266" spans="3:40" x14ac:dyDescent="0.3">
      <c r="AN266" s="1"/>
    </row>
    <row r="267" spans="3:40" x14ac:dyDescent="0.3">
      <c r="AN267" s="1"/>
    </row>
    <row r="268" spans="3:40" x14ac:dyDescent="0.3">
      <c r="AN268" s="1"/>
    </row>
    <row r="269" spans="3:40" x14ac:dyDescent="0.3">
      <c r="AN269" s="1"/>
    </row>
    <row r="270" spans="3:40" x14ac:dyDescent="0.3">
      <c r="AN270" s="1"/>
    </row>
    <row r="271" spans="3:40" x14ac:dyDescent="0.3">
      <c r="AN271" s="1"/>
    </row>
    <row r="272" spans="3:40" x14ac:dyDescent="0.3">
      <c r="AN272" s="1"/>
    </row>
    <row r="273" spans="40:40" x14ac:dyDescent="0.3">
      <c r="AN273" s="1"/>
    </row>
    <row r="274" spans="40:40" x14ac:dyDescent="0.3">
      <c r="AN274" s="1"/>
    </row>
    <row r="275" spans="40:40" x14ac:dyDescent="0.3">
      <c r="AN275" s="1"/>
    </row>
  </sheetData>
  <mergeCells count="16">
    <mergeCell ref="AG2:AI2"/>
    <mergeCell ref="AK2:AM2"/>
    <mergeCell ref="O2:O3"/>
    <mergeCell ref="AJ2:AJ3"/>
    <mergeCell ref="Z2:Z3"/>
    <mergeCell ref="V2:V3"/>
    <mergeCell ref="P2:R2"/>
    <mergeCell ref="S2:U2"/>
    <mergeCell ref="W2:Y2"/>
    <mergeCell ref="AA2:AC2"/>
    <mergeCell ref="AD2:AF2"/>
    <mergeCell ref="B2:B3"/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T98"/>
  <sheetViews>
    <sheetView zoomScale="72" zoomScaleNormal="72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defaultRowHeight="14.4" x14ac:dyDescent="0.3"/>
  <cols>
    <col min="1" max="1" width="27.6640625" customWidth="1"/>
    <col min="2" max="2" width="14.6640625" customWidth="1"/>
    <col min="3" max="4" width="14.109375" customWidth="1"/>
    <col min="5" max="5" width="15.21875" customWidth="1"/>
    <col min="6" max="6" width="15.88671875" customWidth="1"/>
    <col min="7" max="7" width="15.21875" bestFit="1" customWidth="1"/>
    <col min="8" max="8" width="14.88671875" customWidth="1"/>
    <col min="9" max="9" width="16" customWidth="1"/>
    <col min="10" max="10" width="15.21875" customWidth="1"/>
    <col min="11" max="11" width="16" customWidth="1"/>
    <col min="12" max="12" width="16.6640625" style="7" customWidth="1"/>
    <col min="13" max="13" width="18.33203125" customWidth="1"/>
    <col min="14" max="14" width="12.77734375" bestFit="1" customWidth="1"/>
    <col min="15" max="15" width="15.88671875" style="7" customWidth="1"/>
    <col min="16" max="16" width="15.88671875" style="7" hidden="1" customWidth="1"/>
    <col min="17" max="17" width="15.33203125" hidden="1" customWidth="1"/>
    <col min="18" max="18" width="15.21875" hidden="1" customWidth="1"/>
    <col min="19" max="19" width="16.6640625" hidden="1" customWidth="1"/>
    <col min="20" max="20" width="18.21875" hidden="1" customWidth="1"/>
    <col min="23" max="23" width="12.6640625" customWidth="1"/>
    <col min="25" max="25" width="13.33203125" customWidth="1"/>
  </cols>
  <sheetData>
    <row r="1" spans="1:16" s="27" customFormat="1" ht="51" customHeight="1" x14ac:dyDescent="0.3">
      <c r="A1" s="27" t="s">
        <v>0</v>
      </c>
      <c r="B1" s="27" t="s">
        <v>83</v>
      </c>
      <c r="C1" s="27" t="s">
        <v>129</v>
      </c>
      <c r="D1" s="27" t="s">
        <v>83</v>
      </c>
      <c r="E1" s="29" t="s">
        <v>159</v>
      </c>
      <c r="F1" s="29" t="s">
        <v>157</v>
      </c>
      <c r="G1" s="29" t="s">
        <v>156</v>
      </c>
      <c r="H1" s="29" t="s">
        <v>155</v>
      </c>
      <c r="I1" s="27" t="s">
        <v>83</v>
      </c>
      <c r="J1" s="27" t="s">
        <v>236</v>
      </c>
    </row>
    <row r="2" spans="1:16" ht="14.4" customHeight="1" x14ac:dyDescent="0.3">
      <c r="A2" t="s">
        <v>82</v>
      </c>
      <c r="B2" t="s">
        <v>79</v>
      </c>
      <c r="D2" t="s">
        <v>79</v>
      </c>
      <c r="E2" s="31"/>
      <c r="F2" s="31">
        <f>((((60+85)/2)/$D$34)+(((0+0)/2)/$G$34))/$C$60</f>
        <v>0.28431372549019607</v>
      </c>
      <c r="G2" s="30"/>
      <c r="H2" s="30"/>
      <c r="I2" t="s">
        <v>79</v>
      </c>
      <c r="L2"/>
      <c r="O2"/>
      <c r="P2"/>
    </row>
    <row r="3" spans="1:16" x14ac:dyDescent="0.3">
      <c r="A3" t="s">
        <v>81</v>
      </c>
      <c r="B3" t="s">
        <v>79</v>
      </c>
      <c r="D3" t="s">
        <v>79</v>
      </c>
      <c r="E3" s="31"/>
      <c r="F3" s="31">
        <f>((23/$D$34)+(0/$G$34))/$C$60</f>
        <v>9.0196078431372548E-2</v>
      </c>
      <c r="G3" s="30"/>
      <c r="H3" s="30"/>
      <c r="I3" t="s">
        <v>79</v>
      </c>
      <c r="L3"/>
      <c r="O3"/>
      <c r="P3"/>
    </row>
    <row r="4" spans="1:16" x14ac:dyDescent="0.3">
      <c r="A4" t="s">
        <v>80</v>
      </c>
      <c r="B4" t="s">
        <v>79</v>
      </c>
      <c r="D4" t="s">
        <v>79</v>
      </c>
      <c r="E4" s="31"/>
      <c r="F4" s="31">
        <f>((35/$D$34)+(0/$G$34))/$C$60</f>
        <v>0.13725490196078433</v>
      </c>
      <c r="G4" s="30"/>
      <c r="H4" s="30"/>
      <c r="I4" t="s">
        <v>79</v>
      </c>
      <c r="L4"/>
      <c r="O4"/>
      <c r="P4"/>
    </row>
    <row r="5" spans="1:16" x14ac:dyDescent="0.3">
      <c r="A5" t="s">
        <v>4</v>
      </c>
      <c r="B5" t="s">
        <v>79</v>
      </c>
      <c r="C5" s="26">
        <v>3.1372549019607842E-3</v>
      </c>
      <c r="D5" t="s">
        <v>79</v>
      </c>
      <c r="E5" s="31">
        <f>((((4)/$D$34/$C$68)))+(((0)/$G$34))/$C$68</f>
        <v>3.3333333333333335E-3</v>
      </c>
      <c r="F5" s="31">
        <f>((((4+5)/2)/$D$34)+(((0+0)/2)/$G$34))/$C$68</f>
        <v>3.7500000000000003E-3</v>
      </c>
      <c r="G5" s="31">
        <f>((((4+6)/2)/$D$34)+(((4.5+9.5)/2)/$G$34))/$C$68</f>
        <v>4.6527777777777782E-3</v>
      </c>
      <c r="H5" s="31">
        <f>((((4+5)/2)/$D$34)+(((2+10)/2)/$G$34))/$C$68</f>
        <v>4.1666666666666666E-3</v>
      </c>
      <c r="I5" t="s">
        <v>79</v>
      </c>
      <c r="J5" s="31">
        <f>(((12+16)/2)/$C$98)/$C$68</f>
        <v>4.7138047138047135E-3</v>
      </c>
      <c r="L5"/>
      <c r="O5"/>
      <c r="P5"/>
    </row>
    <row r="6" spans="1:16" x14ac:dyDescent="0.3">
      <c r="A6" t="s">
        <v>112</v>
      </c>
      <c r="B6" t="s">
        <v>79</v>
      </c>
      <c r="C6" s="26">
        <v>9.4117647058823521E-3</v>
      </c>
      <c r="D6" s="4" t="s">
        <v>79</v>
      </c>
      <c r="E6" s="31">
        <f>((((1+1)/2)/$D$34)+(((8+1.5)/2)/$G$34))/$C$60</f>
        <v>5.4738562091503273E-3</v>
      </c>
      <c r="F6" s="31">
        <f>((((1+2)/2)/$D$34)+(((6+6)/2)/$G$34))/$C$60</f>
        <v>7.8431372549019607E-3</v>
      </c>
      <c r="G6" s="31">
        <f>((((1+2)/2)/$D$34)+(((9.5+4.5)/2)/$G$34))/$C$60</f>
        <v>8.1699346405228745E-3</v>
      </c>
      <c r="H6" s="31">
        <f>((((2+4)/2)/$D$34)+(((3.5+2)/2)/$G$34))/$C$60</f>
        <v>1.2663398692810456E-2</v>
      </c>
      <c r="I6" t="s">
        <v>79</v>
      </c>
      <c r="J6" s="31">
        <f>((12+0/20)+(7+0/20))/2/$C$98/$C$60</f>
        <v>1.5052485640720934E-2</v>
      </c>
      <c r="L6"/>
      <c r="O6"/>
      <c r="P6"/>
    </row>
    <row r="7" spans="1:16" x14ac:dyDescent="0.3">
      <c r="A7" t="s">
        <v>8</v>
      </c>
      <c r="B7" t="s">
        <v>79</v>
      </c>
      <c r="C7" s="26">
        <v>2.5098039215686275E-3</v>
      </c>
      <c r="D7" t="s">
        <v>79</v>
      </c>
      <c r="E7" s="30"/>
      <c r="F7" s="31">
        <f>((0/$D$34)+(6.5/$G$34))/$C$60</f>
        <v>2.124183006535948E-3</v>
      </c>
      <c r="G7" s="30"/>
      <c r="H7" s="30"/>
      <c r="I7" t="s">
        <v>79</v>
      </c>
      <c r="J7" s="30"/>
      <c r="L7"/>
      <c r="O7"/>
      <c r="P7"/>
    </row>
    <row r="8" spans="1:16" x14ac:dyDescent="0.3">
      <c r="A8" t="s">
        <v>9</v>
      </c>
      <c r="B8" t="s">
        <v>79</v>
      </c>
      <c r="C8" s="26">
        <v>1.7254901960784314E-3</v>
      </c>
      <c r="D8" t="s">
        <v>79</v>
      </c>
      <c r="E8" s="31"/>
      <c r="F8" s="31">
        <f>((0/$D$34)+(6/$G$34))/$C$60</f>
        <v>1.9607843137254902E-3</v>
      </c>
      <c r="G8" s="31">
        <f>((0/$D$34)+(6/$G$34))/$C$60</f>
        <v>1.9607843137254902E-3</v>
      </c>
      <c r="H8" s="31">
        <f>((0/$D$34)+(6/$G$34))/$C$60</f>
        <v>1.9607843137254902E-3</v>
      </c>
      <c r="I8" t="s">
        <v>79</v>
      </c>
      <c r="J8" s="31">
        <f>(2+5/20)/$C$98/$C$60</f>
        <v>3.5650623885918006E-3</v>
      </c>
      <c r="L8"/>
      <c r="O8"/>
      <c r="P8"/>
    </row>
    <row r="9" spans="1:16" x14ac:dyDescent="0.3">
      <c r="A9" t="s">
        <v>22</v>
      </c>
      <c r="B9" t="s">
        <v>79</v>
      </c>
      <c r="C9" s="26">
        <v>1.2549019607843137E-2</v>
      </c>
      <c r="D9" t="s">
        <v>79</v>
      </c>
      <c r="E9" s="31"/>
      <c r="F9" s="31">
        <f>((0/$D$34)+(8.5/$G$34))/$C$60</f>
        <v>2.7777777777777779E-3</v>
      </c>
      <c r="G9" s="31">
        <f>((0/$D$34)+(10.5/$G$34))/$C$60</f>
        <v>3.4313725490196078E-3</v>
      </c>
      <c r="H9" s="31">
        <f>((0/$D$34)+(10/$G$34))/$C$60</f>
        <v>3.26797385620915E-3</v>
      </c>
      <c r="I9" t="s">
        <v>79</v>
      </c>
      <c r="J9" s="31">
        <f>(((4+15/20)+(2+10/20)))/2/$C$98/$C$60</f>
        <v>5.7437116260645668E-3</v>
      </c>
      <c r="L9"/>
      <c r="O9"/>
      <c r="P9"/>
    </row>
    <row r="10" spans="1:16" x14ac:dyDescent="0.3">
      <c r="A10" t="s">
        <v>152</v>
      </c>
      <c r="C10" s="26"/>
      <c r="E10" s="31">
        <f>((0/$D$34)+(6.75/$G$34))/35</f>
        <v>8.0357142857142856E-4</v>
      </c>
      <c r="F10" s="31">
        <f>((0/$D$34)+(6/$G$34))/20</f>
        <v>1.25E-3</v>
      </c>
      <c r="G10" s="31"/>
      <c r="H10" s="31"/>
      <c r="I10" t="s">
        <v>66</v>
      </c>
      <c r="J10" s="31">
        <f>(2+0/20)/$C$98/20</f>
        <v>2.0202020202020202E-3</v>
      </c>
      <c r="L10"/>
      <c r="O10"/>
      <c r="P10"/>
    </row>
    <row r="11" spans="1:16" x14ac:dyDescent="0.3">
      <c r="A11" t="s">
        <v>13</v>
      </c>
      <c r="C11" s="26"/>
      <c r="E11" s="31">
        <f>((6/$D$34)+(11/$G$34))/$C$60</f>
        <v>2.7124183006535948E-2</v>
      </c>
      <c r="F11" s="31">
        <f>((7/$D$34)+(0/$G$34))/$C$60</f>
        <v>2.7450980392156862E-2</v>
      </c>
      <c r="G11" s="31"/>
      <c r="H11" s="31"/>
      <c r="I11" t="s">
        <v>79</v>
      </c>
      <c r="J11" s="31">
        <f>(25+0/20)/$C$98/$C$60</f>
        <v>3.9611804317686676E-2</v>
      </c>
      <c r="L11"/>
      <c r="O11"/>
      <c r="P11"/>
    </row>
    <row r="12" spans="1:16" x14ac:dyDescent="0.3">
      <c r="A12" t="s">
        <v>78</v>
      </c>
      <c r="B12" t="s">
        <v>79</v>
      </c>
      <c r="C12" s="26">
        <v>1.8823529411764704E-2</v>
      </c>
      <c r="D12" s="73" t="s">
        <v>141</v>
      </c>
      <c r="E12" s="31"/>
      <c r="F12" s="31">
        <f>(1/$D$34)+(3/$G$34)</f>
        <v>6.25E-2</v>
      </c>
      <c r="G12" s="31">
        <f>(1/$D$34)+(9.5/$G$34)</f>
        <v>8.9583333333333334E-2</v>
      </c>
      <c r="H12" s="31">
        <f>(1/$D$34)+(8/$G$34)</f>
        <v>8.3333333333333343E-2</v>
      </c>
      <c r="I12" t="s">
        <v>141</v>
      </c>
      <c r="J12" s="31">
        <f>(3+10/20)/$C$98</f>
        <v>7.0707070707070704E-2</v>
      </c>
      <c r="L12"/>
      <c r="O12"/>
      <c r="P12"/>
    </row>
    <row r="13" spans="1:16" x14ac:dyDescent="0.3">
      <c r="A13" t="s">
        <v>77</v>
      </c>
      <c r="B13" t="s">
        <v>79</v>
      </c>
      <c r="C13" s="26">
        <v>1.5686274509803921E-2</v>
      </c>
      <c r="D13" t="s">
        <v>79</v>
      </c>
      <c r="E13" s="31"/>
      <c r="F13" s="31">
        <f>((2/$D$34)+(3/$G$34))/$C$60</f>
        <v>8.8235294117647058E-3</v>
      </c>
      <c r="G13" s="31">
        <f>((2/$D$34)+(4.5/$G$34))/$C$60</f>
        <v>9.3137254901960783E-3</v>
      </c>
      <c r="H13" s="31">
        <f>((2/$D$34)+(6/$G$34))/$C$60</f>
        <v>9.8039215686274508E-3</v>
      </c>
      <c r="I13" t="s">
        <v>79</v>
      </c>
      <c r="J13" s="31">
        <f>(9+0/20)/$C$98/$C$60</f>
        <v>1.4260249554367202E-2</v>
      </c>
      <c r="L13"/>
      <c r="O13"/>
      <c r="P13"/>
    </row>
    <row r="14" spans="1:16" x14ac:dyDescent="0.3">
      <c r="A14" t="s">
        <v>6</v>
      </c>
      <c r="B14" t="s">
        <v>79</v>
      </c>
      <c r="C14" s="26">
        <v>1.7254901960784313E-2</v>
      </c>
      <c r="D14" t="s">
        <v>79</v>
      </c>
      <c r="E14" s="31"/>
      <c r="F14" s="31">
        <f>((4/$D$34)+(0/$G$34))/$C$60</f>
        <v>1.5686274509803921E-2</v>
      </c>
      <c r="G14" s="31">
        <f>((5/$D$34)+(2.5/$G$34))/$C$60</f>
        <v>2.042483660130719E-2</v>
      </c>
      <c r="H14" s="31">
        <f>((5/$D$34)+(10/$G$34))/$C$60</f>
        <v>2.2875816993464054E-2</v>
      </c>
      <c r="I14" t="s">
        <v>79</v>
      </c>
      <c r="J14" s="31">
        <f>(12+0/20)/$C$98/$C$60</f>
        <v>1.9013666072489603E-2</v>
      </c>
      <c r="L14"/>
      <c r="O14"/>
      <c r="P14"/>
    </row>
    <row r="15" spans="1:16" x14ac:dyDescent="0.3">
      <c r="A15" t="s">
        <v>10</v>
      </c>
      <c r="B15" t="s">
        <v>79</v>
      </c>
      <c r="C15" s="26">
        <v>3.1372549019607843E-2</v>
      </c>
      <c r="E15" s="7"/>
      <c r="F15" s="7"/>
      <c r="G15" s="7"/>
      <c r="H15" s="7"/>
      <c r="J15" s="7"/>
      <c r="L15"/>
      <c r="O15"/>
      <c r="P15"/>
    </row>
    <row r="16" spans="1:16" x14ac:dyDescent="0.3">
      <c r="A16" t="s">
        <v>23</v>
      </c>
      <c r="C16" s="26"/>
      <c r="D16" t="s">
        <v>79</v>
      </c>
      <c r="E16" s="31"/>
      <c r="F16" s="31">
        <f>((4/$D$34)+(0/$G$34))/$C$60</f>
        <v>1.5686274509803921E-2</v>
      </c>
      <c r="G16" s="31">
        <f>((3/$D$34)+(4.5/$G$34))/$C$60</f>
        <v>1.3235294117647057E-2</v>
      </c>
      <c r="H16" s="31">
        <f>((4/$D$34)+(0/$G$34))/$C$60</f>
        <v>1.5686274509803921E-2</v>
      </c>
      <c r="I16" t="s">
        <v>79</v>
      </c>
      <c r="J16" s="31">
        <f>(7+0/20)/$C$98/$C$65</f>
        <v>3.928170594837261E-3</v>
      </c>
      <c r="L16"/>
      <c r="O16"/>
      <c r="P16"/>
    </row>
    <row r="17" spans="1:16" x14ac:dyDescent="0.3">
      <c r="A17" t="s">
        <v>113</v>
      </c>
      <c r="B17" t="s">
        <v>79</v>
      </c>
      <c r="C17" s="26">
        <v>3.9215686274509803E-3</v>
      </c>
      <c r="D17" t="s">
        <v>79</v>
      </c>
      <c r="E17" s="31">
        <f>((3/$D$34)+(1/$G$34))/$C$65</f>
        <v>4.2824074074074075E-3</v>
      </c>
      <c r="F17" s="31">
        <f>((3/$D$34)+(0/$G$34))/$C$65</f>
        <v>4.1666666666666666E-3</v>
      </c>
      <c r="G17" s="31">
        <f>((3/$D$34)+(2.5/$G$34))/$C$65</f>
        <v>4.456018518518518E-3</v>
      </c>
      <c r="H17" s="31">
        <f>((2/$D$34)+(8.5/$G$34))/$C$65</f>
        <v>3.7615740740740747E-3</v>
      </c>
      <c r="I17" t="s">
        <v>79</v>
      </c>
      <c r="J17" s="31">
        <f>(5+0/20)/$C$98/$C$65</f>
        <v>2.8058361391694723E-3</v>
      </c>
      <c r="L17"/>
      <c r="O17"/>
      <c r="P17"/>
    </row>
    <row r="18" spans="1:16" x14ac:dyDescent="0.3">
      <c r="A18" t="s">
        <v>25</v>
      </c>
      <c r="B18" t="s">
        <v>79</v>
      </c>
      <c r="C18" s="26">
        <v>0.11294117647058824</v>
      </c>
      <c r="D18" t="s">
        <v>79</v>
      </c>
      <c r="E18" s="31"/>
      <c r="F18" s="31">
        <f>((2/$D$34)+(6/$G$34))</f>
        <v>0.125</v>
      </c>
      <c r="G18" s="31">
        <f>((2/$D$34)+(0/$G$34))</f>
        <v>0.1</v>
      </c>
      <c r="H18" s="7"/>
      <c r="I18" t="s">
        <v>79</v>
      </c>
      <c r="J18" s="33">
        <f>(4+0/20)/$C$98</f>
        <v>8.0808080808080815E-2</v>
      </c>
      <c r="L18"/>
      <c r="O18"/>
      <c r="P18"/>
    </row>
    <row r="19" spans="1:16" x14ac:dyDescent="0.3">
      <c r="A19" t="s">
        <v>20</v>
      </c>
      <c r="B19" t="s">
        <v>79</v>
      </c>
      <c r="C19" s="26">
        <v>3.8431372549019606E-2</v>
      </c>
      <c r="D19" t="s">
        <v>79</v>
      </c>
      <c r="E19" s="31">
        <f>(0/$D$34)+(7.5/$G$34)</f>
        <v>3.125E-2</v>
      </c>
      <c r="F19" s="31">
        <f>(0/$D$34)+(6.5/$G$34)</f>
        <v>2.7083333333333334E-2</v>
      </c>
      <c r="G19" s="31">
        <f>(0/$D$34)+(6/$G$34)</f>
        <v>2.5000000000000001E-2</v>
      </c>
      <c r="H19" s="31">
        <f>(0/$D$34)+(8/$G$34)</f>
        <v>3.3333333333333333E-2</v>
      </c>
      <c r="I19" t="s">
        <v>79</v>
      </c>
      <c r="J19" s="33">
        <f>(1+5/20)/$C$98</f>
        <v>2.5252525252525252E-2</v>
      </c>
      <c r="L19"/>
      <c r="O19"/>
      <c r="P19"/>
    </row>
    <row r="20" spans="1:16" x14ac:dyDescent="0.3">
      <c r="A20" t="s">
        <v>76</v>
      </c>
      <c r="B20" t="s">
        <v>79</v>
      </c>
      <c r="C20" s="26"/>
      <c r="D20" t="s">
        <v>79</v>
      </c>
      <c r="E20" s="7"/>
      <c r="F20" s="7"/>
      <c r="G20" s="7"/>
      <c r="H20" s="7"/>
      <c r="I20" t="s">
        <v>79</v>
      </c>
      <c r="J20" s="31">
        <f>(125+0/20)/$C$98/$C$65</f>
        <v>7.0145903479236812E-2</v>
      </c>
      <c r="L20"/>
      <c r="O20"/>
      <c r="P20"/>
    </row>
    <row r="21" spans="1:16" x14ac:dyDescent="0.3">
      <c r="A21" t="s">
        <v>37</v>
      </c>
      <c r="B21" t="s">
        <v>79</v>
      </c>
      <c r="C21" s="26"/>
      <c r="D21" t="s">
        <v>79</v>
      </c>
      <c r="E21" s="31"/>
      <c r="F21" s="31">
        <f>((4/$D$34)+(0/$G$34))/$C$60</f>
        <v>1.5686274509803921E-2</v>
      </c>
      <c r="G21" s="31">
        <f>((3/$D$34)+(2.5/$G$34))/$C$60</f>
        <v>1.2581699346405227E-2</v>
      </c>
      <c r="H21" s="31">
        <f>((3/$D$34)+(9/$G$34))/$C$60</f>
        <v>1.4705882352941176E-2</v>
      </c>
      <c r="I21" t="s">
        <v>79</v>
      </c>
      <c r="J21" s="31">
        <f>(12+0/20)/$C$98/$C$60</f>
        <v>1.9013666072489603E-2</v>
      </c>
      <c r="L21"/>
      <c r="O21"/>
      <c r="P21"/>
    </row>
    <row r="22" spans="1:16" x14ac:dyDescent="0.3">
      <c r="A22" t="s">
        <v>36</v>
      </c>
      <c r="B22" t="s">
        <v>79</v>
      </c>
      <c r="C22" s="26"/>
      <c r="D22" t="s">
        <v>79</v>
      </c>
      <c r="E22" s="31"/>
      <c r="F22" s="31">
        <f>((3/$D$34)+(3/$G$34))/$C$60</f>
        <v>1.2745098039215686E-2</v>
      </c>
      <c r="G22" s="31">
        <f>((5/$D$34)+(2.5/$G$34))/$C$60</f>
        <v>2.042483660130719E-2</v>
      </c>
      <c r="H22" s="31">
        <f>((5/$D$34)+(0/$G$34))/$C$60</f>
        <v>1.9607843137254902E-2</v>
      </c>
      <c r="I22" t="s">
        <v>79</v>
      </c>
      <c r="J22" s="31">
        <f>(10+0/20)/$C$98/$C$60</f>
        <v>1.5844721727074667E-2</v>
      </c>
      <c r="L22"/>
      <c r="O22"/>
      <c r="P22"/>
    </row>
    <row r="23" spans="1:16" x14ac:dyDescent="0.3">
      <c r="A23" t="s">
        <v>42</v>
      </c>
      <c r="B23" t="s">
        <v>79</v>
      </c>
      <c r="C23" s="26"/>
      <c r="D23" t="s">
        <v>79</v>
      </c>
      <c r="E23" s="31"/>
      <c r="F23" s="31">
        <f>((2/$D$34)+(6/$G$34))/$C$60</f>
        <v>9.8039215686274508E-3</v>
      </c>
      <c r="G23" s="31">
        <f>((2/$D$34)+(4.5/$G$34))/$C$60</f>
        <v>9.3137254901960783E-3</v>
      </c>
      <c r="H23" s="31">
        <f>((3/$D$34)+(6.5/$G$34))/$C$60</f>
        <v>1.3888888888888888E-2</v>
      </c>
      <c r="I23" t="s">
        <v>79</v>
      </c>
      <c r="J23" s="31">
        <f>(10+0/20)/$C$98/$C$60</f>
        <v>1.5844721727074667E-2</v>
      </c>
      <c r="L23"/>
      <c r="O23"/>
      <c r="P23"/>
    </row>
    <row r="24" spans="1:16" x14ac:dyDescent="0.3">
      <c r="A24" t="s">
        <v>75</v>
      </c>
      <c r="B24" t="s">
        <v>74</v>
      </c>
      <c r="C24" s="26">
        <v>0.62745098039215685</v>
      </c>
      <c r="D24" t="s">
        <v>74</v>
      </c>
      <c r="E24" s="7"/>
      <c r="F24" s="7"/>
      <c r="G24" s="7"/>
      <c r="H24" s="7"/>
      <c r="I24" t="s">
        <v>74</v>
      </c>
      <c r="J24" s="7"/>
      <c r="L24"/>
      <c r="O24"/>
      <c r="P24"/>
    </row>
    <row r="25" spans="1:16" x14ac:dyDescent="0.3">
      <c r="A25" t="s">
        <v>73</v>
      </c>
      <c r="B25" t="s">
        <v>72</v>
      </c>
      <c r="C25" s="26">
        <v>0.11764705882352941</v>
      </c>
      <c r="D25" t="s">
        <v>72</v>
      </c>
      <c r="E25" s="31"/>
      <c r="F25" s="31">
        <f>((((7+12)/2)/$D$34)+(((6+6)/2)/$G$34))</f>
        <v>0.5</v>
      </c>
      <c r="G25" s="7"/>
      <c r="H25" s="7"/>
      <c r="I25" t="s">
        <v>72</v>
      </c>
      <c r="J25" s="7"/>
      <c r="L25"/>
      <c r="O25"/>
      <c r="P25"/>
    </row>
    <row r="26" spans="1:16" x14ac:dyDescent="0.3">
      <c r="A26" t="s">
        <v>71</v>
      </c>
      <c r="B26" t="s">
        <v>69</v>
      </c>
      <c r="C26" s="26">
        <v>0.15686274509803921</v>
      </c>
      <c r="D26" t="s">
        <v>69</v>
      </c>
      <c r="E26" s="31"/>
      <c r="F26" s="31">
        <f>((30/$D$34)+(0/$G$34))</f>
        <v>1.5</v>
      </c>
      <c r="G26" s="7"/>
      <c r="H26" s="7"/>
      <c r="I26" t="s">
        <v>69</v>
      </c>
      <c r="J26" s="31">
        <f>(160+0/20)/$C$98</f>
        <v>3.2323232323232323</v>
      </c>
      <c r="L26"/>
      <c r="O26"/>
      <c r="P26"/>
    </row>
    <row r="27" spans="1:16" x14ac:dyDescent="0.3">
      <c r="A27" t="s">
        <v>70</v>
      </c>
      <c r="B27" t="s">
        <v>69</v>
      </c>
      <c r="C27" s="26">
        <v>2.1960784313725491E-2</v>
      </c>
      <c r="D27" t="s">
        <v>69</v>
      </c>
      <c r="E27" s="31"/>
      <c r="F27" s="31">
        <f>((7/$D$34)+(6/$G$34))</f>
        <v>0.375</v>
      </c>
      <c r="G27" s="7"/>
      <c r="H27" s="7"/>
      <c r="I27" t="s">
        <v>69</v>
      </c>
      <c r="J27" s="31">
        <f>(50+0/20)/$C$98</f>
        <v>1.0101010101010102</v>
      </c>
      <c r="L27"/>
      <c r="O27"/>
      <c r="P27"/>
    </row>
    <row r="28" spans="1:16" x14ac:dyDescent="0.3">
      <c r="A28" t="s">
        <v>68</v>
      </c>
      <c r="B28" t="s">
        <v>66</v>
      </c>
      <c r="C28" s="26">
        <v>3.1372549019607843E-2</v>
      </c>
      <c r="D28" t="s">
        <v>66</v>
      </c>
      <c r="E28" s="7"/>
      <c r="F28" s="7"/>
      <c r="G28" s="7"/>
      <c r="H28" s="7"/>
      <c r="I28" t="s">
        <v>66</v>
      </c>
      <c r="J28" s="7"/>
      <c r="L28"/>
      <c r="O28"/>
      <c r="P28"/>
    </row>
    <row r="29" spans="1:16" x14ac:dyDescent="0.3">
      <c r="A29" t="s">
        <v>67</v>
      </c>
      <c r="B29" t="s">
        <v>66</v>
      </c>
      <c r="C29" s="26">
        <v>1.5686274509803921E-3</v>
      </c>
      <c r="D29" t="s">
        <v>66</v>
      </c>
      <c r="E29" s="7"/>
      <c r="F29" s="7"/>
      <c r="G29" s="7"/>
      <c r="H29" s="7"/>
      <c r="I29" t="s">
        <v>66</v>
      </c>
      <c r="J29" s="7"/>
      <c r="L29"/>
      <c r="O29"/>
      <c r="P29"/>
    </row>
    <row r="30" spans="1:16" x14ac:dyDescent="0.3">
      <c r="A30" t="s">
        <v>114</v>
      </c>
      <c r="B30" t="s">
        <v>66</v>
      </c>
      <c r="C30" s="26">
        <v>4.7058823529411761E-3</v>
      </c>
      <c r="D30" t="s">
        <v>66</v>
      </c>
      <c r="E30" s="7"/>
      <c r="F30" s="7"/>
      <c r="G30" s="7"/>
      <c r="H30" s="7"/>
      <c r="J30" s="7"/>
      <c r="L30"/>
      <c r="O30"/>
      <c r="P30"/>
    </row>
    <row r="31" spans="1:16" x14ac:dyDescent="0.3">
      <c r="A31" t="s">
        <v>143</v>
      </c>
      <c r="B31" t="s">
        <v>79</v>
      </c>
      <c r="D31" t="s">
        <v>79</v>
      </c>
      <c r="E31" s="7"/>
      <c r="F31" s="7"/>
      <c r="G31" s="7"/>
      <c r="H31" s="32">
        <f>(0.5/$G$34)/14</f>
        <v>1.488095238095238E-4</v>
      </c>
      <c r="J31" s="7"/>
      <c r="L31"/>
      <c r="O31"/>
      <c r="P31"/>
    </row>
    <row r="32" spans="1:16" x14ac:dyDescent="0.3">
      <c r="K32" s="7"/>
      <c r="L32" s="31"/>
      <c r="N32" s="7"/>
      <c r="P32"/>
    </row>
    <row r="33" spans="1:16" x14ac:dyDescent="0.3">
      <c r="A33" t="s">
        <v>65</v>
      </c>
      <c r="O33"/>
      <c r="P33"/>
    </row>
    <row r="34" spans="1:16" x14ac:dyDescent="0.3">
      <c r="B34">
        <v>1</v>
      </c>
      <c r="C34" t="s">
        <v>61</v>
      </c>
      <c r="D34">
        <v>20</v>
      </c>
      <c r="F34" t="s">
        <v>64</v>
      </c>
      <c r="G34">
        <v>240</v>
      </c>
      <c r="H34" t="s">
        <v>63</v>
      </c>
      <c r="O34"/>
      <c r="P34"/>
    </row>
    <row r="35" spans="1:16" x14ac:dyDescent="0.3">
      <c r="B35">
        <v>1</v>
      </c>
      <c r="C35" t="s">
        <v>64</v>
      </c>
      <c r="D35">
        <v>12</v>
      </c>
      <c r="F35" t="s">
        <v>63</v>
      </c>
      <c r="O35"/>
      <c r="P35"/>
    </row>
    <row r="36" spans="1:16" x14ac:dyDescent="0.3">
      <c r="O36"/>
      <c r="P36"/>
    </row>
    <row r="37" spans="1:16" x14ac:dyDescent="0.3">
      <c r="B37" t="s">
        <v>62</v>
      </c>
      <c r="C37" s="24" t="s">
        <v>61</v>
      </c>
      <c r="D37" s="24" t="s">
        <v>60</v>
      </c>
      <c r="E37" s="24" t="s">
        <v>59</v>
      </c>
      <c r="F37" s="24"/>
      <c r="G37" s="24" t="s">
        <v>61</v>
      </c>
      <c r="H37" s="24" t="s">
        <v>60</v>
      </c>
      <c r="I37" s="24" t="s">
        <v>59</v>
      </c>
      <c r="O37"/>
      <c r="P37"/>
    </row>
    <row r="38" spans="1:16" x14ac:dyDescent="0.3">
      <c r="A38" t="s">
        <v>82</v>
      </c>
      <c r="B38" s="25">
        <f t="shared" ref="B38:B47" si="0">(1*C38)+(D38/$D$34)+(E38/$G$34)</f>
        <v>0.6</v>
      </c>
      <c r="C38">
        <v>0</v>
      </c>
      <c r="D38">
        <v>12</v>
      </c>
      <c r="E38">
        <v>0</v>
      </c>
      <c r="F38" s="25">
        <f t="shared" ref="F38:F57" si="1">(1*G38)+(H38/$D$34)+(I38/$G$34)</f>
        <v>0.41250000000000003</v>
      </c>
      <c r="G38">
        <v>0</v>
      </c>
      <c r="H38">
        <v>8</v>
      </c>
      <c r="I38">
        <v>3</v>
      </c>
      <c r="O38"/>
      <c r="P38"/>
    </row>
    <row r="39" spans="1:16" x14ac:dyDescent="0.3">
      <c r="A39" t="s">
        <v>81</v>
      </c>
      <c r="B39" s="25">
        <f t="shared" si="0"/>
        <v>0.19166666666666665</v>
      </c>
      <c r="C39">
        <v>0</v>
      </c>
      <c r="D39">
        <v>3</v>
      </c>
      <c r="E39">
        <v>10</v>
      </c>
      <c r="F39" s="25">
        <f t="shared" si="1"/>
        <v>7.0833333333333331E-2</v>
      </c>
      <c r="G39">
        <v>0</v>
      </c>
      <c r="H39">
        <v>1</v>
      </c>
      <c r="I39">
        <v>5</v>
      </c>
      <c r="O39"/>
      <c r="P39"/>
    </row>
    <row r="40" spans="1:16" x14ac:dyDescent="0.3">
      <c r="A40" t="s">
        <v>80</v>
      </c>
      <c r="B40" s="25">
        <f t="shared" si="0"/>
        <v>0.25</v>
      </c>
      <c r="C40">
        <v>0</v>
      </c>
      <c r="D40">
        <v>5</v>
      </c>
      <c r="E40">
        <v>0</v>
      </c>
      <c r="F40" s="25">
        <f t="shared" si="1"/>
        <v>0.42500000000000004</v>
      </c>
      <c r="G40">
        <v>0</v>
      </c>
      <c r="H40">
        <v>8</v>
      </c>
      <c r="I40">
        <v>6</v>
      </c>
      <c r="O40"/>
      <c r="P40"/>
    </row>
    <row r="41" spans="1:16" x14ac:dyDescent="0.3">
      <c r="A41" t="s">
        <v>4</v>
      </c>
      <c r="B41" s="25">
        <f t="shared" si="0"/>
        <v>0.24166666666666667</v>
      </c>
      <c r="C41">
        <v>0</v>
      </c>
      <c r="D41">
        <v>4</v>
      </c>
      <c r="E41">
        <v>10</v>
      </c>
      <c r="F41" s="25">
        <f t="shared" si="1"/>
        <v>0.25</v>
      </c>
      <c r="G41">
        <v>0</v>
      </c>
      <c r="H41">
        <v>5</v>
      </c>
      <c r="I41">
        <v>0</v>
      </c>
      <c r="O41"/>
      <c r="P41"/>
    </row>
    <row r="42" spans="1:16" x14ac:dyDescent="0.3">
      <c r="A42" t="s">
        <v>8</v>
      </c>
      <c r="B42" s="25">
        <f t="shared" si="0"/>
        <v>0.21250000000000002</v>
      </c>
      <c r="C42">
        <v>0</v>
      </c>
      <c r="D42">
        <v>4</v>
      </c>
      <c r="E42">
        <v>3</v>
      </c>
      <c r="F42" s="25">
        <f t="shared" si="1"/>
        <v>0.23333333333333334</v>
      </c>
      <c r="G42">
        <v>0</v>
      </c>
      <c r="H42">
        <v>4</v>
      </c>
      <c r="I42">
        <v>8</v>
      </c>
      <c r="O42"/>
      <c r="P42"/>
    </row>
    <row r="43" spans="1:16" x14ac:dyDescent="0.3">
      <c r="A43" t="s">
        <v>9</v>
      </c>
      <c r="B43" s="25">
        <f t="shared" si="0"/>
        <v>0.25</v>
      </c>
      <c r="C43">
        <v>0</v>
      </c>
      <c r="D43">
        <v>5</v>
      </c>
      <c r="E43">
        <v>0</v>
      </c>
      <c r="F43" s="25">
        <f t="shared" si="1"/>
        <v>0.16666666666666666</v>
      </c>
      <c r="G43">
        <v>0</v>
      </c>
      <c r="H43">
        <v>3</v>
      </c>
      <c r="I43">
        <v>4</v>
      </c>
      <c r="O43"/>
      <c r="P43"/>
    </row>
    <row r="44" spans="1:16" x14ac:dyDescent="0.3">
      <c r="A44" t="s">
        <v>22</v>
      </c>
      <c r="B44" s="25">
        <f t="shared" si="0"/>
        <v>0.4</v>
      </c>
      <c r="C44">
        <v>0</v>
      </c>
      <c r="D44">
        <v>8</v>
      </c>
      <c r="E44">
        <v>0</v>
      </c>
      <c r="F44" s="25">
        <f t="shared" si="1"/>
        <v>0.25</v>
      </c>
      <c r="G44">
        <v>0</v>
      </c>
      <c r="H44">
        <v>5</v>
      </c>
      <c r="I44">
        <v>0</v>
      </c>
      <c r="O44"/>
      <c r="P44"/>
    </row>
    <row r="45" spans="1:16" x14ac:dyDescent="0.3">
      <c r="A45" t="s">
        <v>78</v>
      </c>
      <c r="B45" s="25">
        <f t="shared" si="0"/>
        <v>2.8</v>
      </c>
      <c r="C45">
        <v>2</v>
      </c>
      <c r="D45">
        <v>16</v>
      </c>
      <c r="E45">
        <v>0</v>
      </c>
      <c r="F45" s="25">
        <f t="shared" si="1"/>
        <v>2.35</v>
      </c>
      <c r="G45">
        <v>2</v>
      </c>
      <c r="H45">
        <v>7</v>
      </c>
      <c r="I45">
        <v>0</v>
      </c>
      <c r="O45"/>
      <c r="P45"/>
    </row>
    <row r="46" spans="1:16" x14ac:dyDescent="0.3">
      <c r="A46" t="s">
        <v>77</v>
      </c>
      <c r="B46" s="25">
        <f t="shared" si="0"/>
        <v>5.5</v>
      </c>
      <c r="C46">
        <v>5</v>
      </c>
      <c r="D46">
        <v>10</v>
      </c>
      <c r="E46">
        <v>0</v>
      </c>
      <c r="F46" s="25">
        <f t="shared" si="1"/>
        <v>2</v>
      </c>
      <c r="G46">
        <v>2</v>
      </c>
      <c r="H46">
        <v>0</v>
      </c>
      <c r="I46">
        <v>0</v>
      </c>
      <c r="O46"/>
      <c r="P46"/>
    </row>
    <row r="47" spans="1:16" x14ac:dyDescent="0.3">
      <c r="A47" t="s">
        <v>6</v>
      </c>
      <c r="B47" s="25">
        <f t="shared" si="0"/>
        <v>2.2999999999999998</v>
      </c>
      <c r="C47">
        <v>2</v>
      </c>
      <c r="D47">
        <v>6</v>
      </c>
      <c r="E47">
        <v>0</v>
      </c>
      <c r="F47" s="25">
        <f t="shared" si="1"/>
        <v>1.65</v>
      </c>
      <c r="G47">
        <v>1</v>
      </c>
      <c r="H47">
        <v>13</v>
      </c>
      <c r="I47">
        <v>0</v>
      </c>
      <c r="O47"/>
      <c r="P47"/>
    </row>
    <row r="48" spans="1:16" x14ac:dyDescent="0.3">
      <c r="A48" t="s">
        <v>76</v>
      </c>
      <c r="B48" s="25"/>
      <c r="F48" s="25">
        <f t="shared" si="1"/>
        <v>2.35</v>
      </c>
      <c r="G48">
        <v>2</v>
      </c>
      <c r="H48">
        <v>7</v>
      </c>
      <c r="I48">
        <v>0</v>
      </c>
      <c r="O48"/>
      <c r="P48"/>
    </row>
    <row r="49" spans="1:16" x14ac:dyDescent="0.3">
      <c r="A49" t="s">
        <v>37</v>
      </c>
      <c r="B49" s="25"/>
      <c r="F49" s="25">
        <f t="shared" si="1"/>
        <v>4.6500000000000004</v>
      </c>
      <c r="G49">
        <v>4</v>
      </c>
      <c r="H49">
        <v>13</v>
      </c>
      <c r="I49">
        <v>0</v>
      </c>
      <c r="O49"/>
      <c r="P49"/>
    </row>
    <row r="50" spans="1:16" x14ac:dyDescent="0.3">
      <c r="A50" t="s">
        <v>36</v>
      </c>
      <c r="B50" s="25">
        <f t="shared" ref="B50:B57" si="2">(1*C50)+(D50/$D$34)+(E50/$G$34)</f>
        <v>1.6</v>
      </c>
      <c r="C50">
        <v>1</v>
      </c>
      <c r="D50">
        <v>12</v>
      </c>
      <c r="E50">
        <v>0</v>
      </c>
      <c r="F50" s="25">
        <f t="shared" si="1"/>
        <v>1.35</v>
      </c>
      <c r="G50">
        <v>1</v>
      </c>
      <c r="H50">
        <v>7</v>
      </c>
      <c r="I50">
        <v>0</v>
      </c>
      <c r="O50"/>
      <c r="P50"/>
    </row>
    <row r="51" spans="1:16" x14ac:dyDescent="0.3">
      <c r="A51" t="s">
        <v>42</v>
      </c>
      <c r="B51" s="25">
        <f t="shared" si="2"/>
        <v>1.1499999999999999</v>
      </c>
      <c r="C51">
        <v>1</v>
      </c>
      <c r="D51">
        <v>3</v>
      </c>
      <c r="E51">
        <v>0</v>
      </c>
      <c r="F51" s="25">
        <f t="shared" si="1"/>
        <v>1.65</v>
      </c>
      <c r="G51">
        <v>1</v>
      </c>
      <c r="H51">
        <v>13</v>
      </c>
      <c r="I51">
        <v>0</v>
      </c>
      <c r="O51"/>
      <c r="P51"/>
    </row>
    <row r="52" spans="1:16" x14ac:dyDescent="0.3">
      <c r="A52" t="s">
        <v>75</v>
      </c>
      <c r="B52" s="25">
        <f t="shared" si="2"/>
        <v>12.5</v>
      </c>
      <c r="C52">
        <v>12</v>
      </c>
      <c r="D52">
        <v>10</v>
      </c>
      <c r="E52">
        <v>0</v>
      </c>
      <c r="F52" s="25">
        <f t="shared" si="1"/>
        <v>10</v>
      </c>
      <c r="G52">
        <v>10</v>
      </c>
      <c r="H52">
        <v>0</v>
      </c>
      <c r="I52">
        <v>0</v>
      </c>
      <c r="O52"/>
      <c r="P52"/>
    </row>
    <row r="53" spans="1:16" x14ac:dyDescent="0.3">
      <c r="A53" t="s">
        <v>73</v>
      </c>
      <c r="B53" s="25">
        <f t="shared" si="2"/>
        <v>1.5</v>
      </c>
      <c r="C53">
        <v>1</v>
      </c>
      <c r="D53">
        <v>10</v>
      </c>
      <c r="E53">
        <v>0</v>
      </c>
      <c r="F53" s="25">
        <f t="shared" si="1"/>
        <v>1.4249999999999998</v>
      </c>
      <c r="G53">
        <v>1</v>
      </c>
      <c r="H53">
        <v>8</v>
      </c>
      <c r="I53">
        <v>6</v>
      </c>
      <c r="O53"/>
      <c r="P53"/>
    </row>
    <row r="54" spans="1:16" x14ac:dyDescent="0.3">
      <c r="A54" t="s">
        <v>71</v>
      </c>
      <c r="B54" s="25">
        <f t="shared" si="2"/>
        <v>1.5</v>
      </c>
      <c r="C54">
        <v>1</v>
      </c>
      <c r="D54">
        <v>10</v>
      </c>
      <c r="E54">
        <v>0</v>
      </c>
      <c r="F54" s="25">
        <f t="shared" si="1"/>
        <v>1</v>
      </c>
      <c r="G54">
        <v>1</v>
      </c>
      <c r="H54">
        <v>0</v>
      </c>
      <c r="I54">
        <v>0</v>
      </c>
      <c r="O54"/>
      <c r="P54"/>
    </row>
    <row r="55" spans="1:16" x14ac:dyDescent="0.3">
      <c r="A55" t="s">
        <v>70</v>
      </c>
      <c r="B55" s="25">
        <f t="shared" si="2"/>
        <v>0.35</v>
      </c>
      <c r="C55">
        <v>0</v>
      </c>
      <c r="D55">
        <v>7</v>
      </c>
      <c r="E55">
        <v>0</v>
      </c>
      <c r="F55" s="25">
        <f t="shared" si="1"/>
        <v>0.2</v>
      </c>
      <c r="G55">
        <v>0</v>
      </c>
      <c r="H55">
        <v>4</v>
      </c>
      <c r="I55">
        <v>0</v>
      </c>
      <c r="O55"/>
      <c r="P55"/>
    </row>
    <row r="56" spans="1:16" x14ac:dyDescent="0.3">
      <c r="A56" t="s">
        <v>68</v>
      </c>
      <c r="B56" s="25">
        <f t="shared" si="2"/>
        <v>0.8</v>
      </c>
      <c r="C56">
        <v>0</v>
      </c>
      <c r="D56">
        <v>16</v>
      </c>
      <c r="E56">
        <v>0</v>
      </c>
      <c r="F56" s="25">
        <f t="shared" si="1"/>
        <v>0.52500000000000002</v>
      </c>
      <c r="G56">
        <v>0</v>
      </c>
      <c r="H56">
        <v>10</v>
      </c>
      <c r="I56">
        <v>6</v>
      </c>
      <c r="O56"/>
      <c r="P56"/>
    </row>
    <row r="57" spans="1:16" x14ac:dyDescent="0.3">
      <c r="A57" t="s">
        <v>67</v>
      </c>
      <c r="B57" s="25">
        <f t="shared" si="2"/>
        <v>4.1666666666666664E-2</v>
      </c>
      <c r="C57">
        <v>0</v>
      </c>
      <c r="D57">
        <v>0</v>
      </c>
      <c r="E57">
        <v>10</v>
      </c>
      <c r="F57" s="25">
        <f t="shared" si="1"/>
        <v>0.05</v>
      </c>
      <c r="G57">
        <v>0</v>
      </c>
      <c r="H57">
        <v>1</v>
      </c>
      <c r="I57">
        <v>0</v>
      </c>
      <c r="O57"/>
      <c r="P57"/>
    </row>
    <row r="58" spans="1:16" x14ac:dyDescent="0.3">
      <c r="O58"/>
      <c r="P58"/>
    </row>
    <row r="59" spans="1:16" x14ac:dyDescent="0.3">
      <c r="A59" t="s">
        <v>150</v>
      </c>
      <c r="O59"/>
      <c r="P59"/>
    </row>
    <row r="60" spans="1:16" x14ac:dyDescent="0.3">
      <c r="A60">
        <v>1</v>
      </c>
      <c r="B60" s="6" t="s">
        <v>115</v>
      </c>
      <c r="C60">
        <v>12.75</v>
      </c>
      <c r="D60" s="6" t="s">
        <v>116</v>
      </c>
      <c r="I60" s="6"/>
      <c r="J60" s="7"/>
      <c r="K60" s="6"/>
      <c r="L60"/>
      <c r="O60"/>
      <c r="P60"/>
    </row>
    <row r="61" spans="1:16" x14ac:dyDescent="0.3">
      <c r="A61">
        <v>1</v>
      </c>
      <c r="B61" s="6" t="s">
        <v>117</v>
      </c>
      <c r="C61">
        <v>25</v>
      </c>
      <c r="D61" s="6" t="s">
        <v>118</v>
      </c>
      <c r="E61">
        <f>C61*C63</f>
        <v>500</v>
      </c>
      <c r="F61" s="6" t="s">
        <v>121</v>
      </c>
      <c r="G61">
        <v>2.5</v>
      </c>
      <c r="H61" s="6" t="s">
        <v>125</v>
      </c>
      <c r="I61" s="6"/>
      <c r="J61" s="7"/>
      <c r="K61" s="6"/>
      <c r="L61"/>
      <c r="O61"/>
      <c r="P61"/>
    </row>
    <row r="62" spans="1:16" x14ac:dyDescent="0.3">
      <c r="A62">
        <v>1</v>
      </c>
      <c r="B62" s="6" t="s">
        <v>119</v>
      </c>
      <c r="C62">
        <v>10</v>
      </c>
      <c r="D62" s="6" t="s">
        <v>118</v>
      </c>
      <c r="I62" s="6"/>
      <c r="J62" s="7"/>
      <c r="K62" s="6"/>
      <c r="L62"/>
      <c r="O62"/>
      <c r="P62"/>
    </row>
    <row r="63" spans="1:16" x14ac:dyDescent="0.3">
      <c r="A63">
        <v>1</v>
      </c>
      <c r="B63" s="6" t="s">
        <v>120</v>
      </c>
      <c r="C63">
        <v>20</v>
      </c>
      <c r="D63" s="6" t="s">
        <v>121</v>
      </c>
      <c r="I63" s="6"/>
      <c r="J63" s="7"/>
      <c r="K63" s="6"/>
      <c r="L63"/>
      <c r="O63"/>
      <c r="P63"/>
    </row>
    <row r="64" spans="1:16" x14ac:dyDescent="0.3">
      <c r="A64">
        <v>1</v>
      </c>
      <c r="B64" s="6" t="s">
        <v>120</v>
      </c>
      <c r="C64">
        <v>2</v>
      </c>
      <c r="D64" s="6" t="s">
        <v>122</v>
      </c>
      <c r="I64" s="6"/>
      <c r="J64" s="7"/>
      <c r="K64" s="6"/>
      <c r="L64"/>
      <c r="O64"/>
      <c r="P64"/>
    </row>
    <row r="65" spans="1:16" x14ac:dyDescent="0.3">
      <c r="A65">
        <v>1</v>
      </c>
      <c r="B65" s="6" t="s">
        <v>142</v>
      </c>
      <c r="C65">
        <v>36</v>
      </c>
      <c r="D65" s="6" t="s">
        <v>133</v>
      </c>
      <c r="I65" s="6"/>
      <c r="J65" s="7"/>
      <c r="K65" s="6"/>
      <c r="L65"/>
      <c r="O65"/>
      <c r="P65"/>
    </row>
    <row r="66" spans="1:16" x14ac:dyDescent="0.3">
      <c r="A66">
        <v>1</v>
      </c>
      <c r="B66" s="6" t="s">
        <v>244</v>
      </c>
      <c r="C66">
        <v>2240</v>
      </c>
      <c r="D66" s="6" t="s">
        <v>133</v>
      </c>
      <c r="I66" s="6"/>
      <c r="J66" s="7"/>
      <c r="K66" s="6"/>
      <c r="L66"/>
      <c r="O66"/>
      <c r="P66"/>
    </row>
    <row r="67" spans="1:16" x14ac:dyDescent="0.3">
      <c r="A67">
        <v>1</v>
      </c>
      <c r="B67" s="6" t="s">
        <v>148</v>
      </c>
      <c r="C67">
        <v>2204.6</v>
      </c>
      <c r="D67" s="6" t="s">
        <v>133</v>
      </c>
      <c r="I67" s="6"/>
      <c r="J67" s="7"/>
      <c r="K67" s="6"/>
      <c r="L67"/>
      <c r="O67"/>
      <c r="P67"/>
    </row>
    <row r="68" spans="1:16" x14ac:dyDescent="0.3">
      <c r="A68">
        <v>1</v>
      </c>
      <c r="B68" s="6" t="s">
        <v>158</v>
      </c>
      <c r="C68">
        <v>60</v>
      </c>
      <c r="D68" s="6" t="s">
        <v>133</v>
      </c>
      <c r="I68" s="6"/>
      <c r="J68" s="7"/>
      <c r="K68" s="6"/>
      <c r="L68"/>
      <c r="O68"/>
      <c r="P68"/>
    </row>
    <row r="69" spans="1:16" x14ac:dyDescent="0.3">
      <c r="A69">
        <v>1</v>
      </c>
      <c r="B69" s="6" t="s">
        <v>176</v>
      </c>
      <c r="C69">
        <v>112</v>
      </c>
      <c r="D69" s="6" t="s">
        <v>116</v>
      </c>
      <c r="I69" s="6"/>
      <c r="J69" s="7"/>
      <c r="K69" s="6"/>
      <c r="L69"/>
      <c r="O69"/>
      <c r="P69"/>
    </row>
    <row r="70" spans="1:16" x14ac:dyDescent="0.3">
      <c r="B70" s="6"/>
      <c r="D70" s="6"/>
      <c r="O70"/>
      <c r="P70"/>
    </row>
    <row r="71" spans="1:16" x14ac:dyDescent="0.3">
      <c r="B71" s="7" t="s">
        <v>128</v>
      </c>
      <c r="D71" s="6"/>
      <c r="O71"/>
      <c r="P71"/>
    </row>
    <row r="72" spans="1:16" x14ac:dyDescent="0.3">
      <c r="A72" t="s">
        <v>4</v>
      </c>
      <c r="B72" s="26">
        <f>C72/($C$61*$C$60)</f>
        <v>3.1372549019607842E-3</v>
      </c>
      <c r="C72">
        <v>1</v>
      </c>
      <c r="D72" t="s">
        <v>118</v>
      </c>
      <c r="E72" s="6" t="s">
        <v>123</v>
      </c>
      <c r="O72"/>
      <c r="P72"/>
    </row>
    <row r="73" spans="1:16" x14ac:dyDescent="0.3">
      <c r="A73" s="4" t="s">
        <v>112</v>
      </c>
      <c r="B73" s="26">
        <f>C73/($C$61*$C$60)</f>
        <v>9.4117647058823521E-3</v>
      </c>
      <c r="C73">
        <v>3</v>
      </c>
      <c r="D73" t="s">
        <v>118</v>
      </c>
      <c r="E73" s="6" t="s">
        <v>123</v>
      </c>
      <c r="O73"/>
      <c r="P73"/>
    </row>
    <row r="74" spans="1:16" x14ac:dyDescent="0.3">
      <c r="A74" t="s">
        <v>8</v>
      </c>
      <c r="B74" s="26">
        <f>C74/($E$61*$C$60)</f>
        <v>2.5098039215686275E-3</v>
      </c>
      <c r="C74">
        <v>16</v>
      </c>
      <c r="D74" t="s">
        <v>121</v>
      </c>
      <c r="E74" s="6" t="s">
        <v>123</v>
      </c>
      <c r="O74"/>
      <c r="P74"/>
    </row>
    <row r="75" spans="1:16" x14ac:dyDescent="0.3">
      <c r="A75" t="s">
        <v>9</v>
      </c>
      <c r="B75" s="26">
        <f>C75/($E$61*$C$60)</f>
        <v>1.7254901960784314E-3</v>
      </c>
      <c r="C75">
        <v>11</v>
      </c>
      <c r="D75" t="s">
        <v>121</v>
      </c>
      <c r="E75" s="6" t="s">
        <v>123</v>
      </c>
      <c r="O75"/>
      <c r="P75"/>
    </row>
    <row r="76" spans="1:16" x14ac:dyDescent="0.3">
      <c r="A76" t="s">
        <v>22</v>
      </c>
      <c r="B76" s="26">
        <f>C76/($C$61*$C$60)</f>
        <v>1.2549019607843137E-2</v>
      </c>
      <c r="C76">
        <f>(6+2)/2</f>
        <v>4</v>
      </c>
      <c r="D76" t="s">
        <v>118</v>
      </c>
      <c r="E76" s="6" t="s">
        <v>123</v>
      </c>
      <c r="O76"/>
      <c r="P76"/>
    </row>
    <row r="77" spans="1:16" x14ac:dyDescent="0.3">
      <c r="A77" t="s">
        <v>78</v>
      </c>
      <c r="B77" s="26">
        <f t="shared" ref="B77:B83" si="3">C77/($C$61*$C$60)</f>
        <v>1.8823529411764704E-2</v>
      </c>
      <c r="C77">
        <v>6</v>
      </c>
      <c r="D77" t="s">
        <v>118</v>
      </c>
      <c r="E77" s="6" t="s">
        <v>123</v>
      </c>
      <c r="O77"/>
      <c r="P77"/>
    </row>
    <row r="78" spans="1:16" x14ac:dyDescent="0.3">
      <c r="A78" t="s">
        <v>77</v>
      </c>
      <c r="B78" s="26">
        <f t="shared" si="3"/>
        <v>1.5686274509803921E-2</v>
      </c>
      <c r="C78">
        <v>5</v>
      </c>
      <c r="D78" t="s">
        <v>118</v>
      </c>
      <c r="E78" s="6" t="s">
        <v>123</v>
      </c>
      <c r="O78"/>
      <c r="P78"/>
    </row>
    <row r="79" spans="1:16" x14ac:dyDescent="0.3">
      <c r="A79" t="s">
        <v>6</v>
      </c>
      <c r="B79" s="26">
        <f t="shared" si="3"/>
        <v>1.7254901960784313E-2</v>
      </c>
      <c r="C79">
        <v>5.5</v>
      </c>
      <c r="D79" t="s">
        <v>118</v>
      </c>
      <c r="E79" s="6" t="s">
        <v>123</v>
      </c>
      <c r="O79"/>
      <c r="P79"/>
    </row>
    <row r="80" spans="1:16" x14ac:dyDescent="0.3">
      <c r="A80" t="s">
        <v>10</v>
      </c>
      <c r="B80" s="26">
        <f t="shared" si="3"/>
        <v>3.1372549019607843E-2</v>
      </c>
      <c r="C80">
        <v>10</v>
      </c>
      <c r="D80" t="s">
        <v>118</v>
      </c>
      <c r="E80" s="6" t="s">
        <v>123</v>
      </c>
      <c r="O80"/>
      <c r="P80"/>
    </row>
    <row r="81" spans="1:16" x14ac:dyDescent="0.3">
      <c r="A81" t="s">
        <v>113</v>
      </c>
      <c r="B81" s="26">
        <f t="shared" si="3"/>
        <v>3.9215686274509803E-3</v>
      </c>
      <c r="C81">
        <v>1.25</v>
      </c>
      <c r="D81" t="s">
        <v>118</v>
      </c>
      <c r="E81" s="6" t="s">
        <v>123</v>
      </c>
      <c r="O81"/>
      <c r="P81"/>
    </row>
    <row r="82" spans="1:16" x14ac:dyDescent="0.3">
      <c r="A82" t="s">
        <v>25</v>
      </c>
      <c r="B82" s="26">
        <f t="shared" si="3"/>
        <v>0.11294117647058824</v>
      </c>
      <c r="C82">
        <v>36</v>
      </c>
      <c r="D82" t="s">
        <v>118</v>
      </c>
      <c r="E82" s="6" t="s">
        <v>123</v>
      </c>
      <c r="O82"/>
      <c r="P82"/>
    </row>
    <row r="83" spans="1:16" x14ac:dyDescent="0.3">
      <c r="A83" t="s">
        <v>20</v>
      </c>
      <c r="B83" s="26">
        <f t="shared" si="3"/>
        <v>3.8431372549019606E-2</v>
      </c>
      <c r="C83">
        <v>12.25</v>
      </c>
      <c r="D83" t="s">
        <v>118</v>
      </c>
      <c r="E83" s="6" t="s">
        <v>123</v>
      </c>
      <c r="O83"/>
      <c r="P83"/>
    </row>
    <row r="84" spans="1:16" x14ac:dyDescent="0.3">
      <c r="A84" t="s">
        <v>76</v>
      </c>
      <c r="O84"/>
      <c r="P84"/>
    </row>
    <row r="85" spans="1:16" x14ac:dyDescent="0.3">
      <c r="A85" t="s">
        <v>37</v>
      </c>
      <c r="O85"/>
      <c r="P85"/>
    </row>
    <row r="86" spans="1:16" x14ac:dyDescent="0.3">
      <c r="A86" t="s">
        <v>36</v>
      </c>
      <c r="O86"/>
      <c r="P86"/>
    </row>
    <row r="87" spans="1:16" x14ac:dyDescent="0.3">
      <c r="A87" t="s">
        <v>42</v>
      </c>
      <c r="O87"/>
      <c r="P87"/>
    </row>
    <row r="88" spans="1:16" x14ac:dyDescent="0.3">
      <c r="A88" t="s">
        <v>75</v>
      </c>
      <c r="B88" s="26">
        <f>C88/($G$61*$C$60)</f>
        <v>0.62745098039215685</v>
      </c>
      <c r="C88">
        <v>20</v>
      </c>
      <c r="D88" t="s">
        <v>125</v>
      </c>
      <c r="E88" t="s">
        <v>126</v>
      </c>
      <c r="O88"/>
      <c r="P88"/>
    </row>
    <row r="89" spans="1:16" x14ac:dyDescent="0.3">
      <c r="A89" t="s">
        <v>73</v>
      </c>
      <c r="B89" s="26">
        <f>C89/($G$61*$C$60)</f>
        <v>0.11764705882352941</v>
      </c>
      <c r="C89">
        <f>AVERAGE(2.5,5)</f>
        <v>3.75</v>
      </c>
      <c r="D89" t="s">
        <v>125</v>
      </c>
      <c r="E89" t="s">
        <v>127</v>
      </c>
      <c r="O89"/>
      <c r="P89"/>
    </row>
    <row r="90" spans="1:16" x14ac:dyDescent="0.3">
      <c r="A90" t="s">
        <v>71</v>
      </c>
      <c r="B90" s="26">
        <f t="shared" ref="B90:B94" si="4">C90/($C$61*$C$60)</f>
        <v>0.15686274509803921</v>
      </c>
      <c r="C90">
        <v>50</v>
      </c>
      <c r="D90" t="s">
        <v>118</v>
      </c>
      <c r="E90" t="s">
        <v>124</v>
      </c>
      <c r="O90"/>
      <c r="P90"/>
    </row>
    <row r="91" spans="1:16" x14ac:dyDescent="0.3">
      <c r="A91" t="s">
        <v>70</v>
      </c>
      <c r="B91" s="26">
        <f t="shared" si="4"/>
        <v>2.1960784313725491E-2</v>
      </c>
      <c r="C91">
        <v>7</v>
      </c>
      <c r="D91" t="s">
        <v>118</v>
      </c>
      <c r="E91" t="s">
        <v>124</v>
      </c>
      <c r="O91"/>
      <c r="P91"/>
    </row>
    <row r="92" spans="1:16" x14ac:dyDescent="0.3">
      <c r="A92" t="s">
        <v>68</v>
      </c>
      <c r="B92" s="26">
        <f t="shared" si="4"/>
        <v>3.1372549019607843E-2</v>
      </c>
      <c r="C92">
        <v>10</v>
      </c>
      <c r="D92" t="s">
        <v>118</v>
      </c>
      <c r="E92" t="s">
        <v>124</v>
      </c>
      <c r="O92"/>
      <c r="P92"/>
    </row>
    <row r="93" spans="1:16" x14ac:dyDescent="0.3">
      <c r="A93" t="s">
        <v>67</v>
      </c>
      <c r="B93" s="26">
        <f>C93/($E$61*$C$60)</f>
        <v>1.5686274509803921E-3</v>
      </c>
      <c r="C93">
        <v>10</v>
      </c>
      <c r="D93" t="s">
        <v>121</v>
      </c>
      <c r="E93" t="s">
        <v>124</v>
      </c>
      <c r="O93"/>
      <c r="P93"/>
    </row>
    <row r="94" spans="1:16" x14ac:dyDescent="0.3">
      <c r="A94" t="s">
        <v>114</v>
      </c>
      <c r="B94" s="26">
        <f t="shared" si="4"/>
        <v>4.7058823529411761E-3</v>
      </c>
      <c r="C94">
        <v>1.5</v>
      </c>
      <c r="D94" t="s">
        <v>118</v>
      </c>
      <c r="E94" t="s">
        <v>124</v>
      </c>
      <c r="O94"/>
      <c r="P94"/>
    </row>
    <row r="95" spans="1:16" x14ac:dyDescent="0.3">
      <c r="O95"/>
      <c r="P95"/>
    </row>
    <row r="97" spans="1:4" x14ac:dyDescent="0.3">
      <c r="A97" t="s">
        <v>151</v>
      </c>
    </row>
    <row r="98" spans="1:4" x14ac:dyDescent="0.3">
      <c r="A98">
        <v>1</v>
      </c>
      <c r="B98" s="6" t="s">
        <v>117</v>
      </c>
      <c r="C98">
        <v>49.5</v>
      </c>
      <c r="D98" s="6" t="s">
        <v>120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3:B5"/>
  <sheetViews>
    <sheetView workbookViewId="0">
      <selection activeCell="H25" sqref="H25"/>
    </sheetView>
  </sheetViews>
  <sheetFormatPr defaultRowHeight="14.4" x14ac:dyDescent="0.3"/>
  <sheetData>
    <row r="3" spans="1:2" x14ac:dyDescent="0.3">
      <c r="A3" s="81"/>
      <c r="B3" s="6" t="s">
        <v>222</v>
      </c>
    </row>
    <row r="5" spans="1:2" x14ac:dyDescent="0.3">
      <c r="A5" s="82"/>
      <c r="B5" s="6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42"/>
  <sheetViews>
    <sheetView topLeftCell="A15" workbookViewId="0">
      <selection activeCell="C45" sqref="C45"/>
    </sheetView>
  </sheetViews>
  <sheetFormatPr defaultRowHeight="14.4" x14ac:dyDescent="0.3"/>
  <cols>
    <col min="1" max="1" width="10.21875" customWidth="1"/>
    <col min="2" max="2" width="14.6640625" customWidth="1"/>
    <col min="3" max="3" width="16" customWidth="1"/>
    <col min="4" max="4" width="14.88671875" customWidth="1"/>
    <col min="5" max="5" width="15.109375" customWidth="1"/>
    <col min="6" max="6" width="14.109375" customWidth="1"/>
    <col min="7" max="7" width="14.44140625" customWidth="1"/>
  </cols>
  <sheetData>
    <row r="1" spans="1:5" x14ac:dyDescent="0.3">
      <c r="A1" s="93" t="s">
        <v>110</v>
      </c>
      <c r="B1" s="93"/>
    </row>
    <row r="2" spans="1:5" x14ac:dyDescent="0.3">
      <c r="A2" t="s">
        <v>16</v>
      </c>
      <c r="B2" t="s">
        <v>58</v>
      </c>
      <c r="C2" t="s">
        <v>15</v>
      </c>
      <c r="D2" t="s">
        <v>178</v>
      </c>
    </row>
    <row r="3" spans="1:5" x14ac:dyDescent="0.3">
      <c r="A3">
        <v>1893</v>
      </c>
      <c r="B3" s="11">
        <v>76160</v>
      </c>
      <c r="C3" s="11">
        <v>6475</v>
      </c>
      <c r="D3" s="26">
        <f>C3/B3</f>
        <v>8.501838235294118E-2</v>
      </c>
    </row>
    <row r="4" spans="1:5" x14ac:dyDescent="0.3">
      <c r="A4">
        <v>1894</v>
      </c>
      <c r="B4" s="11">
        <v>167552</v>
      </c>
      <c r="C4" s="11">
        <v>11780</v>
      </c>
      <c r="D4" s="26">
        <f t="shared" ref="D4:D12" si="0">C4/B4</f>
        <v>7.0306531703590525E-2</v>
      </c>
    </row>
    <row r="5" spans="1:5" x14ac:dyDescent="0.3">
      <c r="A5">
        <v>1895</v>
      </c>
      <c r="B5" s="11">
        <v>235760</v>
      </c>
      <c r="C5" s="11">
        <v>15505</v>
      </c>
      <c r="D5" s="26">
        <f t="shared" si="0"/>
        <v>6.5766033254156767E-2</v>
      </c>
    </row>
    <row r="6" spans="1:5" x14ac:dyDescent="0.3">
      <c r="A6">
        <v>1896</v>
      </c>
      <c r="B6" s="11">
        <v>229040</v>
      </c>
      <c r="C6" s="11">
        <v>14040</v>
      </c>
      <c r="D6" s="26">
        <f t="shared" si="0"/>
        <v>6.1299336360461053E-2</v>
      </c>
    </row>
    <row r="7" spans="1:5" x14ac:dyDescent="0.3">
      <c r="A7">
        <v>1897</v>
      </c>
      <c r="B7" s="11">
        <v>346080</v>
      </c>
      <c r="C7" s="11">
        <v>23550</v>
      </c>
      <c r="D7" s="26">
        <f t="shared" si="0"/>
        <v>6.804785020804438E-2</v>
      </c>
    </row>
    <row r="8" spans="1:5" x14ac:dyDescent="0.3">
      <c r="A8">
        <v>1898</v>
      </c>
      <c r="B8" s="11">
        <v>614880</v>
      </c>
      <c r="C8" s="11">
        <v>55800</v>
      </c>
      <c r="D8" s="26">
        <f t="shared" si="0"/>
        <v>9.0749414519906327E-2</v>
      </c>
    </row>
    <row r="9" spans="1:5" x14ac:dyDescent="0.3">
      <c r="A9">
        <v>1899</v>
      </c>
      <c r="B9" s="11">
        <v>1178688</v>
      </c>
      <c r="C9" s="11">
        <v>112350</v>
      </c>
      <c r="D9" s="26">
        <f t="shared" si="0"/>
        <v>9.5317844925883688E-2</v>
      </c>
    </row>
    <row r="10" spans="1:5" x14ac:dyDescent="0.3">
      <c r="A10">
        <v>1900</v>
      </c>
      <c r="B10" s="11">
        <v>1615488</v>
      </c>
      <c r="C10" s="11">
        <v>150265</v>
      </c>
      <c r="D10" s="26">
        <f t="shared" si="0"/>
        <v>9.3015237500990416E-2</v>
      </c>
    </row>
    <row r="11" spans="1:5" x14ac:dyDescent="0.3">
      <c r="A11">
        <v>1901</v>
      </c>
      <c r="B11" s="11">
        <v>1112338</v>
      </c>
      <c r="C11" s="11">
        <v>93548</v>
      </c>
      <c r="D11" s="26">
        <f t="shared" si="0"/>
        <v>8.4100336408537688E-2</v>
      </c>
    </row>
    <row r="12" spans="1:5" x14ac:dyDescent="0.3">
      <c r="A12">
        <v>1902</v>
      </c>
      <c r="B12" s="11">
        <v>2365896</v>
      </c>
      <c r="C12" s="11">
        <v>247502</v>
      </c>
      <c r="D12" s="26">
        <f t="shared" si="0"/>
        <v>0.10461237518470803</v>
      </c>
    </row>
    <row r="14" spans="1:5" x14ac:dyDescent="0.3">
      <c r="A14" s="93" t="s">
        <v>111</v>
      </c>
      <c r="B14" s="93"/>
      <c r="C14" s="93"/>
      <c r="D14" s="93"/>
      <c r="E14" s="93"/>
    </row>
    <row r="15" spans="1:5" x14ac:dyDescent="0.3">
      <c r="B15" s="92" t="s">
        <v>85</v>
      </c>
      <c r="C15" s="92"/>
      <c r="D15" s="92" t="s">
        <v>84</v>
      </c>
      <c r="E15" s="92"/>
    </row>
    <row r="16" spans="1:5" x14ac:dyDescent="0.3">
      <c r="A16" t="s">
        <v>16</v>
      </c>
      <c r="B16" t="s">
        <v>58</v>
      </c>
      <c r="C16" t="s">
        <v>15</v>
      </c>
      <c r="D16" t="s">
        <v>58</v>
      </c>
      <c r="E16" t="s">
        <v>15</v>
      </c>
    </row>
    <row r="17" spans="1:5" x14ac:dyDescent="0.3">
      <c r="A17">
        <v>1866</v>
      </c>
      <c r="B17" s="11">
        <v>12750</v>
      </c>
      <c r="C17" s="11">
        <v>54000</v>
      </c>
      <c r="D17" s="11"/>
      <c r="E17" s="11"/>
    </row>
    <row r="18" spans="1:5" x14ac:dyDescent="0.3">
      <c r="A18">
        <v>1867</v>
      </c>
      <c r="B18" s="11">
        <v>16575</v>
      </c>
      <c r="C18" s="11">
        <v>57200</v>
      </c>
      <c r="D18" s="11"/>
      <c r="E18" s="11"/>
    </row>
    <row r="19" spans="1:5" x14ac:dyDescent="0.3">
      <c r="A19">
        <v>1868</v>
      </c>
      <c r="B19" s="11">
        <v>19225</v>
      </c>
      <c r="C19" s="11">
        <v>54000</v>
      </c>
      <c r="D19" s="11"/>
      <c r="E19" s="11"/>
    </row>
    <row r="20" spans="1:5" x14ac:dyDescent="0.3">
      <c r="A20">
        <v>1869</v>
      </c>
      <c r="B20" s="11">
        <v>22941</v>
      </c>
      <c r="C20" s="11">
        <v>54000</v>
      </c>
      <c r="D20" s="11"/>
      <c r="E20" s="11"/>
    </row>
    <row r="21" spans="1:5" x14ac:dyDescent="0.3">
      <c r="A21">
        <v>1870</v>
      </c>
      <c r="B21" s="11">
        <v>25500</v>
      </c>
      <c r="C21" s="11">
        <v>64000</v>
      </c>
      <c r="D21" s="11"/>
      <c r="E21" s="11"/>
    </row>
    <row r="22" spans="1:5" x14ac:dyDescent="0.3">
      <c r="A22">
        <v>1871</v>
      </c>
      <c r="B22" s="11">
        <v>31875</v>
      </c>
      <c r="C22" s="11">
        <v>65000</v>
      </c>
      <c r="D22" s="11">
        <v>8932</v>
      </c>
      <c r="E22" s="11">
        <v>18200</v>
      </c>
    </row>
    <row r="23" spans="1:5" x14ac:dyDescent="0.3">
      <c r="A23">
        <v>1872</v>
      </c>
      <c r="B23" s="11">
        <v>20894</v>
      </c>
      <c r="C23" s="11">
        <v>35200</v>
      </c>
      <c r="D23" s="11">
        <v>6375</v>
      </c>
      <c r="E23" s="11">
        <v>11000</v>
      </c>
    </row>
    <row r="24" spans="1:5" x14ac:dyDescent="0.3">
      <c r="A24">
        <v>1873</v>
      </c>
      <c r="B24" s="11">
        <v>24216</v>
      </c>
      <c r="C24" s="11">
        <v>34200</v>
      </c>
      <c r="D24" s="11">
        <v>8288</v>
      </c>
      <c r="E24" s="11">
        <v>11700</v>
      </c>
    </row>
    <row r="25" spans="1:5" x14ac:dyDescent="0.3">
      <c r="A25">
        <v>1874</v>
      </c>
      <c r="B25" s="11">
        <v>17847</v>
      </c>
      <c r="C25" s="11">
        <v>15200</v>
      </c>
      <c r="D25" s="11">
        <v>8922</v>
      </c>
      <c r="E25" s="11">
        <v>5600</v>
      </c>
    </row>
    <row r="26" spans="1:5" x14ac:dyDescent="0.3">
      <c r="A26">
        <v>1875</v>
      </c>
      <c r="B26" s="11">
        <v>26775</v>
      </c>
      <c r="C26" s="11">
        <v>12600</v>
      </c>
      <c r="D26" s="11">
        <v>10197</v>
      </c>
      <c r="E26" s="11">
        <v>4800</v>
      </c>
    </row>
    <row r="28" spans="1:5" x14ac:dyDescent="0.3">
      <c r="B28" s="6"/>
      <c r="C28" s="11"/>
      <c r="D28" s="6"/>
    </row>
    <row r="29" spans="1:5" x14ac:dyDescent="0.3">
      <c r="B29" s="34" t="s">
        <v>132</v>
      </c>
      <c r="C29" s="34" t="s">
        <v>130</v>
      </c>
      <c r="D29" s="34" t="s">
        <v>131</v>
      </c>
    </row>
    <row r="30" spans="1:5" ht="37.200000000000003" customHeight="1" x14ac:dyDescent="0.3">
      <c r="A30" t="s">
        <v>16</v>
      </c>
      <c r="B30" s="35" t="s">
        <v>235</v>
      </c>
      <c r="C30" s="35" t="s">
        <v>235</v>
      </c>
      <c r="D30" s="35" t="s">
        <v>235</v>
      </c>
    </row>
    <row r="31" spans="1:5" x14ac:dyDescent="0.3">
      <c r="A31">
        <v>1866</v>
      </c>
      <c r="B31">
        <v>27</v>
      </c>
      <c r="C31">
        <v>7</v>
      </c>
      <c r="D31">
        <v>12</v>
      </c>
    </row>
    <row r="32" spans="1:5" x14ac:dyDescent="0.3">
      <c r="A32">
        <v>1867</v>
      </c>
      <c r="B32">
        <v>22</v>
      </c>
      <c r="C32">
        <v>6</v>
      </c>
      <c r="D32">
        <v>10</v>
      </c>
    </row>
    <row r="33" spans="1:4" x14ac:dyDescent="0.3">
      <c r="A33">
        <v>1868</v>
      </c>
      <c r="B33">
        <v>26</v>
      </c>
      <c r="C33">
        <v>5.5</v>
      </c>
      <c r="D33">
        <v>8</v>
      </c>
    </row>
    <row r="34" spans="1:4" x14ac:dyDescent="0.3">
      <c r="A34">
        <v>1869</v>
      </c>
      <c r="B34">
        <v>23</v>
      </c>
      <c r="C34">
        <v>4.5</v>
      </c>
      <c r="D34">
        <v>7.5</v>
      </c>
    </row>
    <row r="35" spans="1:4" x14ac:dyDescent="0.3">
      <c r="A35">
        <v>1870</v>
      </c>
      <c r="B35">
        <v>24</v>
      </c>
      <c r="C35">
        <v>3.5</v>
      </c>
      <c r="D35">
        <v>6</v>
      </c>
    </row>
    <row r="36" spans="1:4" x14ac:dyDescent="0.3">
      <c r="A36">
        <v>1871</v>
      </c>
      <c r="B36">
        <v>20</v>
      </c>
      <c r="C36">
        <v>3.5</v>
      </c>
      <c r="D36">
        <v>6.5</v>
      </c>
    </row>
    <row r="37" spans="1:4" x14ac:dyDescent="0.3">
      <c r="A37">
        <v>1872</v>
      </c>
      <c r="B37">
        <v>20</v>
      </c>
      <c r="C37">
        <v>2.5</v>
      </c>
      <c r="D37">
        <v>6</v>
      </c>
    </row>
    <row r="38" spans="1:4" x14ac:dyDescent="0.3">
      <c r="A38">
        <v>1873</v>
      </c>
      <c r="B38">
        <v>26</v>
      </c>
      <c r="C38">
        <v>2.5</v>
      </c>
      <c r="D38">
        <v>5.5</v>
      </c>
    </row>
    <row r="39" spans="1:4" x14ac:dyDescent="0.3">
      <c r="A39">
        <v>1874</v>
      </c>
      <c r="B39">
        <v>12</v>
      </c>
      <c r="C39">
        <v>2</v>
      </c>
      <c r="D39">
        <v>6.5</v>
      </c>
    </row>
    <row r="40" spans="1:4" x14ac:dyDescent="0.3">
      <c r="A40">
        <v>1875</v>
      </c>
      <c r="B40">
        <v>10</v>
      </c>
      <c r="C40">
        <v>2</v>
      </c>
      <c r="D40">
        <v>6</v>
      </c>
    </row>
    <row r="42" spans="1:4" x14ac:dyDescent="0.3">
      <c r="A42">
        <v>1</v>
      </c>
      <c r="B42" s="6" t="s">
        <v>195</v>
      </c>
      <c r="C42" s="11">
        <v>12</v>
      </c>
      <c r="D42" s="6" t="s">
        <v>133</v>
      </c>
    </row>
  </sheetData>
  <mergeCells count="4">
    <mergeCell ref="B15:C15"/>
    <mergeCell ref="D15:E15"/>
    <mergeCell ref="A14:E14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Resht - Prices (Imports)</vt:lpstr>
      <vt:lpstr>Resht - Prices (Exports)</vt:lpstr>
      <vt:lpstr>Resht- Prices (Bazaar-Local)</vt:lpstr>
      <vt:lpstr>Imports - Data (Raw &amp; Adjusted)</vt:lpstr>
      <vt:lpstr>Exports - Data (Raw &amp; Adjusted)</vt:lpstr>
      <vt:lpstr>Bazaar(Local)- Prices (Raw&amp;Adj)</vt:lpstr>
      <vt:lpstr>Color Legend</vt:lpstr>
      <vt:lpstr>Silk - Im, Ex &amp; Bazaar</vt:lpstr>
      <vt:lpstr>Total - Imports &amp; Exports</vt:lpstr>
      <vt:lpstr>Ports of Resht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2018-11-04T16:35:17Z</dcterms:modified>
</cp:coreProperties>
</file>