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Price Calculations + Raw Data\Price Calculations + Raw Data with Standardized Product Names\Updated\"/>
    </mc:Choice>
  </mc:AlternateContent>
  <bookViews>
    <workbookView xWindow="0" yWindow="0" windowWidth="23040" windowHeight="9396"/>
  </bookViews>
  <sheets>
    <sheet name="Intro" sheetId="4" r:id="rId1"/>
    <sheet name="Lingah - Prices (Imports)" sheetId="5" r:id="rId2"/>
    <sheet name="Lingah - Prices (Exports)" sheetId="6" r:id="rId3"/>
    <sheet name="Imports - Data (Raw)" sheetId="8" r:id="rId4"/>
    <sheet name="Imports - Data (Adjusted)" sheetId="1" r:id="rId5"/>
    <sheet name="Exports - Data (Raw)" sheetId="2" r:id="rId6"/>
    <sheet name="Exports - Data (Adjusted)" sheetId="7" r:id="rId7"/>
    <sheet name="Color Legend" sheetId="3" r:id="rId8"/>
  </sheets>
  <calcPr calcId="152511"/>
</workbook>
</file>

<file path=xl/calcChain.xml><?xml version="1.0" encoding="utf-8"?>
<calcChain xmlns="http://schemas.openxmlformats.org/spreadsheetml/2006/main">
  <c r="F4" i="1" l="1"/>
  <c r="J4" i="1"/>
  <c r="N4" i="1"/>
  <c r="R4" i="1"/>
  <c r="V4" i="1"/>
  <c r="Y4" i="1"/>
  <c r="AB4" i="1"/>
  <c r="AF4" i="1"/>
  <c r="AI4" i="1"/>
  <c r="AM4" i="1"/>
  <c r="AQ4" i="1"/>
  <c r="AU4" i="1"/>
  <c r="AY4" i="1"/>
  <c r="BC4" i="1"/>
  <c r="BF4" i="1"/>
  <c r="BJ4" i="1"/>
  <c r="BM4" i="1"/>
  <c r="BQ4" i="1"/>
  <c r="BT4" i="1"/>
  <c r="BW4" i="1"/>
  <c r="CA4" i="1"/>
  <c r="CD4" i="1"/>
  <c r="F5" i="1"/>
  <c r="J5" i="1"/>
  <c r="N5" i="1"/>
  <c r="R5" i="1"/>
  <c r="V5" i="1"/>
  <c r="Y5" i="1"/>
  <c r="AB5" i="1"/>
  <c r="AF5" i="1"/>
  <c r="AI5" i="1"/>
  <c r="AM5" i="1"/>
  <c r="AQ5" i="1"/>
  <c r="AU5" i="1"/>
  <c r="AY5" i="1"/>
  <c r="BC5" i="1"/>
  <c r="BF5" i="1"/>
  <c r="BJ5" i="1"/>
  <c r="BM5" i="1"/>
  <c r="BQ5" i="1"/>
  <c r="BT5" i="1"/>
  <c r="BW5" i="1"/>
  <c r="CA5" i="1"/>
  <c r="CD5" i="1"/>
  <c r="F6" i="1"/>
  <c r="J6" i="1"/>
  <c r="N6" i="1"/>
  <c r="R6" i="1"/>
  <c r="V6" i="1"/>
  <c r="Y6" i="1"/>
  <c r="AB6" i="1"/>
  <c r="AF6" i="1"/>
  <c r="AI6" i="1"/>
  <c r="AM6" i="1"/>
  <c r="AQ6" i="1"/>
  <c r="AU6" i="1"/>
  <c r="AY6" i="1"/>
  <c r="BC6" i="1"/>
  <c r="BF6" i="1"/>
  <c r="BJ6" i="1"/>
  <c r="BM6" i="1"/>
  <c r="BQ6" i="1"/>
  <c r="BT6" i="1"/>
  <c r="BW6" i="1"/>
  <c r="CA6" i="1"/>
  <c r="CD6" i="1"/>
  <c r="F7" i="1"/>
  <c r="J7" i="1"/>
  <c r="N7" i="1"/>
  <c r="R7" i="1"/>
  <c r="V7" i="1"/>
  <c r="Y7" i="1"/>
  <c r="AB7" i="1"/>
  <c r="AF7" i="1"/>
  <c r="AI7" i="1"/>
  <c r="AM7" i="1"/>
  <c r="AQ7" i="1"/>
  <c r="AU7" i="1"/>
  <c r="AY7" i="1"/>
  <c r="BC7" i="1"/>
  <c r="BF7" i="1"/>
  <c r="BJ7" i="1"/>
  <c r="BM7" i="1"/>
  <c r="BQ7" i="1"/>
  <c r="BT7" i="1"/>
  <c r="BW7" i="1"/>
  <c r="CA7" i="1"/>
  <c r="CD7" i="1"/>
  <c r="F8" i="1"/>
  <c r="J8" i="1"/>
  <c r="N8" i="1"/>
  <c r="R8" i="1"/>
  <c r="V8" i="1"/>
  <c r="Y8" i="1"/>
  <c r="AB8" i="1"/>
  <c r="AF8" i="1"/>
  <c r="AI8" i="1"/>
  <c r="AM8" i="1"/>
  <c r="AQ8" i="1"/>
  <c r="AU8" i="1"/>
  <c r="AY8" i="1"/>
  <c r="BC8" i="1"/>
  <c r="BF8" i="1"/>
  <c r="BJ8" i="1"/>
  <c r="BM8" i="1"/>
  <c r="BQ8" i="1"/>
  <c r="BT8" i="1"/>
  <c r="BW8" i="1"/>
  <c r="CA8" i="1"/>
  <c r="CD8" i="1"/>
  <c r="F9" i="1"/>
  <c r="J9" i="1"/>
  <c r="N9" i="1"/>
  <c r="R9" i="1"/>
  <c r="V9" i="1"/>
  <c r="Y9" i="1"/>
  <c r="AB9" i="1"/>
  <c r="AF9" i="1"/>
  <c r="AI9" i="1"/>
  <c r="AM9" i="1"/>
  <c r="AQ9" i="1"/>
  <c r="AU9" i="1"/>
  <c r="AY9" i="1"/>
  <c r="BC9" i="1"/>
  <c r="BF9" i="1"/>
  <c r="BJ9" i="1"/>
  <c r="BM9" i="1"/>
  <c r="BQ9" i="1"/>
  <c r="BT9" i="1"/>
  <c r="BW9" i="1"/>
  <c r="CA9" i="1"/>
  <c r="CD9" i="1"/>
  <c r="F10" i="1"/>
  <c r="J10" i="1"/>
  <c r="N10" i="1"/>
  <c r="R10" i="1"/>
  <c r="V10" i="1"/>
  <c r="Y10" i="1"/>
  <c r="AB10" i="1"/>
  <c r="AF10" i="1"/>
  <c r="AI10" i="1"/>
  <c r="AM10" i="1"/>
  <c r="AQ10" i="1"/>
  <c r="AU10" i="1"/>
  <c r="AY10" i="1"/>
  <c r="BC10" i="1"/>
  <c r="BF10" i="1"/>
  <c r="BJ10" i="1"/>
  <c r="BM10" i="1"/>
  <c r="BQ10" i="1"/>
  <c r="BT10" i="1"/>
  <c r="BW10" i="1"/>
  <c r="CA10" i="1"/>
  <c r="CD10" i="1"/>
  <c r="F11" i="1"/>
  <c r="J11" i="1"/>
  <c r="N11" i="1"/>
  <c r="R11" i="1"/>
  <c r="V11" i="1"/>
  <c r="Y11" i="1"/>
  <c r="AB11" i="1"/>
  <c r="AF11" i="1"/>
  <c r="AI11" i="1"/>
  <c r="AM11" i="1"/>
  <c r="AQ11" i="1"/>
  <c r="AU11" i="1"/>
  <c r="AY11" i="1"/>
  <c r="BC11" i="1"/>
  <c r="BF11" i="1"/>
  <c r="BJ11" i="1"/>
  <c r="BM11" i="1"/>
  <c r="BQ11" i="1"/>
  <c r="BT11" i="1"/>
  <c r="BW11" i="1"/>
  <c r="CA11" i="1"/>
  <c r="CD11" i="1"/>
  <c r="F12" i="1"/>
  <c r="J12" i="1"/>
  <c r="N12" i="1"/>
  <c r="R12" i="1"/>
  <c r="V12" i="1"/>
  <c r="Y12" i="1"/>
  <c r="AB12" i="1"/>
  <c r="AF12" i="1"/>
  <c r="AI12" i="1"/>
  <c r="AM12" i="1"/>
  <c r="AQ12" i="1"/>
  <c r="AU12" i="1"/>
  <c r="AY12" i="1"/>
  <c r="BC12" i="1"/>
  <c r="BF12" i="1"/>
  <c r="BJ12" i="1"/>
  <c r="BM12" i="1"/>
  <c r="BQ12" i="1"/>
  <c r="BT12" i="1"/>
  <c r="BW12" i="1"/>
  <c r="CA12" i="1"/>
  <c r="CD12" i="1"/>
  <c r="F13" i="1"/>
  <c r="J13" i="1"/>
  <c r="N13" i="1"/>
  <c r="R13" i="1"/>
  <c r="V13" i="1"/>
  <c r="Y13" i="1"/>
  <c r="AB13" i="1"/>
  <c r="AF13" i="1"/>
  <c r="AI13" i="1"/>
  <c r="AM13" i="1"/>
  <c r="AQ13" i="1"/>
  <c r="AU13" i="1"/>
  <c r="AY13" i="1"/>
  <c r="BC13" i="1"/>
  <c r="BF13" i="1"/>
  <c r="BJ13" i="1"/>
  <c r="BM13" i="1"/>
  <c r="BQ13" i="1"/>
  <c r="BT13" i="1"/>
  <c r="BW13" i="1"/>
  <c r="CA13" i="1"/>
  <c r="CD13" i="1"/>
  <c r="F14" i="1"/>
  <c r="J14" i="1"/>
  <c r="N14" i="1"/>
  <c r="R14" i="1"/>
  <c r="V14" i="1"/>
  <c r="Y14" i="1"/>
  <c r="AB14" i="1"/>
  <c r="AF14" i="1"/>
  <c r="AI14" i="1"/>
  <c r="AM14" i="1"/>
  <c r="AQ14" i="1"/>
  <c r="AU14" i="1"/>
  <c r="AY14" i="1"/>
  <c r="BC14" i="1"/>
  <c r="BF14" i="1"/>
  <c r="BJ14" i="1"/>
  <c r="BM14" i="1"/>
  <c r="BQ14" i="1"/>
  <c r="BT14" i="1"/>
  <c r="BW14" i="1"/>
  <c r="CA14" i="1"/>
  <c r="CD14" i="1"/>
  <c r="F15" i="1"/>
  <c r="H15" i="1"/>
  <c r="J15" i="1" s="1"/>
  <c r="L15" i="1"/>
  <c r="N15" i="1"/>
  <c r="P15" i="1"/>
  <c r="R15" i="1" s="1"/>
  <c r="U15" i="1"/>
  <c r="V15" i="1"/>
  <c r="W15" i="1"/>
  <c r="Y15" i="1" s="1"/>
  <c r="AB15" i="1"/>
  <c r="AF15" i="1"/>
  <c r="AI15" i="1"/>
  <c r="AM15" i="1"/>
  <c r="AO15" i="1"/>
  <c r="AQ15" i="1"/>
  <c r="AS15" i="1"/>
  <c r="AU15" i="1" s="1"/>
  <c r="AW15" i="1"/>
  <c r="AY15" i="1"/>
  <c r="BA15" i="1"/>
  <c r="BC15" i="1" s="1"/>
  <c r="BD15" i="1"/>
  <c r="BF15" i="1"/>
  <c r="BJ15" i="1"/>
  <c r="BM15" i="1"/>
  <c r="BQ15" i="1"/>
  <c r="BT15" i="1"/>
  <c r="BW15" i="1"/>
  <c r="CA15" i="1"/>
  <c r="CD15" i="1"/>
  <c r="F16" i="1"/>
  <c r="J16" i="1"/>
  <c r="N16" i="1"/>
  <c r="R16" i="1"/>
  <c r="V16" i="1"/>
  <c r="Y16" i="1"/>
  <c r="AB16" i="1"/>
  <c r="AF16" i="1"/>
  <c r="AI16" i="1"/>
  <c r="AM16" i="1"/>
  <c r="AQ16" i="1"/>
  <c r="AU16" i="1"/>
  <c r="AY16" i="1"/>
  <c r="BC16" i="1"/>
  <c r="BF16" i="1"/>
  <c r="BJ16" i="1"/>
  <c r="BM16" i="1"/>
  <c r="BQ16" i="1"/>
  <c r="BT16" i="1"/>
  <c r="BW16" i="1"/>
  <c r="CA16" i="1"/>
  <c r="CD16" i="1"/>
  <c r="F17" i="1"/>
  <c r="J17" i="1"/>
  <c r="N17" i="1"/>
  <c r="R17" i="1"/>
  <c r="V17" i="1"/>
  <c r="Y17" i="1"/>
  <c r="AB17" i="1"/>
  <c r="AF17" i="1"/>
  <c r="AI17" i="1"/>
  <c r="AM17" i="1"/>
  <c r="AQ17" i="1"/>
  <c r="AU17" i="1"/>
  <c r="AY17" i="1"/>
  <c r="BC17" i="1"/>
  <c r="BF17" i="1"/>
  <c r="BJ17" i="1"/>
  <c r="BM17" i="1"/>
  <c r="BQ17" i="1"/>
  <c r="BT17" i="1"/>
  <c r="BW17" i="1"/>
  <c r="CA17" i="1"/>
  <c r="CD17" i="1"/>
  <c r="F18" i="1"/>
  <c r="J18" i="1"/>
  <c r="N18" i="1"/>
  <c r="R18" i="1"/>
  <c r="V18" i="1"/>
  <c r="Y18" i="1"/>
  <c r="AB18" i="1"/>
  <c r="AF18" i="1"/>
  <c r="AI18" i="1"/>
  <c r="AM18" i="1"/>
  <c r="AQ18" i="1"/>
  <c r="AU18" i="1"/>
  <c r="AY18" i="1"/>
  <c r="BC18" i="1"/>
  <c r="BF18" i="1"/>
  <c r="BJ18" i="1"/>
  <c r="BM18" i="1"/>
  <c r="BQ18" i="1"/>
  <c r="BT18" i="1"/>
  <c r="BW18" i="1"/>
  <c r="CA18" i="1"/>
  <c r="CD18" i="1"/>
  <c r="F19" i="1"/>
  <c r="H19" i="1"/>
  <c r="J19" i="1"/>
  <c r="L19" i="1"/>
  <c r="N19" i="1" s="1"/>
  <c r="P19" i="1"/>
  <c r="R19" i="1"/>
  <c r="T19" i="1"/>
  <c r="V19" i="1" s="1"/>
  <c r="W19" i="1"/>
  <c r="Y19" i="1"/>
  <c r="Z19" i="1"/>
  <c r="AB19" i="1" s="1"/>
  <c r="AD19" i="1"/>
  <c r="AF19" i="1"/>
  <c r="AG19" i="1"/>
  <c r="AI19" i="1" s="1"/>
  <c r="AM19" i="1"/>
  <c r="AQ19" i="1"/>
  <c r="AU19" i="1"/>
  <c r="AY19" i="1"/>
  <c r="BA19" i="1"/>
  <c r="BC19" i="1"/>
  <c r="BD19" i="1"/>
  <c r="BF19" i="1" s="1"/>
  <c r="BJ19" i="1"/>
  <c r="BM19" i="1"/>
  <c r="BQ19" i="1"/>
  <c r="BT19" i="1"/>
  <c r="BW19" i="1"/>
  <c r="CA19" i="1"/>
  <c r="CD19" i="1"/>
  <c r="F20" i="1"/>
  <c r="J20" i="1"/>
  <c r="N20" i="1"/>
  <c r="R20" i="1"/>
  <c r="V20" i="1"/>
  <c r="Y20" i="1"/>
  <c r="AB20" i="1"/>
  <c r="AF20" i="1"/>
  <c r="AI20" i="1"/>
  <c r="AK20" i="1"/>
  <c r="AM20" i="1"/>
  <c r="AO20" i="1"/>
  <c r="AQ20" i="1" s="1"/>
  <c r="AS20" i="1"/>
  <c r="AU20" i="1"/>
  <c r="AW20" i="1"/>
  <c r="AY20" i="1" s="1"/>
  <c r="BC20" i="1"/>
  <c r="BF20" i="1"/>
  <c r="BJ20" i="1"/>
  <c r="BM20" i="1"/>
  <c r="BQ20" i="1"/>
  <c r="BT20" i="1"/>
  <c r="BW20" i="1"/>
  <c r="CA20" i="1"/>
  <c r="CD20" i="1"/>
  <c r="F21" i="1"/>
  <c r="J21" i="1"/>
  <c r="N21" i="1"/>
  <c r="R21" i="1"/>
  <c r="V21" i="1"/>
  <c r="Y21" i="1"/>
  <c r="AB21" i="1"/>
  <c r="AF21" i="1"/>
  <c r="AI21" i="1"/>
  <c r="AK21" i="1"/>
  <c r="AM21" i="1" s="1"/>
  <c r="AQ21" i="1"/>
  <c r="AU21" i="1"/>
  <c r="AY21" i="1"/>
  <c r="BC21" i="1"/>
  <c r="BF21" i="1"/>
  <c r="BJ21" i="1"/>
  <c r="BM21" i="1"/>
  <c r="BQ21" i="1"/>
  <c r="BT21" i="1"/>
  <c r="BW21" i="1"/>
  <c r="CA21" i="1"/>
  <c r="CD21" i="1"/>
  <c r="F22" i="1"/>
  <c r="J22" i="1"/>
  <c r="N22" i="1"/>
  <c r="R22" i="1"/>
  <c r="V22" i="1"/>
  <c r="Y22" i="1"/>
  <c r="AB22" i="1"/>
  <c r="AF22" i="1"/>
  <c r="AI22" i="1"/>
  <c r="AK22" i="1"/>
  <c r="AM22" i="1" s="1"/>
  <c r="AO22" i="1"/>
  <c r="AQ22" i="1"/>
  <c r="AS22" i="1"/>
  <c r="AU22" i="1" s="1"/>
  <c r="AW22" i="1"/>
  <c r="AY22" i="1"/>
  <c r="BC22" i="1"/>
  <c r="BF22" i="1"/>
  <c r="BJ22" i="1"/>
  <c r="BM22" i="1"/>
  <c r="BQ22" i="1"/>
  <c r="BT22" i="1"/>
  <c r="BW22" i="1"/>
  <c r="CA22" i="1"/>
  <c r="CD22" i="1"/>
  <c r="F23" i="1"/>
  <c r="J23" i="1"/>
  <c r="N23" i="1"/>
  <c r="R23" i="1"/>
  <c r="V23" i="1"/>
  <c r="Y23" i="1"/>
  <c r="AB23" i="1"/>
  <c r="AF23" i="1"/>
  <c r="AI23" i="1"/>
  <c r="AK23" i="1"/>
  <c r="AM23" i="1"/>
  <c r="AO23" i="1"/>
  <c r="AQ23" i="1" s="1"/>
  <c r="AS23" i="1"/>
  <c r="AU23" i="1"/>
  <c r="AW23" i="1"/>
  <c r="AY23" i="1" s="1"/>
  <c r="BC23" i="1"/>
  <c r="BF23" i="1"/>
  <c r="BJ23" i="1"/>
  <c r="BM23" i="1"/>
  <c r="BQ23" i="1"/>
  <c r="BT23" i="1"/>
  <c r="BW23" i="1"/>
  <c r="CA23" i="1"/>
  <c r="CD23" i="1"/>
  <c r="F24" i="1"/>
  <c r="J24" i="1"/>
  <c r="N24" i="1"/>
  <c r="R24" i="1"/>
  <c r="V24" i="1"/>
  <c r="Y24" i="1"/>
  <c r="AB24" i="1"/>
  <c r="AF24" i="1"/>
  <c r="AI24" i="1"/>
  <c r="AK24" i="1"/>
  <c r="AM24" i="1" s="1"/>
  <c r="AQ24" i="1"/>
  <c r="AU24" i="1"/>
  <c r="AY24" i="1"/>
  <c r="BC24" i="1"/>
  <c r="BF24" i="1"/>
  <c r="BJ24" i="1"/>
  <c r="BM24" i="1"/>
  <c r="BQ24" i="1"/>
  <c r="BT24" i="1"/>
  <c r="BW24" i="1"/>
  <c r="CA24" i="1"/>
  <c r="CD24" i="1"/>
  <c r="F25" i="1"/>
  <c r="J25" i="1"/>
  <c r="N25" i="1"/>
  <c r="R25" i="1"/>
  <c r="V25" i="1"/>
  <c r="Y25" i="1"/>
  <c r="AB25" i="1"/>
  <c r="AF25" i="1"/>
  <c r="AI25" i="1"/>
  <c r="AK25" i="1"/>
  <c r="AM25" i="1"/>
  <c r="AO25" i="1"/>
  <c r="AQ25" i="1" s="1"/>
  <c r="AS25" i="1"/>
  <c r="AU25" i="1"/>
  <c r="AW25" i="1"/>
  <c r="AY25" i="1" s="1"/>
  <c r="BC25" i="1"/>
  <c r="BF25" i="1"/>
  <c r="BJ25" i="1"/>
  <c r="BM25" i="1"/>
  <c r="BQ25" i="1"/>
  <c r="BT25" i="1"/>
  <c r="BW25" i="1"/>
  <c r="CA25" i="1"/>
  <c r="CD25" i="1"/>
  <c r="F26" i="1"/>
  <c r="J26" i="1"/>
  <c r="N26" i="1"/>
  <c r="R26" i="1"/>
  <c r="V26" i="1"/>
  <c r="Y26" i="1"/>
  <c r="AB26" i="1"/>
  <c r="AF26" i="1"/>
  <c r="AI26" i="1"/>
  <c r="AM26" i="1"/>
  <c r="AQ26" i="1"/>
  <c r="AU26" i="1"/>
  <c r="AY26" i="1"/>
  <c r="BC26" i="1"/>
  <c r="BF26" i="1"/>
  <c r="BJ26" i="1"/>
  <c r="BM26" i="1"/>
  <c r="BQ26" i="1"/>
  <c r="BT26" i="1"/>
  <c r="BW26" i="1"/>
  <c r="CA26" i="1"/>
  <c r="CD26" i="1"/>
  <c r="F27" i="1"/>
  <c r="J27" i="1"/>
  <c r="N27" i="1"/>
  <c r="R27" i="1"/>
  <c r="V27" i="1"/>
  <c r="Y27" i="1"/>
  <c r="AB27" i="1"/>
  <c r="AF27" i="1"/>
  <c r="AI27" i="1"/>
  <c r="AM27" i="1"/>
  <c r="AQ27" i="1"/>
  <c r="AU27" i="1"/>
  <c r="AY27" i="1"/>
  <c r="BC27" i="1"/>
  <c r="BF27" i="1"/>
  <c r="BJ27" i="1"/>
  <c r="BM27" i="1"/>
  <c r="BQ27" i="1"/>
  <c r="BT27" i="1"/>
  <c r="BW27" i="1"/>
  <c r="CA27" i="1"/>
  <c r="CD27" i="1"/>
  <c r="F28" i="1"/>
  <c r="J28" i="1"/>
  <c r="N28" i="1"/>
  <c r="R28" i="1"/>
  <c r="V28" i="1"/>
  <c r="Y28" i="1"/>
  <c r="AB28" i="1"/>
  <c r="AF28" i="1"/>
  <c r="AI28" i="1"/>
  <c r="AM28" i="1"/>
  <c r="AQ28" i="1"/>
  <c r="AU28" i="1"/>
  <c r="AY28" i="1"/>
  <c r="BC28" i="1"/>
  <c r="BF28" i="1"/>
  <c r="BJ28" i="1"/>
  <c r="BM28" i="1"/>
  <c r="BQ28" i="1"/>
  <c r="BT28" i="1"/>
  <c r="BW28" i="1"/>
  <c r="CA28" i="1"/>
  <c r="CD28" i="1"/>
  <c r="F29" i="1"/>
  <c r="J29" i="1"/>
  <c r="N29" i="1"/>
  <c r="R29" i="1"/>
  <c r="V29" i="1"/>
  <c r="Y29" i="1"/>
  <c r="AB29" i="1"/>
  <c r="AF29" i="1"/>
  <c r="AI29" i="1"/>
  <c r="AM29" i="1"/>
  <c r="AQ29" i="1"/>
  <c r="AU29" i="1"/>
  <c r="AY29" i="1"/>
  <c r="BC29" i="1"/>
  <c r="BF29" i="1"/>
  <c r="BJ29" i="1"/>
  <c r="BM29" i="1"/>
  <c r="BQ29" i="1"/>
  <c r="BT29" i="1"/>
  <c r="BW29" i="1"/>
  <c r="CA29" i="1"/>
  <c r="CD29" i="1"/>
  <c r="F30" i="1"/>
  <c r="J30" i="1"/>
  <c r="N30" i="1"/>
  <c r="R30" i="1"/>
  <c r="V30" i="1"/>
  <c r="Y30" i="1"/>
  <c r="AB30" i="1"/>
  <c r="AF30" i="1"/>
  <c r="AI30" i="1"/>
  <c r="AM30" i="1"/>
  <c r="AQ30" i="1"/>
  <c r="AU30" i="1"/>
  <c r="AY30" i="1"/>
  <c r="BC30" i="1"/>
  <c r="BF30" i="1"/>
  <c r="BJ30" i="1"/>
  <c r="BM30" i="1"/>
  <c r="BQ30" i="1"/>
  <c r="BT30" i="1"/>
  <c r="BW30" i="1"/>
  <c r="CA30" i="1"/>
  <c r="CD30" i="1"/>
  <c r="F31" i="1"/>
  <c r="J31" i="1"/>
  <c r="N31" i="1"/>
  <c r="R31" i="1"/>
  <c r="V31" i="1"/>
  <c r="Y31" i="1"/>
  <c r="AB31" i="1"/>
  <c r="AF31" i="1"/>
  <c r="AI31" i="1"/>
  <c r="AM31" i="1"/>
  <c r="AQ31" i="1"/>
  <c r="AU31" i="1"/>
  <c r="AY31" i="1"/>
  <c r="BC31" i="1"/>
  <c r="BF31" i="1"/>
  <c r="BJ31" i="1"/>
  <c r="BM31" i="1"/>
  <c r="BQ31" i="1"/>
  <c r="BT31" i="1"/>
  <c r="BW31" i="1"/>
  <c r="CA31" i="1"/>
  <c r="CD31" i="1"/>
  <c r="F32" i="1"/>
  <c r="J32" i="1"/>
  <c r="N32" i="1"/>
  <c r="R32" i="1"/>
  <c r="V32" i="1"/>
  <c r="Y32" i="1"/>
  <c r="AB32" i="1"/>
  <c r="AF32" i="1"/>
  <c r="AI32" i="1"/>
  <c r="AM32" i="1"/>
  <c r="AQ32" i="1"/>
  <c r="AU32" i="1"/>
  <c r="AY32" i="1"/>
  <c r="BC32" i="1"/>
  <c r="BF32" i="1"/>
  <c r="BJ32" i="1"/>
  <c r="BM32" i="1"/>
  <c r="BQ32" i="1"/>
  <c r="BT32" i="1"/>
  <c r="BW32" i="1"/>
  <c r="CA32" i="1"/>
  <c r="CD32" i="1"/>
  <c r="F33" i="1"/>
  <c r="J33" i="1"/>
  <c r="N33" i="1"/>
  <c r="R33" i="1"/>
  <c r="V33" i="1"/>
  <c r="Y33" i="1"/>
  <c r="AB33" i="1"/>
  <c r="AF33" i="1"/>
  <c r="AI33" i="1"/>
  <c r="AM33" i="1"/>
  <c r="AQ33" i="1"/>
  <c r="AU33" i="1"/>
  <c r="AY33" i="1"/>
  <c r="BC33" i="1"/>
  <c r="BF33" i="1"/>
  <c r="BJ33" i="1"/>
  <c r="BM33" i="1"/>
  <c r="BQ33" i="1"/>
  <c r="BT33" i="1"/>
  <c r="BW33" i="1"/>
  <c r="CA33" i="1"/>
  <c r="CD33" i="1"/>
  <c r="F34" i="1"/>
  <c r="J34" i="1"/>
  <c r="N34" i="1"/>
  <c r="R34" i="1"/>
  <c r="V34" i="1"/>
  <c r="Y34" i="1"/>
  <c r="AB34" i="1"/>
  <c r="AF34" i="1"/>
  <c r="AI34" i="1"/>
  <c r="AM34" i="1"/>
  <c r="AQ34" i="1"/>
  <c r="AU34" i="1"/>
  <c r="AY34" i="1"/>
  <c r="BC34" i="1"/>
  <c r="BF34" i="1"/>
  <c r="BJ34" i="1"/>
  <c r="BM34" i="1"/>
  <c r="BQ34" i="1"/>
  <c r="BT34" i="1"/>
  <c r="BW34" i="1"/>
  <c r="CA34" i="1"/>
  <c r="CD34" i="1"/>
  <c r="F35" i="1"/>
  <c r="J35" i="1"/>
  <c r="N35" i="1"/>
  <c r="R35" i="1"/>
  <c r="V35" i="1"/>
  <c r="Y35" i="1"/>
  <c r="AB35" i="1"/>
  <c r="AF35" i="1"/>
  <c r="AI35" i="1"/>
  <c r="AM35" i="1"/>
  <c r="AQ35" i="1"/>
  <c r="AU35" i="1"/>
  <c r="AY35" i="1"/>
  <c r="BC35" i="1"/>
  <c r="BF35" i="1"/>
  <c r="BJ35" i="1"/>
  <c r="BM35" i="1"/>
  <c r="BQ35" i="1"/>
  <c r="BT35" i="1"/>
  <c r="BW35" i="1"/>
  <c r="CA35" i="1"/>
  <c r="CD35" i="1"/>
  <c r="F36" i="1"/>
  <c r="J36" i="1"/>
  <c r="N36" i="1"/>
  <c r="R36" i="1"/>
  <c r="V36" i="1"/>
  <c r="Y36" i="1"/>
  <c r="AB36" i="1"/>
  <c r="AF36" i="1"/>
  <c r="AI36" i="1"/>
  <c r="AM36" i="1"/>
  <c r="AQ36" i="1"/>
  <c r="AU36" i="1"/>
  <c r="AY36" i="1"/>
  <c r="BC36" i="1"/>
  <c r="BF36" i="1"/>
  <c r="BJ36" i="1"/>
  <c r="BM36" i="1"/>
  <c r="BQ36" i="1"/>
  <c r="BT36" i="1"/>
  <c r="BW36" i="1"/>
  <c r="CA36" i="1"/>
  <c r="CD36" i="1"/>
  <c r="F37" i="1"/>
  <c r="J37" i="1"/>
  <c r="N37" i="1"/>
  <c r="R37" i="1"/>
  <c r="V37" i="1"/>
  <c r="Y37" i="1"/>
  <c r="AB37" i="1"/>
  <c r="AF37" i="1"/>
  <c r="AI37" i="1"/>
  <c r="AM37" i="1"/>
  <c r="AQ37" i="1"/>
  <c r="AU37" i="1"/>
  <c r="AY37" i="1"/>
  <c r="BC37" i="1"/>
  <c r="BF37" i="1"/>
  <c r="BJ37" i="1"/>
  <c r="BM37" i="1"/>
  <c r="BQ37" i="1"/>
  <c r="BT37" i="1"/>
  <c r="BW37" i="1"/>
  <c r="CA37" i="1"/>
  <c r="CD37" i="1"/>
  <c r="F38" i="1"/>
  <c r="J38" i="1"/>
  <c r="N38" i="1"/>
  <c r="R38" i="1"/>
  <c r="V38" i="1"/>
  <c r="Y38" i="1"/>
  <c r="AB38" i="1"/>
  <c r="AF38" i="1"/>
  <c r="AI38" i="1"/>
  <c r="AM38" i="1"/>
  <c r="AQ38" i="1"/>
  <c r="AU38" i="1"/>
  <c r="AY38" i="1"/>
  <c r="BC38" i="1"/>
  <c r="BF38" i="1"/>
  <c r="BJ38" i="1"/>
  <c r="BM38" i="1"/>
  <c r="BQ38" i="1"/>
  <c r="BT38" i="1"/>
  <c r="BW38" i="1"/>
  <c r="CA38" i="1"/>
  <c r="CD38" i="1"/>
  <c r="F39" i="1"/>
  <c r="J39" i="1"/>
  <c r="N39" i="1"/>
  <c r="R39" i="1"/>
  <c r="V39" i="1"/>
  <c r="Y39" i="1"/>
  <c r="AB39" i="1"/>
  <c r="AF39" i="1"/>
  <c r="AI39" i="1"/>
  <c r="AM39" i="1"/>
  <c r="AO39" i="1"/>
  <c r="AQ39" i="1" s="1"/>
  <c r="AS39" i="1"/>
  <c r="AU39" i="1"/>
  <c r="AY39" i="1"/>
  <c r="BC39" i="1"/>
  <c r="BF39" i="1"/>
  <c r="BJ39" i="1"/>
  <c r="BM39" i="1"/>
  <c r="BQ39" i="1"/>
  <c r="BT39" i="1"/>
  <c r="BW39" i="1"/>
  <c r="CA39" i="1"/>
  <c r="CD39" i="1"/>
  <c r="F40" i="1"/>
  <c r="J40" i="1"/>
  <c r="N40" i="1"/>
  <c r="R40" i="1"/>
  <c r="V40" i="1"/>
  <c r="Y40" i="1"/>
  <c r="AB40" i="1"/>
  <c r="AF40" i="1"/>
  <c r="AI40" i="1"/>
  <c r="AM40" i="1"/>
  <c r="AQ40" i="1"/>
  <c r="AU40" i="1"/>
  <c r="AY40" i="1"/>
  <c r="BC40" i="1"/>
  <c r="BF40" i="1"/>
  <c r="BJ40" i="1"/>
  <c r="BM40" i="1"/>
  <c r="BQ40" i="1"/>
  <c r="BT40" i="1"/>
  <c r="BW40" i="1"/>
  <c r="CA40" i="1"/>
  <c r="CD40" i="1"/>
  <c r="F41" i="1"/>
  <c r="J41" i="1"/>
  <c r="N41" i="1"/>
  <c r="R41" i="1"/>
  <c r="V41" i="1"/>
  <c r="Y41" i="1"/>
  <c r="AB41" i="1"/>
  <c r="AF41" i="1"/>
  <c r="AI41" i="1"/>
  <c r="AK41" i="1"/>
  <c r="AM41" i="1" s="1"/>
  <c r="AO41" i="1"/>
  <c r="AQ41" i="1"/>
  <c r="AS41" i="1"/>
  <c r="AU41" i="1" s="1"/>
  <c r="AT41" i="1"/>
  <c r="AW41" i="1"/>
  <c r="AY41" i="1" s="1"/>
  <c r="BA41" i="1"/>
  <c r="BC41" i="1"/>
  <c r="BD41" i="1"/>
  <c r="BF41" i="1" s="1"/>
  <c r="BJ41" i="1"/>
  <c r="BM41" i="1"/>
  <c r="BQ41" i="1"/>
  <c r="BT41" i="1"/>
  <c r="BW41" i="1"/>
  <c r="CA41" i="1"/>
  <c r="CD41" i="1"/>
  <c r="F42" i="1"/>
  <c r="J42" i="1"/>
  <c r="N42" i="1"/>
  <c r="R42" i="1"/>
  <c r="V42" i="1"/>
  <c r="Y42" i="1"/>
  <c r="AB42" i="1"/>
  <c r="AF42" i="1"/>
  <c r="AI42" i="1"/>
  <c r="AM42" i="1"/>
  <c r="AQ42" i="1"/>
  <c r="AU42" i="1"/>
  <c r="AY42" i="1"/>
  <c r="BC42" i="1"/>
  <c r="BF42" i="1"/>
  <c r="BJ42" i="1"/>
  <c r="BM42" i="1"/>
  <c r="BQ42" i="1"/>
  <c r="BT42" i="1"/>
  <c r="BW42" i="1"/>
  <c r="CA42" i="1"/>
  <c r="CD42" i="1"/>
  <c r="F43" i="1"/>
  <c r="J43" i="1"/>
  <c r="N43" i="1"/>
  <c r="R43" i="1"/>
  <c r="V43" i="1"/>
  <c r="Y43" i="1"/>
  <c r="AB43" i="1"/>
  <c r="AF43" i="1"/>
  <c r="AI43" i="1"/>
  <c r="AM43" i="1"/>
  <c r="AQ43" i="1"/>
  <c r="AU43" i="1"/>
  <c r="AY43" i="1"/>
  <c r="BC43" i="1"/>
  <c r="BF43" i="1"/>
  <c r="BJ43" i="1"/>
  <c r="BM43" i="1"/>
  <c r="BQ43" i="1"/>
  <c r="BT43" i="1"/>
  <c r="BW43" i="1"/>
  <c r="CA43" i="1"/>
  <c r="CD43" i="1"/>
  <c r="F44" i="1"/>
  <c r="J44" i="1"/>
  <c r="N44" i="1"/>
  <c r="R44" i="1"/>
  <c r="V44" i="1"/>
  <c r="Y44" i="1"/>
  <c r="AB44" i="1"/>
  <c r="AF44" i="1"/>
  <c r="AI44" i="1"/>
  <c r="AM44" i="1"/>
  <c r="AQ44" i="1"/>
  <c r="AU44" i="1"/>
  <c r="AY44" i="1"/>
  <c r="BC44" i="1"/>
  <c r="BF44" i="1"/>
  <c r="BJ44" i="1"/>
  <c r="BM44" i="1"/>
  <c r="BQ44" i="1"/>
  <c r="BT44" i="1"/>
  <c r="BW44" i="1"/>
  <c r="CA44" i="1"/>
  <c r="CD44" i="1"/>
  <c r="F45" i="1"/>
  <c r="J45" i="1"/>
  <c r="N45" i="1"/>
  <c r="R45" i="1"/>
  <c r="V45" i="1"/>
  <c r="Y45" i="1"/>
  <c r="AB45" i="1"/>
  <c r="AF45" i="1"/>
  <c r="AI45" i="1"/>
  <c r="AM45" i="1"/>
  <c r="AQ45" i="1"/>
  <c r="AU45" i="1"/>
  <c r="AY45" i="1"/>
  <c r="BC45" i="1"/>
  <c r="BF45" i="1"/>
  <c r="BJ45" i="1"/>
  <c r="BM45" i="1"/>
  <c r="BQ45" i="1"/>
  <c r="BT45" i="1"/>
  <c r="BW45" i="1"/>
  <c r="CA45" i="1"/>
  <c r="CD45" i="1"/>
  <c r="F46" i="1"/>
  <c r="J46" i="1"/>
  <c r="N46" i="1"/>
  <c r="R46" i="1"/>
  <c r="V46" i="1"/>
  <c r="Y46" i="1"/>
  <c r="AB46" i="1"/>
  <c r="AF46" i="1"/>
  <c r="AI46" i="1"/>
  <c r="AM46" i="1"/>
  <c r="AQ46" i="1"/>
  <c r="AU46" i="1"/>
  <c r="AY46" i="1"/>
  <c r="BC46" i="1"/>
  <c r="BF46" i="1"/>
  <c r="BJ46" i="1"/>
  <c r="BM46" i="1"/>
  <c r="BQ46" i="1"/>
  <c r="BT46" i="1"/>
  <c r="BW46" i="1"/>
  <c r="CA46" i="1"/>
  <c r="CD46" i="1"/>
  <c r="F47" i="1"/>
  <c r="J47" i="1"/>
  <c r="N47" i="1"/>
  <c r="R47" i="1"/>
  <c r="V47" i="1"/>
  <c r="Y47" i="1"/>
  <c r="AB47" i="1"/>
  <c r="AF47" i="1"/>
  <c r="AI47" i="1"/>
  <c r="AM47" i="1"/>
  <c r="AQ47" i="1"/>
  <c r="AU47" i="1"/>
  <c r="AY47" i="1"/>
  <c r="BC47" i="1"/>
  <c r="BF47" i="1"/>
  <c r="BJ47" i="1"/>
  <c r="BM47" i="1"/>
  <c r="BQ47" i="1"/>
  <c r="BT47" i="1"/>
  <c r="BW47" i="1"/>
  <c r="CA47" i="1"/>
  <c r="CD47" i="1"/>
  <c r="F48" i="1"/>
  <c r="J48" i="1"/>
  <c r="N48" i="1"/>
  <c r="R48" i="1"/>
  <c r="V48" i="1"/>
  <c r="Y48" i="1"/>
  <c r="AB48" i="1"/>
  <c r="AF48" i="1"/>
  <c r="AI48" i="1"/>
  <c r="AM48" i="1"/>
  <c r="AQ48" i="1"/>
  <c r="AU48" i="1"/>
  <c r="AY48" i="1"/>
  <c r="BC48" i="1"/>
  <c r="BF48" i="1"/>
  <c r="BJ48" i="1"/>
  <c r="BM48" i="1"/>
  <c r="BQ48" i="1"/>
  <c r="BT48" i="1"/>
  <c r="BW48" i="1"/>
  <c r="CA48" i="1"/>
  <c r="CD48" i="1"/>
  <c r="F49" i="1"/>
  <c r="J49" i="1"/>
  <c r="N49" i="1"/>
  <c r="R49" i="1"/>
  <c r="V49" i="1"/>
  <c r="Y49" i="1"/>
  <c r="AB49" i="1"/>
  <c r="AF49" i="1"/>
  <c r="AI49" i="1"/>
  <c r="AM49" i="1"/>
  <c r="AQ49" i="1"/>
  <c r="AU49" i="1"/>
  <c r="AY49" i="1"/>
  <c r="BC49" i="1"/>
  <c r="BF49" i="1"/>
  <c r="BJ49" i="1"/>
  <c r="BM49" i="1"/>
  <c r="BQ49" i="1"/>
  <c r="BT49" i="1"/>
  <c r="BW49" i="1"/>
  <c r="CA49" i="1"/>
  <c r="CD49" i="1"/>
  <c r="F50" i="1"/>
  <c r="J50" i="1"/>
  <c r="N50" i="1"/>
  <c r="R50" i="1"/>
  <c r="V50" i="1"/>
  <c r="Y50" i="1"/>
  <c r="AB50" i="1"/>
  <c r="AF50" i="1"/>
  <c r="AI50" i="1"/>
  <c r="AM50" i="1"/>
  <c r="AQ50" i="1"/>
  <c r="AU50" i="1"/>
  <c r="AY50" i="1"/>
  <c r="BC50" i="1"/>
  <c r="BF50" i="1"/>
  <c r="BJ50" i="1"/>
  <c r="BM50" i="1"/>
  <c r="BQ50" i="1"/>
  <c r="BT50" i="1"/>
  <c r="BW50" i="1"/>
  <c r="CA50" i="1"/>
  <c r="CD50" i="1"/>
  <c r="F51" i="1"/>
  <c r="J51" i="1"/>
  <c r="N51" i="1"/>
  <c r="R51" i="1"/>
  <c r="V51" i="1"/>
  <c r="Y51" i="1"/>
  <c r="AB51" i="1"/>
  <c r="AF51" i="1"/>
  <c r="AI51" i="1"/>
  <c r="AM51" i="1"/>
  <c r="AQ51" i="1"/>
  <c r="AU51" i="1"/>
  <c r="AY51" i="1"/>
  <c r="BC51" i="1"/>
  <c r="BF51" i="1"/>
  <c r="BJ51" i="1"/>
  <c r="BM51" i="1"/>
  <c r="BQ51" i="1"/>
  <c r="BT51" i="1"/>
  <c r="BW51" i="1"/>
  <c r="CA51" i="1"/>
  <c r="CD51" i="1"/>
  <c r="F52" i="1"/>
  <c r="J52" i="1"/>
  <c r="N52" i="1"/>
  <c r="R52" i="1"/>
  <c r="V52" i="1"/>
  <c r="Y52" i="1"/>
  <c r="AB52" i="1"/>
  <c r="AF52" i="1"/>
  <c r="AI52" i="1"/>
  <c r="AM52" i="1"/>
  <c r="AQ52" i="1"/>
  <c r="AU52" i="1"/>
  <c r="AY52" i="1"/>
  <c r="BC52" i="1"/>
  <c r="BF52" i="1"/>
  <c r="BJ52" i="1"/>
  <c r="BM52" i="1"/>
  <c r="BQ52" i="1"/>
  <c r="BT52" i="1"/>
  <c r="BW52" i="1"/>
  <c r="CA52" i="1"/>
  <c r="CD52" i="1"/>
  <c r="F53" i="1"/>
  <c r="J53" i="1"/>
  <c r="N53" i="1"/>
  <c r="R53" i="1"/>
  <c r="V53" i="1"/>
  <c r="Y53" i="1"/>
  <c r="AB53" i="1"/>
  <c r="AF53" i="1"/>
  <c r="AI53" i="1"/>
  <c r="AM53" i="1"/>
  <c r="AQ53" i="1"/>
  <c r="AU53" i="1"/>
  <c r="AY53" i="1"/>
  <c r="BC53" i="1"/>
  <c r="BF53" i="1"/>
  <c r="BJ53" i="1"/>
  <c r="BM53" i="1"/>
  <c r="BQ53" i="1"/>
  <c r="BT53" i="1"/>
  <c r="BW53" i="1"/>
  <c r="CA53" i="1"/>
  <c r="CD53" i="1"/>
  <c r="F54" i="1"/>
  <c r="J54" i="1"/>
  <c r="N54" i="1"/>
  <c r="R54" i="1"/>
  <c r="V54" i="1"/>
  <c r="Y54" i="1"/>
  <c r="AB54" i="1"/>
  <c r="AF54" i="1"/>
  <c r="AI54" i="1"/>
  <c r="AM54" i="1"/>
  <c r="AQ54" i="1"/>
  <c r="AU54" i="1"/>
  <c r="AY54" i="1"/>
  <c r="BC54" i="1"/>
  <c r="BF54" i="1"/>
  <c r="BJ54" i="1"/>
  <c r="BM54" i="1"/>
  <c r="BQ54" i="1"/>
  <c r="BT54" i="1"/>
  <c r="BW54" i="1"/>
  <c r="CA54" i="1"/>
  <c r="CD54" i="1"/>
  <c r="F55" i="1"/>
  <c r="J55" i="1"/>
  <c r="N55" i="1"/>
  <c r="R55" i="1"/>
  <c r="V55" i="1"/>
  <c r="Y55" i="1"/>
  <c r="AB55" i="1"/>
  <c r="AF55" i="1"/>
  <c r="AI55" i="1"/>
  <c r="AM55" i="1"/>
  <c r="AQ55" i="1"/>
  <c r="AU55" i="1"/>
  <c r="AY55" i="1"/>
  <c r="BC55" i="1"/>
  <c r="BF55" i="1"/>
  <c r="BJ55" i="1"/>
  <c r="BM55" i="1"/>
  <c r="BQ55" i="1"/>
  <c r="BT55" i="1"/>
  <c r="BW55" i="1"/>
  <c r="CA55" i="1"/>
  <c r="CD55" i="1"/>
  <c r="F56" i="1"/>
  <c r="J56" i="1"/>
  <c r="N56" i="1"/>
  <c r="R56" i="1"/>
  <c r="V56" i="1"/>
  <c r="Y56" i="1"/>
  <c r="AB56" i="1"/>
  <c r="AF56" i="1"/>
  <c r="AI56" i="1"/>
  <c r="AM56" i="1"/>
  <c r="AQ56" i="1"/>
  <c r="AU56" i="1"/>
  <c r="AY56" i="1"/>
  <c r="BC56" i="1"/>
  <c r="BF56" i="1"/>
  <c r="BJ56" i="1"/>
  <c r="BM56" i="1"/>
  <c r="BQ56" i="1"/>
  <c r="BT56" i="1"/>
  <c r="BW56" i="1"/>
  <c r="CA56" i="1"/>
  <c r="CD56" i="1"/>
  <c r="F57" i="1"/>
  <c r="J57" i="1"/>
  <c r="N57" i="1"/>
  <c r="R57" i="1"/>
  <c r="V57" i="1"/>
  <c r="Y57" i="1"/>
  <c r="AB57" i="1"/>
  <c r="AF57" i="1"/>
  <c r="AI57" i="1"/>
  <c r="AM57" i="1"/>
  <c r="AQ57" i="1"/>
  <c r="AU57" i="1"/>
  <c r="AY57" i="1"/>
  <c r="BC57" i="1"/>
  <c r="BF57" i="1"/>
  <c r="BJ57" i="1"/>
  <c r="BM57" i="1"/>
  <c r="BQ57" i="1"/>
  <c r="BT57" i="1"/>
  <c r="BW57" i="1"/>
  <c r="CA57" i="1"/>
  <c r="CD57" i="1"/>
  <c r="F58" i="1"/>
  <c r="J58" i="1"/>
  <c r="N58" i="1"/>
  <c r="R58" i="1"/>
  <c r="V58" i="1"/>
  <c r="Y58" i="1"/>
  <c r="AB58" i="1"/>
  <c r="AF58" i="1"/>
  <c r="AI58" i="1"/>
  <c r="AM58" i="1"/>
  <c r="AQ58" i="1"/>
  <c r="AU58" i="1"/>
  <c r="AY58" i="1"/>
  <c r="BC58" i="1"/>
  <c r="BF58" i="1"/>
  <c r="BJ58" i="1"/>
  <c r="BM58" i="1"/>
  <c r="BQ58" i="1"/>
  <c r="BT58" i="1"/>
  <c r="BW58" i="1"/>
  <c r="CA58" i="1"/>
  <c r="CD58" i="1"/>
  <c r="F59" i="1"/>
  <c r="J59" i="1"/>
  <c r="N59" i="1"/>
  <c r="R59" i="1"/>
  <c r="V59" i="1"/>
  <c r="Y59" i="1"/>
  <c r="AB59" i="1"/>
  <c r="AF59" i="1"/>
  <c r="AI59" i="1"/>
  <c r="AM59" i="1"/>
  <c r="AQ59" i="1"/>
  <c r="AU59" i="1"/>
  <c r="AY59" i="1"/>
  <c r="BC59" i="1"/>
  <c r="BF59" i="1"/>
  <c r="BJ59" i="1"/>
  <c r="BM59" i="1"/>
  <c r="BQ59" i="1"/>
  <c r="BT59" i="1"/>
  <c r="BW59" i="1"/>
  <c r="CA59" i="1"/>
  <c r="CD59" i="1"/>
  <c r="F60" i="1"/>
  <c r="J60" i="1"/>
  <c r="N60" i="1"/>
  <c r="R60" i="1"/>
  <c r="V60" i="1"/>
  <c r="Y60" i="1"/>
  <c r="AB60" i="1"/>
  <c r="AF60" i="1"/>
  <c r="AI60" i="1"/>
  <c r="AM60" i="1"/>
  <c r="AQ60" i="1"/>
  <c r="AU60" i="1"/>
  <c r="AY60" i="1"/>
  <c r="BC60" i="1"/>
  <c r="BF60" i="1"/>
  <c r="BJ60" i="1"/>
  <c r="BM60" i="1"/>
  <c r="BQ60" i="1"/>
  <c r="BT60" i="1"/>
  <c r="BW60" i="1"/>
  <c r="CA60" i="1"/>
  <c r="CD60" i="1"/>
  <c r="F61" i="1"/>
  <c r="J61" i="1"/>
  <c r="N61" i="1"/>
  <c r="R61" i="1"/>
  <c r="V61" i="1"/>
  <c r="Y61" i="1"/>
  <c r="AB61" i="1"/>
  <c r="AF61" i="1"/>
  <c r="AI61" i="1"/>
  <c r="AM61" i="1"/>
  <c r="AQ61" i="1"/>
  <c r="AU61" i="1"/>
  <c r="AY61" i="1"/>
  <c r="BC61" i="1"/>
  <c r="BF61" i="1"/>
  <c r="BJ61" i="1"/>
  <c r="BM61" i="1"/>
  <c r="BQ61" i="1"/>
  <c r="BT61" i="1"/>
  <c r="BW61" i="1"/>
  <c r="CA61" i="1"/>
  <c r="CD61" i="1"/>
  <c r="F62" i="1"/>
  <c r="J62" i="1"/>
  <c r="N62" i="1"/>
  <c r="R62" i="1"/>
  <c r="V62" i="1"/>
  <c r="Y62" i="1"/>
  <c r="AB62" i="1"/>
  <c r="AF62" i="1"/>
  <c r="AI62" i="1"/>
  <c r="AM62" i="1"/>
  <c r="AQ62" i="1"/>
  <c r="AU62" i="1"/>
  <c r="AY62" i="1"/>
  <c r="BC62" i="1"/>
  <c r="BF62" i="1"/>
  <c r="BJ62" i="1"/>
  <c r="BM62" i="1"/>
  <c r="BQ62" i="1"/>
  <c r="BT62" i="1"/>
  <c r="BW62" i="1"/>
  <c r="CA62" i="1"/>
  <c r="CD62" i="1"/>
  <c r="F63" i="1"/>
  <c r="J63" i="1"/>
  <c r="N63" i="1"/>
  <c r="R63" i="1"/>
  <c r="V63" i="1"/>
  <c r="Y63" i="1"/>
  <c r="AB63" i="1"/>
  <c r="AF63" i="1"/>
  <c r="AI63" i="1"/>
  <c r="AM63" i="1"/>
  <c r="AQ63" i="1"/>
  <c r="AU63" i="1"/>
  <c r="AY63" i="1"/>
  <c r="BC63" i="1"/>
  <c r="BF63" i="1"/>
  <c r="BJ63" i="1"/>
  <c r="BM63" i="1"/>
  <c r="BQ63" i="1"/>
  <c r="BT63" i="1"/>
  <c r="BW63" i="1"/>
  <c r="CA63" i="1"/>
  <c r="CD63" i="1"/>
  <c r="F64" i="1"/>
  <c r="J64" i="1"/>
  <c r="N64" i="1"/>
  <c r="R64" i="1"/>
  <c r="V64" i="1"/>
  <c r="Y64" i="1"/>
  <c r="AB64" i="1"/>
  <c r="AF64" i="1"/>
  <c r="AI64" i="1"/>
  <c r="AM64" i="1"/>
  <c r="AQ64" i="1"/>
  <c r="AU64" i="1"/>
  <c r="AY64" i="1"/>
  <c r="BC64" i="1"/>
  <c r="BF64" i="1"/>
  <c r="BJ64" i="1"/>
  <c r="BM64" i="1"/>
  <c r="BQ64" i="1"/>
  <c r="BT64" i="1"/>
  <c r="BW64" i="1"/>
  <c r="CA64" i="1"/>
  <c r="CD64" i="1"/>
  <c r="F65" i="1"/>
  <c r="J65" i="1"/>
  <c r="N65" i="1"/>
  <c r="R65" i="1"/>
  <c r="V65" i="1"/>
  <c r="Y65" i="1"/>
  <c r="AB65" i="1"/>
  <c r="AF65" i="1"/>
  <c r="AI65" i="1"/>
  <c r="AM65" i="1"/>
  <c r="AQ65" i="1"/>
  <c r="AU65" i="1"/>
  <c r="AY65" i="1"/>
  <c r="BC65" i="1"/>
  <c r="BF65" i="1"/>
  <c r="BJ65" i="1"/>
  <c r="BM65" i="1"/>
  <c r="BQ65" i="1"/>
  <c r="BT65" i="1"/>
  <c r="BW65" i="1"/>
  <c r="CA65" i="1"/>
  <c r="CD65" i="1"/>
  <c r="F66" i="1"/>
  <c r="J66" i="1"/>
  <c r="N66" i="1"/>
  <c r="R66" i="1"/>
  <c r="V66" i="1"/>
  <c r="Y66" i="1"/>
  <c r="AB66" i="1"/>
  <c r="AF66" i="1"/>
  <c r="AI66" i="1"/>
  <c r="AM66" i="1"/>
  <c r="AQ66" i="1"/>
  <c r="AU66" i="1"/>
  <c r="AY66" i="1"/>
  <c r="BC66" i="1"/>
  <c r="BF66" i="1"/>
  <c r="BJ66" i="1"/>
  <c r="BM66" i="1"/>
  <c r="BQ66" i="1"/>
  <c r="BT66" i="1"/>
  <c r="BW66" i="1"/>
  <c r="CA66" i="1"/>
  <c r="CD66" i="1"/>
  <c r="F67" i="1"/>
  <c r="J67" i="1"/>
  <c r="N67" i="1"/>
  <c r="R67" i="1"/>
  <c r="V67" i="1"/>
  <c r="Y67" i="1"/>
  <c r="AB67" i="1"/>
  <c r="AF67" i="1"/>
  <c r="AI67" i="1"/>
  <c r="AM67" i="1"/>
  <c r="AQ67" i="1"/>
  <c r="AU67" i="1"/>
  <c r="AY67" i="1"/>
  <c r="BC67" i="1"/>
  <c r="BF67" i="1"/>
  <c r="BJ67" i="1"/>
  <c r="BM67" i="1"/>
  <c r="BQ67" i="1"/>
  <c r="BT67" i="1"/>
  <c r="BW67" i="1"/>
  <c r="CA67" i="1"/>
  <c r="CD67" i="1"/>
  <c r="F68" i="1"/>
  <c r="J68" i="1"/>
  <c r="N68" i="1"/>
  <c r="R68" i="1"/>
  <c r="V68" i="1"/>
  <c r="Y68" i="1"/>
  <c r="AB68" i="1"/>
  <c r="AF68" i="1"/>
  <c r="AI68" i="1"/>
  <c r="AM68" i="1"/>
  <c r="AQ68" i="1"/>
  <c r="AU68" i="1"/>
  <c r="AY68" i="1"/>
  <c r="BC68" i="1"/>
  <c r="BF68" i="1"/>
  <c r="BJ68" i="1"/>
  <c r="BM68" i="1"/>
  <c r="BQ68" i="1"/>
  <c r="BT68" i="1"/>
  <c r="BW68" i="1"/>
  <c r="CA68" i="1"/>
  <c r="CD68" i="1"/>
  <c r="F69" i="1"/>
  <c r="J69" i="1"/>
  <c r="N69" i="1"/>
  <c r="R69" i="1"/>
  <c r="V69" i="1"/>
  <c r="Y69" i="1"/>
  <c r="AB69" i="1"/>
  <c r="AF69" i="1"/>
  <c r="AI69" i="1"/>
  <c r="AM69" i="1"/>
  <c r="AQ69" i="1"/>
  <c r="AU69" i="1"/>
  <c r="AY69" i="1"/>
  <c r="BC69" i="1"/>
  <c r="BF69" i="1"/>
  <c r="BJ69" i="1"/>
  <c r="BM69" i="1"/>
  <c r="BQ69" i="1"/>
  <c r="BT69" i="1"/>
  <c r="BW69" i="1"/>
  <c r="CA69" i="1"/>
  <c r="CD69" i="1"/>
  <c r="F70" i="1"/>
  <c r="J70" i="1"/>
  <c r="N70" i="1"/>
  <c r="R70" i="1"/>
  <c r="V70" i="1"/>
  <c r="Y70" i="1"/>
  <c r="AB70" i="1"/>
  <c r="AF70" i="1"/>
  <c r="AI70" i="1"/>
  <c r="AM70" i="1"/>
  <c r="AO70" i="1"/>
  <c r="AQ70" i="1"/>
  <c r="AS70" i="1"/>
  <c r="AU70" i="1" s="1"/>
  <c r="AW70" i="1"/>
  <c r="AY70" i="1"/>
  <c r="BA70" i="1"/>
  <c r="BC70" i="1" s="1"/>
  <c r="BD70" i="1"/>
  <c r="BF70" i="1"/>
  <c r="BJ70" i="1"/>
  <c r="BM70" i="1"/>
  <c r="BQ70" i="1"/>
  <c r="BT70" i="1"/>
  <c r="BW70" i="1"/>
  <c r="CA70" i="1"/>
  <c r="CD70" i="1"/>
  <c r="F71" i="1"/>
  <c r="J71" i="1"/>
  <c r="N71" i="1"/>
  <c r="R71" i="1"/>
  <c r="V71" i="1"/>
  <c r="Y71" i="1"/>
  <c r="AB71" i="1"/>
  <c r="AF71" i="1"/>
  <c r="AI71" i="1"/>
  <c r="AM71" i="1"/>
  <c r="AQ71" i="1"/>
  <c r="AU71" i="1"/>
  <c r="AY71" i="1"/>
  <c r="BC71" i="1"/>
  <c r="BF71" i="1"/>
  <c r="BJ71" i="1"/>
  <c r="BM71" i="1"/>
  <c r="BQ71" i="1"/>
  <c r="BT71" i="1"/>
  <c r="BW71" i="1"/>
  <c r="CA71" i="1"/>
  <c r="CD71" i="1"/>
  <c r="F72" i="1"/>
  <c r="J72" i="1"/>
  <c r="N72" i="1"/>
  <c r="R72" i="1"/>
  <c r="V72" i="1"/>
  <c r="Y72" i="1"/>
  <c r="AB72" i="1"/>
  <c r="AF72" i="1"/>
  <c r="AI72" i="1"/>
  <c r="AM72" i="1"/>
  <c r="AQ72" i="1"/>
  <c r="AU72" i="1"/>
  <c r="AY72" i="1"/>
  <c r="BC72" i="1"/>
  <c r="BF72" i="1"/>
  <c r="BJ72" i="1"/>
  <c r="BM72" i="1"/>
  <c r="BQ72" i="1"/>
  <c r="BT72" i="1"/>
  <c r="BW72" i="1"/>
  <c r="CA72" i="1"/>
  <c r="CD72" i="1"/>
  <c r="F73" i="1"/>
  <c r="J73" i="1"/>
  <c r="N73" i="1"/>
  <c r="R73" i="1"/>
  <c r="V73" i="1"/>
  <c r="Y73" i="1"/>
  <c r="AB73" i="1"/>
  <c r="AF73" i="1"/>
  <c r="AI73" i="1"/>
  <c r="AM73" i="1"/>
  <c r="AQ73" i="1"/>
  <c r="AU73" i="1"/>
  <c r="AY73" i="1"/>
  <c r="BC73" i="1"/>
  <c r="BF73" i="1"/>
  <c r="BJ73" i="1"/>
  <c r="BM73" i="1"/>
  <c r="BQ73" i="1"/>
  <c r="BT73" i="1"/>
  <c r="BW73" i="1"/>
  <c r="CA73" i="1"/>
  <c r="CD73" i="1"/>
  <c r="F74" i="1"/>
  <c r="J74" i="1"/>
  <c r="N74" i="1"/>
  <c r="R74" i="1"/>
  <c r="V74" i="1"/>
  <c r="Y74" i="1"/>
  <c r="AB74" i="1"/>
  <c r="AF74" i="1"/>
  <c r="AI74" i="1"/>
  <c r="AM74" i="1"/>
  <c r="AQ74" i="1"/>
  <c r="AU74" i="1"/>
  <c r="AY74" i="1"/>
  <c r="BC74" i="1"/>
  <c r="BF74" i="1"/>
  <c r="BJ74" i="1"/>
  <c r="BM74" i="1"/>
  <c r="BQ74" i="1"/>
  <c r="BT74" i="1"/>
  <c r="BW74" i="1"/>
  <c r="CA74" i="1"/>
  <c r="CD74" i="1"/>
  <c r="F75" i="1"/>
  <c r="J75" i="1"/>
  <c r="N75" i="1"/>
  <c r="R75" i="1"/>
  <c r="V75" i="1"/>
  <c r="Y75" i="1"/>
  <c r="AB75" i="1"/>
  <c r="AF75" i="1"/>
  <c r="AI75" i="1"/>
  <c r="AM75" i="1"/>
  <c r="AQ75" i="1"/>
  <c r="AU75" i="1"/>
  <c r="AY75" i="1"/>
  <c r="BC75" i="1"/>
  <c r="BF75" i="1"/>
  <c r="BJ75" i="1"/>
  <c r="BM75" i="1"/>
  <c r="BQ75" i="1"/>
  <c r="BT75" i="1"/>
  <c r="BW75" i="1"/>
  <c r="CA75" i="1"/>
  <c r="CD75" i="1"/>
  <c r="F76" i="1"/>
  <c r="J76" i="1"/>
  <c r="N76" i="1"/>
  <c r="R76" i="1"/>
  <c r="V76" i="1"/>
  <c r="Y76" i="1"/>
  <c r="AB76" i="1"/>
  <c r="AF76" i="1"/>
  <c r="AI76" i="1"/>
  <c r="AM76" i="1"/>
  <c r="AQ76" i="1"/>
  <c r="AU76" i="1"/>
  <c r="AY76" i="1"/>
  <c r="BC76" i="1"/>
  <c r="BF76" i="1"/>
  <c r="BJ76" i="1"/>
  <c r="BM76" i="1"/>
  <c r="BQ76" i="1"/>
  <c r="BT76" i="1"/>
  <c r="BW76" i="1"/>
  <c r="CA76" i="1"/>
  <c r="CD76" i="1"/>
  <c r="F77" i="1"/>
  <c r="J77" i="1"/>
  <c r="N77" i="1"/>
  <c r="R77" i="1"/>
  <c r="V77" i="1"/>
  <c r="Y77" i="1"/>
  <c r="AB77" i="1"/>
  <c r="AF77" i="1"/>
  <c r="AI77" i="1"/>
  <c r="AM77" i="1"/>
  <c r="AQ77" i="1"/>
  <c r="AU77" i="1"/>
  <c r="AY77" i="1"/>
  <c r="BC77" i="1"/>
  <c r="BF77" i="1"/>
  <c r="BJ77" i="1"/>
  <c r="BM77" i="1"/>
  <c r="BQ77" i="1"/>
  <c r="BT77" i="1"/>
  <c r="BW77" i="1"/>
  <c r="CA77" i="1"/>
  <c r="CD77" i="1"/>
  <c r="F78" i="1"/>
  <c r="J78" i="1"/>
  <c r="N78" i="1"/>
  <c r="R78" i="1"/>
  <c r="V78" i="1"/>
  <c r="Y78" i="1"/>
  <c r="AB78" i="1"/>
  <c r="AF78" i="1"/>
  <c r="AI78" i="1"/>
  <c r="AM78" i="1"/>
  <c r="AQ78" i="1"/>
  <c r="AU78" i="1"/>
  <c r="AY78" i="1"/>
  <c r="BC78" i="1"/>
  <c r="BF78" i="1"/>
  <c r="BJ78" i="1"/>
  <c r="BM78" i="1"/>
  <c r="BQ78" i="1"/>
  <c r="BT78" i="1"/>
  <c r="BW78" i="1"/>
  <c r="CA78" i="1"/>
  <c r="CD78" i="1"/>
  <c r="F79" i="1"/>
  <c r="J79" i="1"/>
  <c r="N79" i="1"/>
  <c r="R79" i="1"/>
  <c r="V79" i="1"/>
  <c r="Y79" i="1"/>
  <c r="AB79" i="1"/>
  <c r="AF79" i="1"/>
  <c r="AI79" i="1"/>
  <c r="AM79" i="1"/>
  <c r="AQ79" i="1"/>
  <c r="AU79" i="1"/>
  <c r="AY79" i="1"/>
  <c r="BC79" i="1"/>
  <c r="BF79" i="1"/>
  <c r="BJ79" i="1"/>
  <c r="BM79" i="1"/>
  <c r="BQ79" i="1"/>
  <c r="BT79" i="1"/>
  <c r="BW79" i="1"/>
  <c r="CA79" i="1"/>
  <c r="CD79" i="1"/>
  <c r="F80" i="1"/>
  <c r="J80" i="1"/>
  <c r="N80" i="1"/>
  <c r="R80" i="1"/>
  <c r="V80" i="1"/>
  <c r="Y80" i="1"/>
  <c r="AB80" i="1"/>
  <c r="AF80" i="1"/>
  <c r="AI80" i="1"/>
  <c r="AM80" i="1"/>
  <c r="AQ80" i="1"/>
  <c r="AU80" i="1"/>
  <c r="AY80" i="1"/>
  <c r="BC80" i="1"/>
  <c r="BF80" i="1"/>
  <c r="BJ80" i="1"/>
  <c r="BM80" i="1"/>
  <c r="BQ80" i="1"/>
  <c r="BT80" i="1"/>
  <c r="BW80" i="1"/>
  <c r="CA80" i="1"/>
  <c r="CD80" i="1"/>
  <c r="F81" i="1"/>
  <c r="J81" i="1"/>
  <c r="N81" i="1"/>
  <c r="R81" i="1"/>
  <c r="V81" i="1"/>
  <c r="Y81" i="1"/>
  <c r="AB81" i="1"/>
  <c r="AF81" i="1"/>
  <c r="AI81" i="1"/>
  <c r="AM81" i="1"/>
  <c r="AQ81" i="1"/>
  <c r="AU81" i="1"/>
  <c r="AY81" i="1"/>
  <c r="BC81" i="1"/>
  <c r="BF81" i="1"/>
  <c r="BJ81" i="1"/>
  <c r="BM81" i="1"/>
  <c r="BQ81" i="1"/>
  <c r="BT81" i="1"/>
  <c r="BW81" i="1"/>
  <c r="CA81" i="1"/>
  <c r="CD81" i="1"/>
  <c r="F82" i="1"/>
  <c r="J82" i="1"/>
  <c r="N82" i="1"/>
  <c r="R82" i="1"/>
  <c r="V82" i="1"/>
  <c r="Y82" i="1"/>
  <c r="AB82" i="1"/>
  <c r="AF82" i="1"/>
  <c r="AI82" i="1"/>
  <c r="AM82" i="1"/>
  <c r="AQ82" i="1"/>
  <c r="AU82" i="1"/>
  <c r="AY82" i="1"/>
  <c r="BC82" i="1"/>
  <c r="BF82" i="1"/>
  <c r="BJ82" i="1"/>
  <c r="BM82" i="1"/>
  <c r="BQ82" i="1"/>
  <c r="BT82" i="1"/>
  <c r="BW82" i="1"/>
  <c r="CA82" i="1"/>
  <c r="CD82" i="1"/>
  <c r="F83" i="1"/>
  <c r="J83" i="1"/>
  <c r="N83" i="1"/>
  <c r="R83" i="1"/>
  <c r="V83" i="1"/>
  <c r="Y83" i="1"/>
  <c r="AB83" i="1"/>
  <c r="AF83" i="1"/>
  <c r="AI83" i="1"/>
  <c r="AM83" i="1"/>
  <c r="AQ83" i="1"/>
  <c r="AU83" i="1"/>
  <c r="AY83" i="1"/>
  <c r="BC83" i="1"/>
  <c r="BF83" i="1"/>
  <c r="BJ83" i="1"/>
  <c r="BM83" i="1"/>
  <c r="BQ83" i="1"/>
  <c r="BT83" i="1"/>
  <c r="BW83" i="1"/>
  <c r="CA83" i="1"/>
  <c r="CD83" i="1"/>
  <c r="F84" i="1"/>
  <c r="J84" i="1"/>
  <c r="N84" i="1"/>
  <c r="R84" i="1"/>
  <c r="V84" i="1"/>
  <c r="Y84" i="1"/>
  <c r="AB84" i="1"/>
  <c r="AF84" i="1"/>
  <c r="AI84" i="1"/>
  <c r="AM84" i="1"/>
  <c r="AQ84" i="1"/>
  <c r="AU84" i="1"/>
  <c r="AY84" i="1"/>
  <c r="BC84" i="1"/>
  <c r="BF84" i="1"/>
  <c r="BJ84" i="1"/>
  <c r="BM84" i="1"/>
  <c r="BQ84" i="1"/>
  <c r="BT84" i="1"/>
  <c r="BW84" i="1"/>
  <c r="CA84" i="1"/>
  <c r="CD84" i="1"/>
  <c r="F85" i="1"/>
  <c r="J85" i="1"/>
  <c r="N85" i="1"/>
  <c r="R85" i="1"/>
  <c r="V85" i="1"/>
  <c r="Y85" i="1"/>
  <c r="AB85" i="1"/>
  <c r="AF85" i="1"/>
  <c r="AI85" i="1"/>
  <c r="AM85" i="1"/>
  <c r="AQ85" i="1"/>
  <c r="AU85" i="1"/>
  <c r="AY85" i="1"/>
  <c r="BC85" i="1"/>
  <c r="BF85" i="1"/>
  <c r="BJ85" i="1"/>
  <c r="BM85" i="1"/>
  <c r="BQ85" i="1"/>
  <c r="BT85" i="1"/>
  <c r="BW85" i="1"/>
  <c r="CA85" i="1"/>
  <c r="CD85" i="1"/>
  <c r="F86" i="1"/>
  <c r="J86" i="1"/>
  <c r="N86" i="1"/>
  <c r="R86" i="1"/>
  <c r="V86" i="1"/>
  <c r="Y86" i="1"/>
  <c r="AB86" i="1"/>
  <c r="AF86" i="1"/>
  <c r="AI86" i="1"/>
  <c r="AM86" i="1"/>
  <c r="AQ86" i="1"/>
  <c r="AU86" i="1"/>
  <c r="AY86" i="1"/>
  <c r="BC86" i="1"/>
  <c r="BF86" i="1"/>
  <c r="BJ86" i="1"/>
  <c r="BM86" i="1"/>
  <c r="BQ86" i="1"/>
  <c r="BT86" i="1"/>
  <c r="BW86" i="1"/>
  <c r="CA86" i="1"/>
  <c r="CD86" i="1"/>
  <c r="F87" i="1"/>
  <c r="J87" i="1"/>
  <c r="N87" i="1"/>
  <c r="R87" i="1"/>
  <c r="V87" i="1"/>
  <c r="Y87" i="1"/>
  <c r="AB87" i="1"/>
  <c r="AF87" i="1"/>
  <c r="AI87" i="1"/>
  <c r="AM87" i="1"/>
  <c r="AQ87" i="1"/>
  <c r="AU87" i="1"/>
  <c r="AY87" i="1"/>
  <c r="BC87" i="1"/>
  <c r="BF87" i="1"/>
  <c r="BJ87" i="1"/>
  <c r="BM87" i="1"/>
  <c r="BQ87" i="1"/>
  <c r="BT87" i="1"/>
  <c r="BW87" i="1"/>
  <c r="CA87" i="1"/>
  <c r="CD87" i="1"/>
  <c r="F88" i="1"/>
  <c r="J88" i="1"/>
  <c r="N88" i="1"/>
  <c r="R88" i="1"/>
  <c r="V88" i="1"/>
  <c r="Y88" i="1"/>
  <c r="AB88" i="1"/>
  <c r="AF88" i="1"/>
  <c r="AI88" i="1"/>
  <c r="AM88" i="1"/>
  <c r="AQ88" i="1"/>
  <c r="AU88" i="1"/>
  <c r="AY88" i="1"/>
  <c r="BC88" i="1"/>
  <c r="BF88" i="1"/>
  <c r="BJ88" i="1"/>
  <c r="BM88" i="1"/>
  <c r="BQ88" i="1"/>
  <c r="BT88" i="1"/>
  <c r="BW88" i="1"/>
  <c r="CA88" i="1"/>
  <c r="CD88" i="1"/>
  <c r="F89" i="1"/>
  <c r="J89" i="1"/>
  <c r="N89" i="1"/>
  <c r="R89" i="1"/>
  <c r="V89" i="1"/>
  <c r="Y89" i="1"/>
  <c r="AB89" i="1"/>
  <c r="AF89" i="1"/>
  <c r="AI89" i="1"/>
  <c r="AM89" i="1"/>
  <c r="AQ89" i="1"/>
  <c r="AU89" i="1"/>
  <c r="AY89" i="1"/>
  <c r="BC89" i="1"/>
  <c r="BF89" i="1"/>
  <c r="BJ89" i="1"/>
  <c r="BM89" i="1"/>
  <c r="BQ89" i="1"/>
  <c r="BT89" i="1"/>
  <c r="BW89" i="1"/>
  <c r="CA89" i="1"/>
  <c r="CD89" i="1"/>
  <c r="F90" i="1"/>
  <c r="J90" i="1"/>
  <c r="N90" i="1"/>
  <c r="R90" i="1"/>
  <c r="V90" i="1"/>
  <c r="Y90" i="1"/>
  <c r="AB90" i="1"/>
  <c r="AF90" i="1"/>
  <c r="AI90" i="1"/>
  <c r="AM90" i="1"/>
  <c r="AQ90" i="1"/>
  <c r="AU90" i="1"/>
  <c r="AY90" i="1"/>
  <c r="BC90" i="1"/>
  <c r="BF90" i="1"/>
  <c r="BJ90" i="1"/>
  <c r="BM90" i="1"/>
  <c r="BQ90" i="1"/>
  <c r="BT90" i="1"/>
  <c r="BW90" i="1"/>
  <c r="CA90" i="1"/>
  <c r="CD90" i="1"/>
  <c r="F91" i="1"/>
  <c r="J91" i="1"/>
  <c r="N91" i="1"/>
  <c r="R91" i="1"/>
  <c r="V91" i="1"/>
  <c r="Y91" i="1"/>
  <c r="AB91" i="1"/>
  <c r="AF91" i="1"/>
  <c r="AI91" i="1"/>
  <c r="AM91" i="1"/>
  <c r="AQ91" i="1"/>
  <c r="AU91" i="1"/>
  <c r="AY91" i="1"/>
  <c r="BC91" i="1"/>
  <c r="BF91" i="1"/>
  <c r="BJ91" i="1"/>
  <c r="BM91" i="1"/>
  <c r="BQ91" i="1"/>
  <c r="BT91" i="1"/>
  <c r="BW91" i="1"/>
  <c r="CA91" i="1"/>
  <c r="CD91" i="1"/>
  <c r="F92" i="1"/>
  <c r="J92" i="1"/>
  <c r="N92" i="1"/>
  <c r="R92" i="1"/>
  <c r="V92" i="1"/>
  <c r="Y92" i="1"/>
  <c r="AB92" i="1"/>
  <c r="AF92" i="1"/>
  <c r="AI92" i="1"/>
  <c r="AM92" i="1"/>
  <c r="AQ92" i="1"/>
  <c r="AU92" i="1"/>
  <c r="AY92" i="1"/>
  <c r="BC92" i="1"/>
  <c r="BF92" i="1"/>
  <c r="BJ92" i="1"/>
  <c r="BM92" i="1"/>
  <c r="BQ92" i="1"/>
  <c r="BT92" i="1"/>
  <c r="BW92" i="1"/>
  <c r="CA92" i="1"/>
  <c r="CD92" i="1"/>
  <c r="F93" i="1"/>
  <c r="J93" i="1"/>
  <c r="N93" i="1"/>
  <c r="R93" i="1"/>
  <c r="V93" i="1"/>
  <c r="Y93" i="1"/>
  <c r="AB93" i="1"/>
  <c r="AF93" i="1"/>
  <c r="AI93" i="1"/>
  <c r="AM93" i="1"/>
  <c r="AQ93" i="1"/>
  <c r="AU93" i="1"/>
  <c r="AY93" i="1"/>
  <c r="BC93" i="1"/>
  <c r="BF93" i="1"/>
  <c r="BJ93" i="1"/>
  <c r="BM93" i="1"/>
  <c r="BQ93" i="1"/>
  <c r="BT93" i="1"/>
  <c r="BW93" i="1"/>
  <c r="CA93" i="1"/>
  <c r="CD93" i="1"/>
  <c r="F94" i="1"/>
  <c r="J94" i="1"/>
  <c r="N94" i="1"/>
  <c r="R94" i="1"/>
  <c r="V94" i="1"/>
  <c r="Y94" i="1"/>
  <c r="AB94" i="1"/>
  <c r="AF94" i="1"/>
  <c r="AI94" i="1"/>
  <c r="AM94" i="1"/>
  <c r="AQ94" i="1"/>
  <c r="AU94" i="1"/>
  <c r="AY94" i="1"/>
  <c r="BC94" i="1"/>
  <c r="BF94" i="1"/>
  <c r="BJ94" i="1"/>
  <c r="BM94" i="1"/>
  <c r="BQ94" i="1"/>
  <c r="BT94" i="1"/>
  <c r="BW94" i="1"/>
  <c r="CA94" i="1"/>
  <c r="CD94" i="1"/>
  <c r="F95" i="1"/>
  <c r="J95" i="1"/>
  <c r="N95" i="1"/>
  <c r="R95" i="1"/>
  <c r="V95" i="1"/>
  <c r="Y95" i="1"/>
  <c r="AB95" i="1"/>
  <c r="AF95" i="1"/>
  <c r="AI95" i="1"/>
  <c r="AM95" i="1"/>
  <c r="AQ95" i="1"/>
  <c r="AU95" i="1"/>
  <c r="AY95" i="1"/>
  <c r="BC95" i="1"/>
  <c r="BF95" i="1"/>
  <c r="BJ95" i="1"/>
  <c r="BM95" i="1"/>
  <c r="BQ95" i="1"/>
  <c r="BT95" i="1"/>
  <c r="BW95" i="1"/>
  <c r="CA95" i="1"/>
  <c r="CD95" i="1"/>
  <c r="F96" i="1"/>
  <c r="J96" i="1"/>
  <c r="N96" i="1"/>
  <c r="R96" i="1"/>
  <c r="V96" i="1"/>
  <c r="Y96" i="1"/>
  <c r="AB96" i="1"/>
  <c r="AF96" i="1"/>
  <c r="AI96" i="1"/>
  <c r="AM96" i="1"/>
  <c r="AQ96" i="1"/>
  <c r="AU96" i="1"/>
  <c r="AY96" i="1"/>
  <c r="BC96" i="1"/>
  <c r="BF96" i="1"/>
  <c r="BJ96" i="1"/>
  <c r="BM96" i="1"/>
  <c r="BQ96" i="1"/>
  <c r="BT96" i="1"/>
  <c r="BW96" i="1"/>
  <c r="CA96" i="1"/>
  <c r="CD96" i="1"/>
  <c r="F97" i="1"/>
  <c r="J97" i="1"/>
  <c r="N97" i="1"/>
  <c r="R97" i="1"/>
  <c r="V97" i="1"/>
  <c r="Y97" i="1"/>
  <c r="AB97" i="1"/>
  <c r="AF97" i="1"/>
  <c r="AI97" i="1"/>
  <c r="AM97" i="1"/>
  <c r="AQ97" i="1"/>
  <c r="AU97" i="1"/>
  <c r="AY97" i="1"/>
  <c r="BC97" i="1"/>
  <c r="BF97" i="1"/>
  <c r="BJ97" i="1"/>
  <c r="BM97" i="1"/>
  <c r="BQ97" i="1"/>
  <c r="BT97" i="1"/>
  <c r="BW97" i="1"/>
  <c r="CA97" i="1"/>
  <c r="CD97" i="1"/>
  <c r="F98" i="1"/>
  <c r="J98" i="1"/>
  <c r="N98" i="1"/>
  <c r="R98" i="1"/>
  <c r="V98" i="1"/>
  <c r="Y98" i="1"/>
  <c r="AB98" i="1"/>
  <c r="AF98" i="1"/>
  <c r="AI98" i="1"/>
  <c r="AM98" i="1"/>
  <c r="AQ98" i="1"/>
  <c r="AU98" i="1"/>
  <c r="AY98" i="1"/>
  <c r="BC98" i="1"/>
  <c r="BF98" i="1"/>
  <c r="BJ98" i="1"/>
  <c r="BM98" i="1"/>
  <c r="BQ98" i="1"/>
  <c r="BT98" i="1"/>
  <c r="BW98" i="1"/>
  <c r="CA98" i="1"/>
  <c r="CD98" i="1"/>
  <c r="F99" i="1"/>
  <c r="J99" i="1"/>
  <c r="N99" i="1"/>
  <c r="R99" i="1"/>
  <c r="V99" i="1"/>
  <c r="Y99" i="1"/>
  <c r="AB99" i="1"/>
  <c r="AF99" i="1"/>
  <c r="AI99" i="1"/>
  <c r="AM99" i="1"/>
  <c r="AQ99" i="1"/>
  <c r="AU99" i="1"/>
  <c r="AY99" i="1"/>
  <c r="BC99" i="1"/>
  <c r="BF99" i="1"/>
  <c r="BJ99" i="1"/>
  <c r="BM99" i="1"/>
  <c r="BQ99" i="1"/>
  <c r="BT99" i="1"/>
  <c r="BW99" i="1"/>
  <c r="CA99" i="1"/>
  <c r="CD99" i="1"/>
  <c r="F100" i="1"/>
  <c r="J100" i="1"/>
  <c r="N100" i="1"/>
  <c r="R100" i="1"/>
  <c r="V100" i="1"/>
  <c r="Y100" i="1"/>
  <c r="AB100" i="1"/>
  <c r="AF100" i="1"/>
  <c r="AI100" i="1"/>
  <c r="AM100" i="1"/>
  <c r="AQ100" i="1"/>
  <c r="AU100" i="1"/>
  <c r="AY100" i="1"/>
  <c r="BC100" i="1"/>
  <c r="BF100" i="1"/>
  <c r="BJ100" i="1"/>
  <c r="BM100" i="1"/>
  <c r="BQ100" i="1"/>
  <c r="BT100" i="1"/>
  <c r="BW100" i="1"/>
  <c r="CA100" i="1"/>
  <c r="CD100" i="1"/>
  <c r="F101" i="1"/>
  <c r="J101" i="1"/>
  <c r="N101" i="1"/>
  <c r="R101" i="1"/>
  <c r="V101" i="1"/>
  <c r="Y101" i="1"/>
  <c r="AB101" i="1"/>
  <c r="AF101" i="1"/>
  <c r="AI101" i="1"/>
  <c r="AM101" i="1"/>
  <c r="AQ101" i="1"/>
  <c r="AU101" i="1"/>
  <c r="AY101" i="1"/>
  <c r="BC101" i="1"/>
  <c r="BF101" i="1"/>
  <c r="BJ101" i="1"/>
  <c r="BM101" i="1"/>
  <c r="BQ101" i="1"/>
  <c r="BT101" i="1"/>
  <c r="BW101" i="1"/>
  <c r="CA101" i="1"/>
  <c r="CD101" i="1"/>
  <c r="F102" i="1"/>
  <c r="J102" i="1"/>
  <c r="N102" i="1"/>
  <c r="R102" i="1"/>
  <c r="V102" i="1"/>
  <c r="Y102" i="1"/>
  <c r="AB102" i="1"/>
  <c r="AF102" i="1"/>
  <c r="AI102" i="1"/>
  <c r="AM102" i="1"/>
  <c r="AQ102" i="1"/>
  <c r="AU102" i="1"/>
  <c r="AY102" i="1"/>
  <c r="BC102" i="1"/>
  <c r="BF102" i="1"/>
  <c r="BJ102" i="1"/>
  <c r="BM102" i="1"/>
  <c r="BQ102" i="1"/>
  <c r="BT102" i="1"/>
  <c r="BW102" i="1"/>
  <c r="CA102" i="1"/>
  <c r="CD102" i="1"/>
  <c r="F103" i="1"/>
  <c r="J103" i="1"/>
  <c r="N103" i="1"/>
  <c r="R103" i="1"/>
  <c r="V103" i="1"/>
  <c r="Y103" i="1"/>
  <c r="AB103" i="1"/>
  <c r="AF103" i="1"/>
  <c r="AI103" i="1"/>
  <c r="AM103" i="1"/>
  <c r="AQ103" i="1"/>
  <c r="AU103" i="1"/>
  <c r="AY103" i="1"/>
  <c r="BC103" i="1"/>
  <c r="BF103" i="1"/>
  <c r="BJ103" i="1"/>
  <c r="BM103" i="1"/>
  <c r="BQ103" i="1"/>
  <c r="BT103" i="1"/>
  <c r="BW103" i="1"/>
  <c r="CA103" i="1"/>
  <c r="CD103" i="1"/>
  <c r="F104" i="1"/>
  <c r="H104" i="1"/>
  <c r="J104" i="1"/>
  <c r="L104" i="1"/>
  <c r="N104" i="1" s="1"/>
  <c r="P104" i="1"/>
  <c r="R104" i="1"/>
  <c r="T104" i="1"/>
  <c r="V104" i="1" s="1"/>
  <c r="W104" i="1"/>
  <c r="Y104" i="1"/>
  <c r="Z104" i="1"/>
  <c r="AB104" i="1" s="1"/>
  <c r="AD104" i="1"/>
  <c r="AF104" i="1"/>
  <c r="AG104" i="1"/>
  <c r="AI104" i="1" s="1"/>
  <c r="AK104" i="1"/>
  <c r="AM104" i="1"/>
  <c r="AO104" i="1"/>
  <c r="AQ104" i="1" s="1"/>
  <c r="AS104" i="1"/>
  <c r="AU104" i="1"/>
  <c r="AW104" i="1"/>
  <c r="AY104" i="1" s="1"/>
  <c r="BA104" i="1"/>
  <c r="BC104" i="1"/>
  <c r="BD104" i="1"/>
  <c r="BF104" i="1" s="1"/>
  <c r="BJ104" i="1"/>
  <c r="BM104" i="1"/>
  <c r="BQ104" i="1"/>
  <c r="BT104" i="1"/>
  <c r="BW104" i="1"/>
  <c r="CA104" i="1"/>
  <c r="CD104" i="1"/>
  <c r="F105" i="1"/>
  <c r="J105" i="1"/>
  <c r="N105" i="1"/>
  <c r="R105" i="1"/>
  <c r="V105" i="1"/>
  <c r="Y105" i="1"/>
  <c r="AB105" i="1"/>
  <c r="AF105" i="1"/>
  <c r="AI105" i="1"/>
  <c r="AM105" i="1"/>
  <c r="AQ105" i="1"/>
  <c r="AU105" i="1"/>
  <c r="AY105" i="1"/>
  <c r="BC105" i="1"/>
  <c r="BF105" i="1"/>
  <c r="BJ105" i="1"/>
  <c r="BM105" i="1"/>
  <c r="BQ105" i="1"/>
  <c r="BT105" i="1"/>
  <c r="BW105" i="1"/>
  <c r="CA105" i="1"/>
  <c r="CD105" i="1"/>
  <c r="F106" i="1"/>
  <c r="J106" i="1"/>
  <c r="N106" i="1"/>
  <c r="R106" i="1"/>
  <c r="V106" i="1"/>
  <c r="Y106" i="1"/>
  <c r="AB106" i="1"/>
  <c r="AF106" i="1"/>
  <c r="AI106" i="1"/>
  <c r="AM106" i="1"/>
  <c r="AQ106" i="1"/>
  <c r="AU106" i="1"/>
  <c r="AY106" i="1"/>
  <c r="BC106" i="1"/>
  <c r="BF106" i="1"/>
  <c r="BJ106" i="1"/>
  <c r="BM106" i="1"/>
  <c r="BQ106" i="1"/>
  <c r="BT106" i="1"/>
  <c r="BW106" i="1"/>
  <c r="CA106" i="1"/>
  <c r="CD106" i="1"/>
  <c r="F107" i="1"/>
  <c r="J107" i="1"/>
  <c r="N107" i="1"/>
  <c r="R107" i="1"/>
  <c r="V107" i="1"/>
  <c r="Y107" i="1"/>
  <c r="AB107" i="1"/>
  <c r="AF107" i="1"/>
  <c r="AI107" i="1"/>
  <c r="AM107" i="1"/>
  <c r="AQ107" i="1"/>
  <c r="AU107" i="1"/>
  <c r="AY107" i="1"/>
  <c r="BC107" i="1"/>
  <c r="BF107" i="1"/>
  <c r="BJ107" i="1"/>
  <c r="BM107" i="1"/>
  <c r="BQ107" i="1"/>
  <c r="BT107" i="1"/>
  <c r="BW107" i="1"/>
  <c r="CA107" i="1"/>
  <c r="CD107" i="1"/>
  <c r="F108" i="1"/>
  <c r="J108" i="1"/>
  <c r="N108" i="1"/>
  <c r="R108" i="1"/>
  <c r="V108" i="1"/>
  <c r="Y108" i="1"/>
  <c r="AB108" i="1"/>
  <c r="AF108" i="1"/>
  <c r="AI108" i="1"/>
  <c r="AM108" i="1"/>
  <c r="AQ108" i="1"/>
  <c r="AU108" i="1"/>
  <c r="AY108" i="1"/>
  <c r="BC108" i="1"/>
  <c r="BF108" i="1"/>
  <c r="BJ108" i="1"/>
  <c r="BM108" i="1"/>
  <c r="BQ108" i="1"/>
  <c r="BT108" i="1"/>
  <c r="BW108" i="1"/>
  <c r="CA108" i="1"/>
  <c r="CD108" i="1"/>
  <c r="F109" i="1"/>
  <c r="J109" i="1"/>
  <c r="N109" i="1"/>
  <c r="R109" i="1"/>
  <c r="V109" i="1"/>
  <c r="Y109" i="1"/>
  <c r="AB109" i="1"/>
  <c r="AF109" i="1"/>
  <c r="AI109" i="1"/>
  <c r="AM109" i="1"/>
  <c r="AQ109" i="1"/>
  <c r="AU109" i="1"/>
  <c r="AY109" i="1"/>
  <c r="BC109" i="1"/>
  <c r="BF109" i="1"/>
  <c r="BJ109" i="1"/>
  <c r="BM109" i="1"/>
  <c r="BQ109" i="1"/>
  <c r="BT109" i="1"/>
  <c r="BW109" i="1"/>
  <c r="CA109" i="1"/>
  <c r="CD109" i="1"/>
  <c r="F110" i="1"/>
  <c r="J110" i="1"/>
  <c r="N110" i="1"/>
  <c r="R110" i="1"/>
  <c r="V110" i="1"/>
  <c r="Y110" i="1"/>
  <c r="AB110" i="1"/>
  <c r="AF110" i="1"/>
  <c r="AI110" i="1"/>
  <c r="AM110" i="1"/>
  <c r="AQ110" i="1"/>
  <c r="AU110" i="1"/>
  <c r="AY110" i="1"/>
  <c r="BC110" i="1"/>
  <c r="BF110" i="1"/>
  <c r="BJ110" i="1"/>
  <c r="BM110" i="1"/>
  <c r="BQ110" i="1"/>
  <c r="BT110" i="1"/>
  <c r="BW110" i="1"/>
  <c r="CA110" i="1"/>
  <c r="CD110" i="1"/>
  <c r="F111" i="1"/>
  <c r="J111" i="1"/>
  <c r="N111" i="1"/>
  <c r="R111" i="1"/>
  <c r="V111" i="1"/>
  <c r="Y111" i="1"/>
  <c r="AB111" i="1"/>
  <c r="AF111" i="1"/>
  <c r="AI111" i="1"/>
  <c r="AM111" i="1"/>
  <c r="AQ111" i="1"/>
  <c r="AU111" i="1"/>
  <c r="AY111" i="1"/>
  <c r="BC111" i="1"/>
  <c r="BF111" i="1"/>
  <c r="BJ111" i="1"/>
  <c r="BM111" i="1"/>
  <c r="BQ111" i="1"/>
  <c r="BT111" i="1"/>
  <c r="BW111" i="1"/>
  <c r="CA111" i="1"/>
  <c r="CD111" i="1"/>
  <c r="F112" i="1"/>
  <c r="J112" i="1"/>
  <c r="N112" i="1"/>
  <c r="R112" i="1"/>
  <c r="V112" i="1"/>
  <c r="Y112" i="1"/>
  <c r="AB112" i="1"/>
  <c r="AF112" i="1"/>
  <c r="AI112" i="1"/>
  <c r="AM112" i="1"/>
  <c r="AQ112" i="1"/>
  <c r="AU112" i="1"/>
  <c r="AY112" i="1"/>
  <c r="BC112" i="1"/>
  <c r="BF112" i="1"/>
  <c r="BJ112" i="1"/>
  <c r="BM112" i="1"/>
  <c r="BQ112" i="1"/>
  <c r="BT112" i="1"/>
  <c r="BW112" i="1"/>
  <c r="CA112" i="1"/>
  <c r="CD112" i="1"/>
  <c r="F113" i="1"/>
  <c r="J113" i="1"/>
  <c r="N113" i="1"/>
  <c r="R113" i="1"/>
  <c r="V113" i="1"/>
  <c r="Y113" i="1"/>
  <c r="AB113" i="1"/>
  <c r="AF113" i="1"/>
  <c r="AI113" i="1"/>
  <c r="AM113" i="1"/>
  <c r="AQ113" i="1"/>
  <c r="AU113" i="1"/>
  <c r="AY113" i="1"/>
  <c r="BC113" i="1"/>
  <c r="BF113" i="1"/>
  <c r="BJ113" i="1"/>
  <c r="BM113" i="1"/>
  <c r="BQ113" i="1"/>
  <c r="BT113" i="1"/>
  <c r="BW113" i="1"/>
  <c r="CA113" i="1"/>
  <c r="CD113" i="1"/>
  <c r="F114" i="1"/>
  <c r="J114" i="1"/>
  <c r="N114" i="1"/>
  <c r="R114" i="1"/>
  <c r="V114" i="1"/>
  <c r="Y114" i="1"/>
  <c r="AB114" i="1"/>
  <c r="AF114" i="1"/>
  <c r="AI114" i="1"/>
  <c r="AM114" i="1"/>
  <c r="AQ114" i="1"/>
  <c r="AU114" i="1"/>
  <c r="AY114" i="1"/>
  <c r="BC114" i="1"/>
  <c r="BF114" i="1"/>
  <c r="BJ114" i="1"/>
  <c r="BM114" i="1"/>
  <c r="BQ114" i="1"/>
  <c r="BT114" i="1"/>
  <c r="BW114" i="1"/>
  <c r="CA114" i="1"/>
  <c r="CD114" i="1"/>
  <c r="F115" i="1"/>
  <c r="J115" i="1"/>
  <c r="N115" i="1"/>
  <c r="R115" i="1"/>
  <c r="V115" i="1"/>
  <c r="Y115" i="1"/>
  <c r="AB115" i="1"/>
  <c r="AF115" i="1"/>
  <c r="AI115" i="1"/>
  <c r="AM115" i="1"/>
  <c r="AQ115" i="1"/>
  <c r="AU115" i="1"/>
  <c r="AY115" i="1"/>
  <c r="BC115" i="1"/>
  <c r="BF115" i="1"/>
  <c r="BJ115" i="1"/>
  <c r="BM115" i="1"/>
  <c r="BQ115" i="1"/>
  <c r="BT115" i="1"/>
  <c r="BW115" i="1"/>
  <c r="CA115" i="1"/>
  <c r="CD115" i="1"/>
  <c r="F116" i="1"/>
  <c r="J116" i="1"/>
  <c r="N116" i="1"/>
  <c r="R116" i="1"/>
  <c r="V116" i="1"/>
  <c r="Y116" i="1"/>
  <c r="AB116" i="1"/>
  <c r="AF116" i="1"/>
  <c r="AI116" i="1"/>
  <c r="AM116" i="1"/>
  <c r="AQ116" i="1"/>
  <c r="AU116" i="1"/>
  <c r="AY116" i="1"/>
  <c r="BC116" i="1"/>
  <c r="BF116" i="1"/>
  <c r="BJ116" i="1"/>
  <c r="BM116" i="1"/>
  <c r="BQ116" i="1"/>
  <c r="BT116" i="1"/>
  <c r="BW116" i="1"/>
  <c r="CA116" i="1"/>
  <c r="CD116" i="1"/>
  <c r="F117" i="1"/>
  <c r="J117" i="1"/>
  <c r="N117" i="1"/>
  <c r="R117" i="1"/>
  <c r="V117" i="1"/>
  <c r="Y117" i="1"/>
  <c r="AB117" i="1"/>
  <c r="AF117" i="1"/>
  <c r="AI117" i="1"/>
  <c r="AM117" i="1"/>
  <c r="AQ117" i="1"/>
  <c r="AU117" i="1"/>
  <c r="AY117" i="1"/>
  <c r="BC117" i="1"/>
  <c r="BF117" i="1"/>
  <c r="BJ117" i="1"/>
  <c r="BM117" i="1"/>
  <c r="BQ117" i="1"/>
  <c r="BT117" i="1"/>
  <c r="BW117" i="1"/>
  <c r="CA117" i="1"/>
  <c r="CD117" i="1"/>
  <c r="F118" i="1"/>
  <c r="J118" i="1"/>
  <c r="N118" i="1"/>
  <c r="R118" i="1"/>
  <c r="V118" i="1"/>
  <c r="Y118" i="1"/>
  <c r="AB118" i="1"/>
  <c r="AF118" i="1"/>
  <c r="AI118" i="1"/>
  <c r="AM118" i="1"/>
  <c r="AQ118" i="1"/>
  <c r="AU118" i="1"/>
  <c r="AY118" i="1"/>
  <c r="BC118" i="1"/>
  <c r="BF118" i="1"/>
  <c r="BJ118" i="1"/>
  <c r="BM118" i="1"/>
  <c r="BQ118" i="1"/>
  <c r="BT118" i="1"/>
  <c r="BW118" i="1"/>
  <c r="CA118" i="1"/>
  <c r="CD118" i="1"/>
  <c r="F119" i="1"/>
  <c r="J119" i="1"/>
  <c r="N119" i="1"/>
  <c r="R119" i="1"/>
  <c r="V119" i="1"/>
  <c r="Y119" i="1"/>
  <c r="AB119" i="1"/>
  <c r="AF119" i="1"/>
  <c r="AI119" i="1"/>
  <c r="AM119" i="1"/>
  <c r="AQ119" i="1"/>
  <c r="AU119" i="1"/>
  <c r="AY119" i="1"/>
  <c r="BC119" i="1"/>
  <c r="BF119" i="1"/>
  <c r="BJ119" i="1"/>
  <c r="BM119" i="1"/>
  <c r="BQ119" i="1"/>
  <c r="BT119" i="1"/>
  <c r="BW119" i="1"/>
  <c r="CA119" i="1"/>
  <c r="CD119" i="1"/>
  <c r="F120" i="1"/>
  <c r="H120" i="1"/>
  <c r="J120" i="1" s="1"/>
  <c r="L120" i="1"/>
  <c r="N120" i="1"/>
  <c r="P120" i="1"/>
  <c r="R120" i="1" s="1"/>
  <c r="T120" i="1"/>
  <c r="V120" i="1"/>
  <c r="W120" i="1"/>
  <c r="Y120" i="1" s="1"/>
  <c r="Z120" i="1"/>
  <c r="AB120" i="1"/>
  <c r="AD120" i="1"/>
  <c r="AF120" i="1" s="1"/>
  <c r="AG120" i="1"/>
  <c r="AI120" i="1"/>
  <c r="AK120" i="1"/>
  <c r="AM120" i="1" s="1"/>
  <c r="AO120" i="1"/>
  <c r="AQ120" i="1"/>
  <c r="AS120" i="1"/>
  <c r="AU120" i="1" s="1"/>
  <c r="AW120" i="1"/>
  <c r="AY120" i="1"/>
  <c r="BA120" i="1"/>
  <c r="BC120" i="1" s="1"/>
  <c r="BD120" i="1"/>
  <c r="BF120" i="1"/>
  <c r="BJ120" i="1"/>
  <c r="BM120" i="1"/>
  <c r="BQ120" i="1"/>
  <c r="BT120" i="1"/>
  <c r="BW120" i="1"/>
  <c r="CA120" i="1"/>
  <c r="CD120" i="1"/>
  <c r="F121" i="1"/>
  <c r="J121" i="1"/>
  <c r="N121" i="1"/>
  <c r="R121" i="1"/>
  <c r="V121" i="1"/>
  <c r="Y121" i="1"/>
  <c r="AB121" i="1"/>
  <c r="AF121" i="1"/>
  <c r="AI121" i="1"/>
  <c r="AM121" i="1"/>
  <c r="AQ121" i="1"/>
  <c r="AU121" i="1"/>
  <c r="AY121" i="1"/>
  <c r="BC121" i="1"/>
  <c r="BF121" i="1"/>
  <c r="BJ121" i="1"/>
  <c r="BM121" i="1"/>
  <c r="BQ121" i="1"/>
  <c r="BT121" i="1"/>
  <c r="BW121" i="1"/>
  <c r="CA121" i="1"/>
  <c r="CD121" i="1"/>
  <c r="F122" i="1"/>
  <c r="J122" i="1"/>
  <c r="N122" i="1"/>
  <c r="R122" i="1"/>
  <c r="V122" i="1"/>
  <c r="Y122" i="1"/>
  <c r="AB122" i="1"/>
  <c r="AF122" i="1"/>
  <c r="AI122" i="1"/>
  <c r="AM122" i="1"/>
  <c r="AQ122" i="1"/>
  <c r="AU122" i="1"/>
  <c r="AY122" i="1"/>
  <c r="BC122" i="1"/>
  <c r="BF122" i="1"/>
  <c r="BJ122" i="1"/>
  <c r="BM122" i="1"/>
  <c r="BQ122" i="1"/>
  <c r="BT122" i="1"/>
  <c r="BW122" i="1"/>
  <c r="CA122" i="1"/>
  <c r="CD122" i="1"/>
  <c r="F123" i="1"/>
  <c r="J123" i="1"/>
  <c r="N123" i="1"/>
  <c r="R123" i="1"/>
  <c r="V123" i="1"/>
  <c r="Y123" i="1"/>
  <c r="AB123" i="1"/>
  <c r="AF123" i="1"/>
  <c r="AI123" i="1"/>
  <c r="AM123" i="1"/>
  <c r="AQ123" i="1"/>
  <c r="AU123" i="1"/>
  <c r="AY123" i="1"/>
  <c r="BC123" i="1"/>
  <c r="BF123" i="1"/>
  <c r="BJ123" i="1"/>
  <c r="BM123" i="1"/>
  <c r="BQ123" i="1"/>
  <c r="BT123" i="1"/>
  <c r="BW123" i="1"/>
  <c r="CA123" i="1"/>
  <c r="CD123" i="1"/>
  <c r="F124" i="1"/>
  <c r="J124" i="1"/>
  <c r="N124" i="1"/>
  <c r="R124" i="1"/>
  <c r="V124" i="1"/>
  <c r="Y124" i="1"/>
  <c r="AB124" i="1"/>
  <c r="AF124" i="1"/>
  <c r="AI124" i="1"/>
  <c r="AM124" i="1"/>
  <c r="AQ124" i="1"/>
  <c r="AU124" i="1"/>
  <c r="AY124" i="1"/>
  <c r="BC124" i="1"/>
  <c r="BF124" i="1"/>
  <c r="BJ124" i="1"/>
  <c r="BM124" i="1"/>
  <c r="BQ124" i="1"/>
  <c r="BT124" i="1"/>
  <c r="BW124" i="1"/>
  <c r="CA124" i="1"/>
  <c r="CD124" i="1"/>
  <c r="F125" i="1"/>
  <c r="J125" i="1"/>
  <c r="N125" i="1"/>
  <c r="R125" i="1"/>
  <c r="V125" i="1"/>
  <c r="Y125" i="1"/>
  <c r="AB125" i="1"/>
  <c r="AF125" i="1"/>
  <c r="AI125" i="1"/>
  <c r="AM125" i="1"/>
  <c r="AQ125" i="1"/>
  <c r="AU125" i="1"/>
  <c r="AY125" i="1"/>
  <c r="BC125" i="1"/>
  <c r="BF125" i="1"/>
  <c r="BJ125" i="1"/>
  <c r="BM125" i="1"/>
  <c r="BQ125" i="1"/>
  <c r="BT125" i="1"/>
  <c r="BW125" i="1"/>
  <c r="CA125" i="1"/>
  <c r="CD125" i="1"/>
  <c r="F126" i="1"/>
  <c r="J126" i="1"/>
  <c r="N126" i="1"/>
  <c r="R126" i="1"/>
  <c r="V126" i="1"/>
  <c r="Y126" i="1"/>
  <c r="AB126" i="1"/>
  <c r="AF126" i="1"/>
  <c r="AI126" i="1"/>
  <c r="AM126" i="1"/>
  <c r="AQ126" i="1"/>
  <c r="AU126" i="1"/>
  <c r="AY126" i="1"/>
  <c r="BC126" i="1"/>
  <c r="BF126" i="1"/>
  <c r="BJ126" i="1"/>
  <c r="BM126" i="1"/>
  <c r="BQ126" i="1"/>
  <c r="BT126" i="1"/>
  <c r="BW126" i="1"/>
  <c r="CA126" i="1"/>
  <c r="CD126" i="1"/>
  <c r="F127" i="1"/>
  <c r="J127" i="1"/>
  <c r="N127" i="1"/>
  <c r="R127" i="1"/>
  <c r="V127" i="1"/>
  <c r="Y127" i="1"/>
  <c r="AB127" i="1"/>
  <c r="AF127" i="1"/>
  <c r="AI127" i="1"/>
  <c r="AM127" i="1"/>
  <c r="AQ127" i="1"/>
  <c r="AU127" i="1"/>
  <c r="AY127" i="1"/>
  <c r="BC127" i="1"/>
  <c r="BF127" i="1"/>
  <c r="BJ127" i="1"/>
  <c r="BM127" i="1"/>
  <c r="BQ127" i="1"/>
  <c r="BT127" i="1"/>
  <c r="BW127" i="1"/>
  <c r="CA127" i="1"/>
  <c r="CD127" i="1"/>
  <c r="F128" i="1"/>
  <c r="J128" i="1"/>
  <c r="N128" i="1"/>
  <c r="R128" i="1"/>
  <c r="V128" i="1"/>
  <c r="Y128" i="1"/>
  <c r="AB128" i="1"/>
  <c r="AF128" i="1"/>
  <c r="AI128" i="1"/>
  <c r="AM128" i="1"/>
  <c r="AQ128" i="1"/>
  <c r="AU128" i="1"/>
  <c r="AY128" i="1"/>
  <c r="BC128" i="1"/>
  <c r="BF128" i="1"/>
  <c r="BJ128" i="1"/>
  <c r="BM128" i="1"/>
  <c r="BQ128" i="1"/>
  <c r="BT128" i="1"/>
  <c r="BW128" i="1"/>
  <c r="CA128" i="1"/>
  <c r="CD128" i="1"/>
  <c r="F129" i="1"/>
  <c r="H129" i="1"/>
  <c r="J129" i="1" s="1"/>
  <c r="L129" i="1"/>
  <c r="N129" i="1"/>
  <c r="P129" i="1"/>
  <c r="R129" i="1" s="1"/>
  <c r="T129" i="1"/>
  <c r="V129" i="1"/>
  <c r="W129" i="1"/>
  <c r="Y129" i="1" s="1"/>
  <c r="Z129" i="1"/>
  <c r="AB129" i="1"/>
  <c r="AD129" i="1"/>
  <c r="AF129" i="1" s="1"/>
  <c r="AG129" i="1"/>
  <c r="AI129" i="1"/>
  <c r="AM129" i="1"/>
  <c r="AQ129" i="1"/>
  <c r="AU129" i="1"/>
  <c r="AY129" i="1"/>
  <c r="BC129" i="1"/>
  <c r="BF129" i="1"/>
  <c r="BJ129" i="1"/>
  <c r="BM129" i="1"/>
  <c r="BQ129" i="1"/>
  <c r="BT129" i="1"/>
  <c r="BW129" i="1"/>
  <c r="CA129" i="1"/>
  <c r="CD129" i="1"/>
  <c r="F130" i="1"/>
  <c r="J130" i="1"/>
  <c r="N130" i="1"/>
  <c r="R130" i="1"/>
  <c r="V130" i="1"/>
  <c r="Y130" i="1"/>
  <c r="AB130" i="1"/>
  <c r="AF130" i="1"/>
  <c r="AI130" i="1"/>
  <c r="AM130" i="1"/>
  <c r="AQ130" i="1"/>
  <c r="AU130" i="1"/>
  <c r="AY130" i="1"/>
  <c r="BC130" i="1"/>
  <c r="BF130" i="1"/>
  <c r="BJ130" i="1"/>
  <c r="BM130" i="1"/>
  <c r="BQ130" i="1"/>
  <c r="BT130" i="1"/>
  <c r="BW130" i="1"/>
  <c r="CA130" i="1"/>
  <c r="CD130" i="1"/>
  <c r="F131" i="1"/>
  <c r="J131" i="1"/>
  <c r="N131" i="1"/>
  <c r="R131" i="1"/>
  <c r="V131" i="1"/>
  <c r="Y131" i="1"/>
  <c r="AB131" i="1"/>
  <c r="AF131" i="1"/>
  <c r="AI131" i="1"/>
  <c r="AK131" i="1"/>
  <c r="AM131" i="1" s="1"/>
  <c r="AO131" i="1"/>
  <c r="AQ131" i="1"/>
  <c r="AU131" i="1"/>
  <c r="AY131" i="1"/>
  <c r="BC131" i="1"/>
  <c r="BF131" i="1"/>
  <c r="BJ131" i="1"/>
  <c r="BM131" i="1"/>
  <c r="BQ131" i="1"/>
  <c r="BT131" i="1"/>
  <c r="BW131" i="1"/>
  <c r="CA131" i="1"/>
  <c r="CD131" i="1"/>
  <c r="F132" i="1"/>
  <c r="J132" i="1"/>
  <c r="N132" i="1"/>
  <c r="R132" i="1"/>
  <c r="V132" i="1"/>
  <c r="Y132" i="1"/>
  <c r="AB132" i="1"/>
  <c r="AF132" i="1"/>
  <c r="AI132" i="1"/>
  <c r="AK132" i="1"/>
  <c r="AM132" i="1" s="1"/>
  <c r="AQ132" i="1"/>
  <c r="AU132" i="1"/>
  <c r="AY132" i="1"/>
  <c r="BC132" i="1"/>
  <c r="BF132" i="1"/>
  <c r="BJ132" i="1"/>
  <c r="BM132" i="1"/>
  <c r="BQ132" i="1"/>
  <c r="BT132" i="1"/>
  <c r="BW132" i="1"/>
  <c r="CA132" i="1"/>
  <c r="CD132" i="1"/>
  <c r="H32" i="7"/>
  <c r="CB94" i="7"/>
  <c r="BK94" i="7"/>
  <c r="BD90" i="7"/>
  <c r="BA90" i="7"/>
  <c r="AW90" i="7"/>
  <c r="AT90" i="7"/>
  <c r="AP90" i="7"/>
  <c r="AL90" i="7"/>
  <c r="AH90" i="7"/>
  <c r="AE90" i="7"/>
  <c r="AA90" i="7"/>
  <c r="X90" i="7"/>
  <c r="T90" i="7"/>
  <c r="P90" i="7"/>
  <c r="L90" i="7"/>
  <c r="H90" i="7"/>
  <c r="N23" i="7"/>
  <c r="D129" i="1"/>
  <c r="D120" i="1"/>
  <c r="F218" i="8" l="1"/>
  <c r="F217" i="8"/>
  <c r="F216" i="8"/>
  <c r="F215" i="8"/>
  <c r="D214" i="8"/>
  <c r="F214" i="8" s="1"/>
  <c r="D213" i="8"/>
  <c r="F213" i="8" s="1"/>
  <c r="F212" i="8" s="1"/>
  <c r="F211" i="8"/>
  <c r="D210" i="8"/>
  <c r="D209" i="8"/>
  <c r="D208" i="8"/>
  <c r="D207" i="8"/>
  <c r="F205" i="8"/>
  <c r="F203" i="8"/>
  <c r="F202" i="8"/>
  <c r="F200" i="8"/>
  <c r="F199" i="8"/>
  <c r="F198" i="8"/>
  <c r="F197" i="8"/>
  <c r="F196" i="8"/>
  <c r="F195" i="8"/>
  <c r="F193" i="8"/>
  <c r="F192" i="8"/>
  <c r="F190" i="8"/>
  <c r="F188" i="8"/>
  <c r="F189" i="8" s="1"/>
  <c r="D187" i="8"/>
  <c r="F187" i="8" s="1"/>
  <c r="F186" i="8" s="1"/>
  <c r="F184" i="8"/>
  <c r="F183" i="8"/>
  <c r="F181" i="8"/>
  <c r="F174" i="8"/>
  <c r="F173" i="8"/>
  <c r="D168" i="8"/>
  <c r="F161" i="8"/>
  <c r="D159" i="8"/>
  <c r="D158" i="8"/>
  <c r="D148" i="8"/>
  <c r="D150" i="8" s="1"/>
  <c r="F147" i="8"/>
  <c r="J146" i="8"/>
  <c r="F146" i="8"/>
  <c r="D145" i="8"/>
  <c r="D144" i="8"/>
  <c r="D140" i="8"/>
  <c r="CD132" i="8"/>
  <c r="CA132" i="8"/>
  <c r="BW132" i="8"/>
  <c r="BT132" i="8"/>
  <c r="BQ132" i="8"/>
  <c r="BM132" i="8"/>
  <c r="BJ132" i="8"/>
  <c r="BF132" i="8"/>
  <c r="BC132" i="8"/>
  <c r="AY132" i="8"/>
  <c r="AU132" i="8"/>
  <c r="AQ132" i="8"/>
  <c r="AM132" i="8"/>
  <c r="AI132" i="8"/>
  <c r="AF132" i="8"/>
  <c r="AB132" i="8"/>
  <c r="Y132" i="8"/>
  <c r="V132" i="8"/>
  <c r="R132" i="8"/>
  <c r="N132" i="8"/>
  <c r="J132" i="8"/>
  <c r="F132" i="8"/>
  <c r="CD131" i="8"/>
  <c r="CA131" i="8"/>
  <c r="BW131" i="8"/>
  <c r="BT131" i="8"/>
  <c r="BQ131" i="8"/>
  <c r="BM131" i="8"/>
  <c r="BJ131" i="8"/>
  <c r="BF131" i="8"/>
  <c r="BC131" i="8"/>
  <c r="AY131" i="8"/>
  <c r="AU131" i="8"/>
  <c r="AQ131" i="8"/>
  <c r="AM131" i="8"/>
  <c r="AI131" i="8"/>
  <c r="AF131" i="8"/>
  <c r="AB131" i="8"/>
  <c r="Y131" i="8"/>
  <c r="V131" i="8"/>
  <c r="R131" i="8"/>
  <c r="N131" i="8"/>
  <c r="J131" i="8"/>
  <c r="F131" i="8"/>
  <c r="CD130" i="8"/>
  <c r="CA130" i="8"/>
  <c r="BW130" i="8"/>
  <c r="BT130" i="8"/>
  <c r="BQ130" i="8"/>
  <c r="BM130" i="8"/>
  <c r="BJ130" i="8"/>
  <c r="BF130" i="8"/>
  <c r="BC130" i="8"/>
  <c r="AY130" i="8"/>
  <c r="AU130" i="8"/>
  <c r="AQ130" i="8"/>
  <c r="AM130" i="8"/>
  <c r="AI130" i="8"/>
  <c r="AF130" i="8"/>
  <c r="AB130" i="8"/>
  <c r="Y130" i="8"/>
  <c r="V130" i="8"/>
  <c r="R130" i="8"/>
  <c r="N130" i="8"/>
  <c r="J130" i="8"/>
  <c r="F130" i="8"/>
  <c r="CD129" i="8"/>
  <c r="CA129" i="8"/>
  <c r="BW129" i="8"/>
  <c r="BT129" i="8"/>
  <c r="BQ129" i="8"/>
  <c r="BM129" i="8"/>
  <c r="BJ129" i="8"/>
  <c r="BF129" i="8"/>
  <c r="BC129" i="8"/>
  <c r="AY129" i="8"/>
  <c r="AU129" i="8"/>
  <c r="AQ129" i="8"/>
  <c r="AM129" i="8"/>
  <c r="AI129" i="8"/>
  <c r="AF129" i="8"/>
  <c r="AB129" i="8"/>
  <c r="Y129" i="8"/>
  <c r="V129" i="8"/>
  <c r="R129" i="8"/>
  <c r="N129" i="8"/>
  <c r="J129" i="8"/>
  <c r="F129" i="8"/>
  <c r="CD128" i="8"/>
  <c r="CA128" i="8"/>
  <c r="BW128" i="8"/>
  <c r="BT128" i="8"/>
  <c r="BQ128" i="8"/>
  <c r="BM128" i="8"/>
  <c r="BJ128" i="8"/>
  <c r="BF128" i="8"/>
  <c r="BC128" i="8"/>
  <c r="AY128" i="8"/>
  <c r="AU128" i="8"/>
  <c r="AQ128" i="8"/>
  <c r="AM128" i="8"/>
  <c r="AI128" i="8"/>
  <c r="AF128" i="8"/>
  <c r="AB128" i="8"/>
  <c r="Y128" i="8"/>
  <c r="V128" i="8"/>
  <c r="R128" i="8"/>
  <c r="N128" i="8"/>
  <c r="J128" i="8"/>
  <c r="F128" i="8"/>
  <c r="CD127" i="8"/>
  <c r="CA127" i="8"/>
  <c r="BW127" i="8"/>
  <c r="BT127" i="8"/>
  <c r="BQ127" i="8"/>
  <c r="BM127" i="8"/>
  <c r="BJ127" i="8"/>
  <c r="BF127" i="8"/>
  <c r="BC127" i="8"/>
  <c r="AY127" i="8"/>
  <c r="AU127" i="8"/>
  <c r="AQ127" i="8"/>
  <c r="AM127" i="8"/>
  <c r="AI127" i="8"/>
  <c r="AF127" i="8"/>
  <c r="AB127" i="8"/>
  <c r="Y127" i="8"/>
  <c r="V127" i="8"/>
  <c r="R127" i="8"/>
  <c r="N127" i="8"/>
  <c r="J127" i="8"/>
  <c r="F127" i="8"/>
  <c r="CD126" i="8"/>
  <c r="CA126" i="8"/>
  <c r="BW126" i="8"/>
  <c r="BT126" i="8"/>
  <c r="BQ126" i="8"/>
  <c r="BM126" i="8"/>
  <c r="BJ126" i="8"/>
  <c r="BF126" i="8"/>
  <c r="BC126" i="8"/>
  <c r="AY126" i="8"/>
  <c r="AU126" i="8"/>
  <c r="AQ126" i="8"/>
  <c r="AM126" i="8"/>
  <c r="AI126" i="8"/>
  <c r="AF126" i="8"/>
  <c r="AB126" i="8"/>
  <c r="Y126" i="8"/>
  <c r="V126" i="8"/>
  <c r="R126" i="8"/>
  <c r="N126" i="8"/>
  <c r="J126" i="8"/>
  <c r="F126" i="8"/>
  <c r="CD125" i="8"/>
  <c r="CA125" i="8"/>
  <c r="BW125" i="8"/>
  <c r="BT125" i="8"/>
  <c r="BQ125" i="8"/>
  <c r="BM125" i="8"/>
  <c r="BJ125" i="8"/>
  <c r="BF125" i="8"/>
  <c r="BC125" i="8"/>
  <c r="AY125" i="8"/>
  <c r="AU125" i="8"/>
  <c r="AQ125" i="8"/>
  <c r="AM125" i="8"/>
  <c r="AI125" i="8"/>
  <c r="AF125" i="8"/>
  <c r="AB125" i="8"/>
  <c r="Y125" i="8"/>
  <c r="V125" i="8"/>
  <c r="R125" i="8"/>
  <c r="N125" i="8"/>
  <c r="J125" i="8"/>
  <c r="F125" i="8"/>
  <c r="CD124" i="8"/>
  <c r="CA124" i="8"/>
  <c r="BW124" i="8"/>
  <c r="BT124" i="8"/>
  <c r="BQ124" i="8"/>
  <c r="BM124" i="8"/>
  <c r="BJ124" i="8"/>
  <c r="BF124" i="8"/>
  <c r="BC124" i="8"/>
  <c r="AY124" i="8"/>
  <c r="AU124" i="8"/>
  <c r="AQ124" i="8"/>
  <c r="AM124" i="8"/>
  <c r="AI124" i="8"/>
  <c r="AF124" i="8"/>
  <c r="AB124" i="8"/>
  <c r="Y124" i="8"/>
  <c r="V124" i="8"/>
  <c r="R124" i="8"/>
  <c r="N124" i="8"/>
  <c r="J124" i="8"/>
  <c r="F124" i="8"/>
  <c r="CD123" i="8"/>
  <c r="CA123" i="8"/>
  <c r="BW123" i="8"/>
  <c r="BT123" i="8"/>
  <c r="BQ123" i="8"/>
  <c r="BM123" i="8"/>
  <c r="BJ123" i="8"/>
  <c r="BF123" i="8"/>
  <c r="BC123" i="8"/>
  <c r="AY123" i="8"/>
  <c r="AU123" i="8"/>
  <c r="AQ123" i="8"/>
  <c r="AM123" i="8"/>
  <c r="AI123" i="8"/>
  <c r="AF123" i="8"/>
  <c r="AB123" i="8"/>
  <c r="Y123" i="8"/>
  <c r="V123" i="8"/>
  <c r="R123" i="8"/>
  <c r="N123" i="8"/>
  <c r="J123" i="8"/>
  <c r="F123" i="8"/>
  <c r="CD122" i="8"/>
  <c r="CA122" i="8"/>
  <c r="BW122" i="8"/>
  <c r="BT122" i="8"/>
  <c r="BQ122" i="8"/>
  <c r="BM122" i="8"/>
  <c r="BJ122" i="8"/>
  <c r="BF122" i="8"/>
  <c r="BC122" i="8"/>
  <c r="AY122" i="8"/>
  <c r="AU122" i="8"/>
  <c r="AQ122" i="8"/>
  <c r="AM122" i="8"/>
  <c r="AI122" i="8"/>
  <c r="AF122" i="8"/>
  <c r="AB122" i="8"/>
  <c r="Y122" i="8"/>
  <c r="V122" i="8"/>
  <c r="R122" i="8"/>
  <c r="N122" i="8"/>
  <c r="J122" i="8"/>
  <c r="F122" i="8"/>
  <c r="CD121" i="8"/>
  <c r="CA121" i="8"/>
  <c r="BW121" i="8"/>
  <c r="BT121" i="8"/>
  <c r="BQ121" i="8"/>
  <c r="BM121" i="8"/>
  <c r="BJ121" i="8"/>
  <c r="BF121" i="8"/>
  <c r="BC121" i="8"/>
  <c r="AY121" i="8"/>
  <c r="AU121" i="8"/>
  <c r="AQ121" i="8"/>
  <c r="AM121" i="8"/>
  <c r="AI121" i="8"/>
  <c r="AF121" i="8"/>
  <c r="AB121" i="8"/>
  <c r="Y121" i="8"/>
  <c r="V121" i="8"/>
  <c r="R121" i="8"/>
  <c r="N121" i="8"/>
  <c r="J121" i="8"/>
  <c r="F121" i="8"/>
  <c r="CD120" i="8"/>
  <c r="CA120" i="8"/>
  <c r="BW120" i="8"/>
  <c r="BT120" i="8"/>
  <c r="BQ120" i="8"/>
  <c r="BM120" i="8"/>
  <c r="BJ120" i="8"/>
  <c r="BF120" i="8"/>
  <c r="BC120" i="8"/>
  <c r="AY120" i="8"/>
  <c r="AU120" i="8"/>
  <c r="AQ120" i="8"/>
  <c r="AM120" i="8"/>
  <c r="AI120" i="8"/>
  <c r="AF120" i="8"/>
  <c r="AB120" i="8"/>
  <c r="Y120" i="8"/>
  <c r="V120" i="8"/>
  <c r="R120" i="8"/>
  <c r="N120" i="8"/>
  <c r="J120" i="8"/>
  <c r="F120" i="8"/>
  <c r="CD119" i="8"/>
  <c r="CA119" i="8"/>
  <c r="BW119" i="8"/>
  <c r="BT119" i="8"/>
  <c r="BQ119" i="8"/>
  <c r="BM119" i="8"/>
  <c r="BJ119" i="8"/>
  <c r="BF119" i="8"/>
  <c r="BC119" i="8"/>
  <c r="AY119" i="8"/>
  <c r="AU119" i="8"/>
  <c r="AQ119" i="8"/>
  <c r="AM119" i="8"/>
  <c r="AI119" i="8"/>
  <c r="AF119" i="8"/>
  <c r="AB119" i="8"/>
  <c r="Y119" i="8"/>
  <c r="V119" i="8"/>
  <c r="R119" i="8"/>
  <c r="N119" i="8"/>
  <c r="J119" i="8"/>
  <c r="F119" i="8"/>
  <c r="CD118" i="8"/>
  <c r="CA118" i="8"/>
  <c r="BW118" i="8"/>
  <c r="BT118" i="8"/>
  <c r="BQ118" i="8"/>
  <c r="BM118" i="8"/>
  <c r="BJ118" i="8"/>
  <c r="BF118" i="8"/>
  <c r="BC118" i="8"/>
  <c r="AY118" i="8"/>
  <c r="AU118" i="8"/>
  <c r="AQ118" i="8"/>
  <c r="AM118" i="8"/>
  <c r="AI118" i="8"/>
  <c r="AF118" i="8"/>
  <c r="AB118" i="8"/>
  <c r="Y118" i="8"/>
  <c r="V118" i="8"/>
  <c r="R118" i="8"/>
  <c r="N118" i="8"/>
  <c r="J118" i="8"/>
  <c r="F118" i="8"/>
  <c r="CD117" i="8"/>
  <c r="CA117" i="8"/>
  <c r="BW117" i="8"/>
  <c r="BT117" i="8"/>
  <c r="BQ117" i="8"/>
  <c r="BM117" i="8"/>
  <c r="BJ117" i="8"/>
  <c r="BF117" i="8"/>
  <c r="BC117" i="8"/>
  <c r="AY117" i="8"/>
  <c r="AU117" i="8"/>
  <c r="AQ117" i="8"/>
  <c r="AM117" i="8"/>
  <c r="AI117" i="8"/>
  <c r="AF117" i="8"/>
  <c r="AB117" i="8"/>
  <c r="Y117" i="8"/>
  <c r="V117" i="8"/>
  <c r="R117" i="8"/>
  <c r="N117" i="8"/>
  <c r="J117" i="8"/>
  <c r="F117" i="8"/>
  <c r="CD116" i="8"/>
  <c r="CA116" i="8"/>
  <c r="BW116" i="8"/>
  <c r="BT116" i="8"/>
  <c r="BQ116" i="8"/>
  <c r="BM116" i="8"/>
  <c r="BJ116" i="8"/>
  <c r="BF116" i="8"/>
  <c r="BC116" i="8"/>
  <c r="AY116" i="8"/>
  <c r="AU116" i="8"/>
  <c r="AQ116" i="8"/>
  <c r="AM116" i="8"/>
  <c r="AI116" i="8"/>
  <c r="AF116" i="8"/>
  <c r="AB116" i="8"/>
  <c r="Y116" i="8"/>
  <c r="V116" i="8"/>
  <c r="R116" i="8"/>
  <c r="N116" i="8"/>
  <c r="J116" i="8"/>
  <c r="F116" i="8"/>
  <c r="CD115" i="8"/>
  <c r="CA115" i="8"/>
  <c r="BW115" i="8"/>
  <c r="BT115" i="8"/>
  <c r="BQ115" i="8"/>
  <c r="BM115" i="8"/>
  <c r="BJ115" i="8"/>
  <c r="BF115" i="8"/>
  <c r="BC115" i="8"/>
  <c r="AY115" i="8"/>
  <c r="AU115" i="8"/>
  <c r="AQ115" i="8"/>
  <c r="AM115" i="8"/>
  <c r="AI115" i="8"/>
  <c r="AF115" i="8"/>
  <c r="AB115" i="8"/>
  <c r="Y115" i="8"/>
  <c r="V115" i="8"/>
  <c r="R115" i="8"/>
  <c r="N115" i="8"/>
  <c r="J115" i="8"/>
  <c r="F115" i="8"/>
  <c r="CD114" i="8"/>
  <c r="CA114" i="8"/>
  <c r="BW114" i="8"/>
  <c r="BT114" i="8"/>
  <c r="BQ114" i="8"/>
  <c r="BM114" i="8"/>
  <c r="BJ114" i="8"/>
  <c r="BF114" i="8"/>
  <c r="BC114" i="8"/>
  <c r="AY114" i="8"/>
  <c r="AU114" i="8"/>
  <c r="AQ114" i="8"/>
  <c r="AM114" i="8"/>
  <c r="AI114" i="8"/>
  <c r="AF114" i="8"/>
  <c r="AB114" i="8"/>
  <c r="Y114" i="8"/>
  <c r="V114" i="8"/>
  <c r="R114" i="8"/>
  <c r="N114" i="8"/>
  <c r="J114" i="8"/>
  <c r="F114" i="8"/>
  <c r="CD113" i="8"/>
  <c r="CA113" i="8"/>
  <c r="BW113" i="8"/>
  <c r="BT113" i="8"/>
  <c r="BQ113" i="8"/>
  <c r="BM113" i="8"/>
  <c r="BJ113" i="8"/>
  <c r="BF113" i="8"/>
  <c r="BC113" i="8"/>
  <c r="AY113" i="8"/>
  <c r="AU113" i="8"/>
  <c r="AQ113" i="8"/>
  <c r="AM113" i="8"/>
  <c r="AI113" i="8"/>
  <c r="AF113" i="8"/>
  <c r="AB113" i="8"/>
  <c r="Y113" i="8"/>
  <c r="V113" i="8"/>
  <c r="R113" i="8"/>
  <c r="N113" i="8"/>
  <c r="J113" i="8"/>
  <c r="F113" i="8"/>
  <c r="CD112" i="8"/>
  <c r="CA112" i="8"/>
  <c r="BW112" i="8"/>
  <c r="BT112" i="8"/>
  <c r="BQ112" i="8"/>
  <c r="BM112" i="8"/>
  <c r="BJ112" i="8"/>
  <c r="BF112" i="8"/>
  <c r="BC112" i="8"/>
  <c r="AY112" i="8"/>
  <c r="AU112" i="8"/>
  <c r="AQ112" i="8"/>
  <c r="AM112" i="8"/>
  <c r="AI112" i="8"/>
  <c r="AF112" i="8"/>
  <c r="AB112" i="8"/>
  <c r="Y112" i="8"/>
  <c r="V112" i="8"/>
  <c r="R112" i="8"/>
  <c r="N112" i="8"/>
  <c r="J112" i="8"/>
  <c r="F112" i="8"/>
  <c r="CD111" i="8"/>
  <c r="CA111" i="8"/>
  <c r="BW111" i="8"/>
  <c r="BT111" i="8"/>
  <c r="BQ111" i="8"/>
  <c r="BM111" i="8"/>
  <c r="BJ111" i="8"/>
  <c r="BF111" i="8"/>
  <c r="BC111" i="8"/>
  <c r="AY111" i="8"/>
  <c r="AU111" i="8"/>
  <c r="AQ111" i="8"/>
  <c r="AM111" i="8"/>
  <c r="AI111" i="8"/>
  <c r="AF111" i="8"/>
  <c r="AB111" i="8"/>
  <c r="Y111" i="8"/>
  <c r="V111" i="8"/>
  <c r="R111" i="8"/>
  <c r="N111" i="8"/>
  <c r="J111" i="8"/>
  <c r="F111" i="8"/>
  <c r="CD110" i="8"/>
  <c r="CA110" i="8"/>
  <c r="BW110" i="8"/>
  <c r="BT110" i="8"/>
  <c r="BQ110" i="8"/>
  <c r="BM110" i="8"/>
  <c r="BJ110" i="8"/>
  <c r="BF110" i="8"/>
  <c r="BC110" i="8"/>
  <c r="AY110" i="8"/>
  <c r="AU110" i="8"/>
  <c r="AQ110" i="8"/>
  <c r="AM110" i="8"/>
  <c r="AI110" i="8"/>
  <c r="AF110" i="8"/>
  <c r="AB110" i="8"/>
  <c r="Y110" i="8"/>
  <c r="V110" i="8"/>
  <c r="R110" i="8"/>
  <c r="N110" i="8"/>
  <c r="J110" i="8"/>
  <c r="F110" i="8"/>
  <c r="CD109" i="8"/>
  <c r="CA109" i="8"/>
  <c r="BW109" i="8"/>
  <c r="BT109" i="8"/>
  <c r="BQ109" i="8"/>
  <c r="BM109" i="8"/>
  <c r="BJ109" i="8"/>
  <c r="BF109" i="8"/>
  <c r="BC109" i="8"/>
  <c r="AY109" i="8"/>
  <c r="AU109" i="8"/>
  <c r="AQ109" i="8"/>
  <c r="AM109" i="8"/>
  <c r="AI109" i="8"/>
  <c r="AF109" i="8"/>
  <c r="AB109" i="8"/>
  <c r="Y109" i="8"/>
  <c r="V109" i="8"/>
  <c r="R109" i="8"/>
  <c r="N109" i="8"/>
  <c r="J109" i="8"/>
  <c r="F109" i="8"/>
  <c r="CD108" i="8"/>
  <c r="CA108" i="8"/>
  <c r="BW108" i="8"/>
  <c r="BT108" i="8"/>
  <c r="BQ108" i="8"/>
  <c r="BM108" i="8"/>
  <c r="BJ108" i="8"/>
  <c r="BF108" i="8"/>
  <c r="BC108" i="8"/>
  <c r="AY108" i="8"/>
  <c r="AU108" i="8"/>
  <c r="AQ108" i="8"/>
  <c r="AM108" i="8"/>
  <c r="AI108" i="8"/>
  <c r="AF108" i="8"/>
  <c r="AB108" i="8"/>
  <c r="Y108" i="8"/>
  <c r="V108" i="8"/>
  <c r="R108" i="8"/>
  <c r="N108" i="8"/>
  <c r="J108" i="8"/>
  <c r="F108" i="8"/>
  <c r="CD107" i="8"/>
  <c r="CA107" i="8"/>
  <c r="BW107" i="8"/>
  <c r="BT107" i="8"/>
  <c r="BQ107" i="8"/>
  <c r="BM107" i="8"/>
  <c r="BJ107" i="8"/>
  <c r="BF107" i="8"/>
  <c r="BC107" i="8"/>
  <c r="AY107" i="8"/>
  <c r="AU107" i="8"/>
  <c r="AQ107" i="8"/>
  <c r="AM107" i="8"/>
  <c r="AI107" i="8"/>
  <c r="AF107" i="8"/>
  <c r="AB107" i="8"/>
  <c r="Y107" i="8"/>
  <c r="V107" i="8"/>
  <c r="R107" i="8"/>
  <c r="N107" i="8"/>
  <c r="J107" i="8"/>
  <c r="F107" i="8"/>
  <c r="CD106" i="8"/>
  <c r="CA106" i="8"/>
  <c r="BW106" i="8"/>
  <c r="BT106" i="8"/>
  <c r="BQ106" i="8"/>
  <c r="BM106" i="8"/>
  <c r="BJ106" i="8"/>
  <c r="BF106" i="8"/>
  <c r="BC106" i="8"/>
  <c r="AY106" i="8"/>
  <c r="AU106" i="8"/>
  <c r="AQ106" i="8"/>
  <c r="AM106" i="8"/>
  <c r="AI106" i="8"/>
  <c r="AF106" i="8"/>
  <c r="AB106" i="8"/>
  <c r="Y106" i="8"/>
  <c r="V106" i="8"/>
  <c r="R106" i="8"/>
  <c r="N106" i="8"/>
  <c r="J106" i="8"/>
  <c r="F106" i="8"/>
  <c r="CD105" i="8"/>
  <c r="CA105" i="8"/>
  <c r="BW105" i="8"/>
  <c r="BT105" i="8"/>
  <c r="BQ105" i="8"/>
  <c r="BM105" i="8"/>
  <c r="BJ105" i="8"/>
  <c r="BF105" i="8"/>
  <c r="BC105" i="8"/>
  <c r="AY105" i="8"/>
  <c r="AU105" i="8"/>
  <c r="AQ105" i="8"/>
  <c r="AM105" i="8"/>
  <c r="AI105" i="8"/>
  <c r="AF105" i="8"/>
  <c r="AB105" i="8"/>
  <c r="Y105" i="8"/>
  <c r="V105" i="8"/>
  <c r="R105" i="8"/>
  <c r="N105" i="8"/>
  <c r="J105" i="8"/>
  <c r="F105" i="8"/>
  <c r="CD104" i="8"/>
  <c r="CA104" i="8"/>
  <c r="BW104" i="8"/>
  <c r="BT104" i="8"/>
  <c r="BQ104" i="8"/>
  <c r="BM104" i="8"/>
  <c r="BJ104" i="8"/>
  <c r="BF104" i="8"/>
  <c r="BC104" i="8"/>
  <c r="AY104" i="8"/>
  <c r="AU104" i="8"/>
  <c r="AQ104" i="8"/>
  <c r="AM104" i="8"/>
  <c r="AI104" i="8"/>
  <c r="AF104" i="8"/>
  <c r="AB104" i="8"/>
  <c r="Y104" i="8"/>
  <c r="V104" i="8"/>
  <c r="R104" i="8"/>
  <c r="N104" i="8"/>
  <c r="J104" i="8"/>
  <c r="F104" i="8"/>
  <c r="CD103" i="8"/>
  <c r="CA103" i="8"/>
  <c r="BW103" i="8"/>
  <c r="BT103" i="8"/>
  <c r="BQ103" i="8"/>
  <c r="BM103" i="8"/>
  <c r="BJ103" i="8"/>
  <c r="BF103" i="8"/>
  <c r="BC103" i="8"/>
  <c r="AY103" i="8"/>
  <c r="AU103" i="8"/>
  <c r="AQ103" i="8"/>
  <c r="AM103" i="8"/>
  <c r="AI103" i="8"/>
  <c r="AF103" i="8"/>
  <c r="AB103" i="8"/>
  <c r="Y103" i="8"/>
  <c r="V103" i="8"/>
  <c r="R103" i="8"/>
  <c r="N103" i="8"/>
  <c r="J103" i="8"/>
  <c r="F103" i="8"/>
  <c r="CD102" i="8"/>
  <c r="CA102" i="8"/>
  <c r="BW102" i="8"/>
  <c r="BT102" i="8"/>
  <c r="BQ102" i="8"/>
  <c r="BM102" i="8"/>
  <c r="BJ102" i="8"/>
  <c r="BF102" i="8"/>
  <c r="BC102" i="8"/>
  <c r="AY102" i="8"/>
  <c r="AU102" i="8"/>
  <c r="AQ102" i="8"/>
  <c r="AM102" i="8"/>
  <c r="AI102" i="8"/>
  <c r="AF102" i="8"/>
  <c r="AB102" i="8"/>
  <c r="Y102" i="8"/>
  <c r="V102" i="8"/>
  <c r="R102" i="8"/>
  <c r="N102" i="8"/>
  <c r="J102" i="8"/>
  <c r="F102" i="8"/>
  <c r="CD101" i="8"/>
  <c r="CA101" i="8"/>
  <c r="BW101" i="8"/>
  <c r="BT101" i="8"/>
  <c r="BQ101" i="8"/>
  <c r="BM101" i="8"/>
  <c r="BJ101" i="8"/>
  <c r="BF101" i="8"/>
  <c r="BC101" i="8"/>
  <c r="AY101" i="8"/>
  <c r="AU101" i="8"/>
  <c r="AQ101" i="8"/>
  <c r="AM101" i="8"/>
  <c r="AI101" i="8"/>
  <c r="AF101" i="8"/>
  <c r="AB101" i="8"/>
  <c r="Y101" i="8"/>
  <c r="V101" i="8"/>
  <c r="R101" i="8"/>
  <c r="N101" i="8"/>
  <c r="J101" i="8"/>
  <c r="F101" i="8"/>
  <c r="CD100" i="8"/>
  <c r="CA100" i="8"/>
  <c r="BW100" i="8"/>
  <c r="BT100" i="8"/>
  <c r="BQ100" i="8"/>
  <c r="BM100" i="8"/>
  <c r="BJ100" i="8"/>
  <c r="BF100" i="8"/>
  <c r="BC100" i="8"/>
  <c r="AY100" i="8"/>
  <c r="AU100" i="8"/>
  <c r="AQ100" i="8"/>
  <c r="AM100" i="8"/>
  <c r="AI100" i="8"/>
  <c r="AF100" i="8"/>
  <c r="AB100" i="8"/>
  <c r="Y100" i="8"/>
  <c r="V100" i="8"/>
  <c r="R100" i="8"/>
  <c r="N100" i="8"/>
  <c r="J100" i="8"/>
  <c r="F100" i="8"/>
  <c r="CD99" i="8"/>
  <c r="CA99" i="8"/>
  <c r="BW99" i="8"/>
  <c r="BT99" i="8"/>
  <c r="BQ99" i="8"/>
  <c r="BM99" i="8"/>
  <c r="BJ99" i="8"/>
  <c r="BF99" i="8"/>
  <c r="BC99" i="8"/>
  <c r="AY99" i="8"/>
  <c r="AU99" i="8"/>
  <c r="AQ99" i="8"/>
  <c r="AM99" i="8"/>
  <c r="AI99" i="8"/>
  <c r="AF99" i="8"/>
  <c r="AB99" i="8"/>
  <c r="Y99" i="8"/>
  <c r="V99" i="8"/>
  <c r="R99" i="8"/>
  <c r="N99" i="8"/>
  <c r="J99" i="8"/>
  <c r="F99" i="8"/>
  <c r="CD98" i="8"/>
  <c r="CA98" i="8"/>
  <c r="BW98" i="8"/>
  <c r="BT98" i="8"/>
  <c r="BQ98" i="8"/>
  <c r="BM98" i="8"/>
  <c r="BJ98" i="8"/>
  <c r="BF98" i="8"/>
  <c r="BC98" i="8"/>
  <c r="AY98" i="8"/>
  <c r="AU98" i="8"/>
  <c r="AQ98" i="8"/>
  <c r="AM98" i="8"/>
  <c r="AI98" i="8"/>
  <c r="AF98" i="8"/>
  <c r="AB98" i="8"/>
  <c r="Y98" i="8"/>
  <c r="V98" i="8"/>
  <c r="R98" i="8"/>
  <c r="N98" i="8"/>
  <c r="J98" i="8"/>
  <c r="F98" i="8"/>
  <c r="CD97" i="8"/>
  <c r="CA97" i="8"/>
  <c r="BW97" i="8"/>
  <c r="BT97" i="8"/>
  <c r="BQ97" i="8"/>
  <c r="BM97" i="8"/>
  <c r="BJ97" i="8"/>
  <c r="BF97" i="8"/>
  <c r="BC97" i="8"/>
  <c r="AY97" i="8"/>
  <c r="AU97" i="8"/>
  <c r="AQ97" i="8"/>
  <c r="AM97" i="8"/>
  <c r="AI97" i="8"/>
  <c r="AF97" i="8"/>
  <c r="AB97" i="8"/>
  <c r="Y97" i="8"/>
  <c r="V97" i="8"/>
  <c r="R97" i="8"/>
  <c r="N97" i="8"/>
  <c r="J97" i="8"/>
  <c r="F97" i="8"/>
  <c r="CD96" i="8"/>
  <c r="CA96" i="8"/>
  <c r="BW96" i="8"/>
  <c r="BT96" i="8"/>
  <c r="BQ96" i="8"/>
  <c r="BM96" i="8"/>
  <c r="BJ96" i="8"/>
  <c r="BF96" i="8"/>
  <c r="BC96" i="8"/>
  <c r="AY96" i="8"/>
  <c r="AU96" i="8"/>
  <c r="AQ96" i="8"/>
  <c r="AM96" i="8"/>
  <c r="AI96" i="8"/>
  <c r="AF96" i="8"/>
  <c r="AB96" i="8"/>
  <c r="Y96" i="8"/>
  <c r="V96" i="8"/>
  <c r="R96" i="8"/>
  <c r="N96" i="8"/>
  <c r="J96" i="8"/>
  <c r="F96" i="8"/>
  <c r="CD95" i="8"/>
  <c r="CA95" i="8"/>
  <c r="BW95" i="8"/>
  <c r="BT95" i="8"/>
  <c r="BQ95" i="8"/>
  <c r="BM95" i="8"/>
  <c r="BJ95" i="8"/>
  <c r="BF95" i="8"/>
  <c r="BC95" i="8"/>
  <c r="AY95" i="8"/>
  <c r="AU95" i="8"/>
  <c r="AQ95" i="8"/>
  <c r="AM95" i="8"/>
  <c r="AI95" i="8"/>
  <c r="AF95" i="8"/>
  <c r="AB95" i="8"/>
  <c r="Y95" i="8"/>
  <c r="V95" i="8"/>
  <c r="R95" i="8"/>
  <c r="N95" i="8"/>
  <c r="J95" i="8"/>
  <c r="F95" i="8"/>
  <c r="CD94" i="8"/>
  <c r="CA94" i="8"/>
  <c r="BW94" i="8"/>
  <c r="BT94" i="8"/>
  <c r="BQ94" i="8"/>
  <c r="BM94" i="8"/>
  <c r="BJ94" i="8"/>
  <c r="BF94" i="8"/>
  <c r="BC94" i="8"/>
  <c r="AY94" i="8"/>
  <c r="AU94" i="8"/>
  <c r="AQ94" i="8"/>
  <c r="AM94" i="8"/>
  <c r="AI94" i="8"/>
  <c r="AF94" i="8"/>
  <c r="AB94" i="8"/>
  <c r="Y94" i="8"/>
  <c r="V94" i="8"/>
  <c r="R94" i="8"/>
  <c r="N94" i="8"/>
  <c r="J94" i="8"/>
  <c r="F94" i="8"/>
  <c r="CD93" i="8"/>
  <c r="CA93" i="8"/>
  <c r="BW93" i="8"/>
  <c r="BT93" i="8"/>
  <c r="BQ93" i="8"/>
  <c r="BM93" i="8"/>
  <c r="BJ93" i="8"/>
  <c r="BF93" i="8"/>
  <c r="BC93" i="8"/>
  <c r="AY93" i="8"/>
  <c r="AU93" i="8"/>
  <c r="AQ93" i="8"/>
  <c r="AM93" i="8"/>
  <c r="AI93" i="8"/>
  <c r="AF93" i="8"/>
  <c r="AB93" i="8"/>
  <c r="Y93" i="8"/>
  <c r="V93" i="8"/>
  <c r="R93" i="8"/>
  <c r="N93" i="8"/>
  <c r="J93" i="8"/>
  <c r="F93" i="8"/>
  <c r="CD92" i="8"/>
  <c r="CA92" i="8"/>
  <c r="BW92" i="8"/>
  <c r="BT92" i="8"/>
  <c r="BQ92" i="8"/>
  <c r="BM92" i="8"/>
  <c r="BJ92" i="8"/>
  <c r="BF92" i="8"/>
  <c r="BC92" i="8"/>
  <c r="AY92" i="8"/>
  <c r="AU92" i="8"/>
  <c r="AQ92" i="8"/>
  <c r="AM92" i="8"/>
  <c r="AI92" i="8"/>
  <c r="AF92" i="8"/>
  <c r="AB92" i="8"/>
  <c r="Y92" i="8"/>
  <c r="V92" i="8"/>
  <c r="R92" i="8"/>
  <c r="N92" i="8"/>
  <c r="J92" i="8"/>
  <c r="F92" i="8"/>
  <c r="CD91" i="8"/>
  <c r="CA91" i="8"/>
  <c r="BW91" i="8"/>
  <c r="BT91" i="8"/>
  <c r="BQ91" i="8"/>
  <c r="BM91" i="8"/>
  <c r="BJ91" i="8"/>
  <c r="BF91" i="8"/>
  <c r="BC91" i="8"/>
  <c r="AY91" i="8"/>
  <c r="AU91" i="8"/>
  <c r="AQ91" i="8"/>
  <c r="AM91" i="8"/>
  <c r="AI91" i="8"/>
  <c r="AF91" i="8"/>
  <c r="AB91" i="8"/>
  <c r="Y91" i="8"/>
  <c r="V91" i="8"/>
  <c r="R91" i="8"/>
  <c r="N91" i="8"/>
  <c r="J91" i="8"/>
  <c r="F91" i="8"/>
  <c r="CD90" i="8"/>
  <c r="CA90" i="8"/>
  <c r="BW90" i="8"/>
  <c r="BT90" i="8"/>
  <c r="BQ90" i="8"/>
  <c r="BM90" i="8"/>
  <c r="BJ90" i="8"/>
  <c r="BF90" i="8"/>
  <c r="BC90" i="8"/>
  <c r="AY90" i="8"/>
  <c r="AU90" i="8"/>
  <c r="AQ90" i="8"/>
  <c r="AM90" i="8"/>
  <c r="AI90" i="8"/>
  <c r="AF90" i="8"/>
  <c r="AB90" i="8"/>
  <c r="Y90" i="8"/>
  <c r="V90" i="8"/>
  <c r="R90" i="8"/>
  <c r="N90" i="8"/>
  <c r="J90" i="8"/>
  <c r="F90" i="8"/>
  <c r="CD89" i="8"/>
  <c r="CA89" i="8"/>
  <c r="BW89" i="8"/>
  <c r="BT89" i="8"/>
  <c r="BQ89" i="8"/>
  <c r="BM89" i="8"/>
  <c r="BJ89" i="8"/>
  <c r="BF89" i="8"/>
  <c r="BC89" i="8"/>
  <c r="AY89" i="8"/>
  <c r="AU89" i="8"/>
  <c r="AQ89" i="8"/>
  <c r="AM89" i="8"/>
  <c r="AI89" i="8"/>
  <c r="AF89" i="8"/>
  <c r="AB89" i="8"/>
  <c r="Y89" i="8"/>
  <c r="V89" i="8"/>
  <c r="R89" i="8"/>
  <c r="N89" i="8"/>
  <c r="J89" i="8"/>
  <c r="F89" i="8"/>
  <c r="CD88" i="8"/>
  <c r="CA88" i="8"/>
  <c r="BW88" i="8"/>
  <c r="BT88" i="8"/>
  <c r="BQ88" i="8"/>
  <c r="BM88" i="8"/>
  <c r="BJ88" i="8"/>
  <c r="BF88" i="8"/>
  <c r="BC88" i="8"/>
  <c r="AY88" i="8"/>
  <c r="AU88" i="8"/>
  <c r="AQ88" i="8"/>
  <c r="AM88" i="8"/>
  <c r="AI88" i="8"/>
  <c r="AF88" i="8"/>
  <c r="AB88" i="8"/>
  <c r="Y88" i="8"/>
  <c r="V88" i="8"/>
  <c r="R88" i="8"/>
  <c r="N88" i="8"/>
  <c r="J88" i="8"/>
  <c r="F88" i="8"/>
  <c r="CD87" i="8"/>
  <c r="CA87" i="8"/>
  <c r="BW87" i="8"/>
  <c r="BT87" i="8"/>
  <c r="BQ87" i="8"/>
  <c r="BM87" i="8"/>
  <c r="BJ87" i="8"/>
  <c r="BF87" i="8"/>
  <c r="BC87" i="8"/>
  <c r="AY87" i="8"/>
  <c r="AU87" i="8"/>
  <c r="AQ87" i="8"/>
  <c r="AM87" i="8"/>
  <c r="AI87" i="8"/>
  <c r="AF87" i="8"/>
  <c r="AB87" i="8"/>
  <c r="Y87" i="8"/>
  <c r="V87" i="8"/>
  <c r="R87" i="8"/>
  <c r="N87" i="8"/>
  <c r="J87" i="8"/>
  <c r="F87" i="8"/>
  <c r="CD86" i="8"/>
  <c r="CA86" i="8"/>
  <c r="BW86" i="8"/>
  <c r="BT86" i="8"/>
  <c r="BQ86" i="8"/>
  <c r="BM86" i="8"/>
  <c r="BJ86" i="8"/>
  <c r="BF86" i="8"/>
  <c r="BC86" i="8"/>
  <c r="AY86" i="8"/>
  <c r="AU86" i="8"/>
  <c r="AQ86" i="8"/>
  <c r="AM86" i="8"/>
  <c r="AI86" i="8"/>
  <c r="AF86" i="8"/>
  <c r="AB86" i="8"/>
  <c r="Y86" i="8"/>
  <c r="V86" i="8"/>
  <c r="R86" i="8"/>
  <c r="N86" i="8"/>
  <c r="J86" i="8"/>
  <c r="F86" i="8"/>
  <c r="CD85" i="8"/>
  <c r="CA85" i="8"/>
  <c r="BW85" i="8"/>
  <c r="BT85" i="8"/>
  <c r="BQ85" i="8"/>
  <c r="BM85" i="8"/>
  <c r="BJ85" i="8"/>
  <c r="BF85" i="8"/>
  <c r="BC85" i="8"/>
  <c r="AY85" i="8"/>
  <c r="AU85" i="8"/>
  <c r="AQ85" i="8"/>
  <c r="AM85" i="8"/>
  <c r="AI85" i="8"/>
  <c r="AF85" i="8"/>
  <c r="AB85" i="8"/>
  <c r="Y85" i="8"/>
  <c r="V85" i="8"/>
  <c r="R85" i="8"/>
  <c r="N85" i="8"/>
  <c r="J85" i="8"/>
  <c r="F85" i="8"/>
  <c r="CD84" i="8"/>
  <c r="CA84" i="8"/>
  <c r="BW84" i="8"/>
  <c r="BT84" i="8"/>
  <c r="BQ84" i="8"/>
  <c r="BM84" i="8"/>
  <c r="BJ84" i="8"/>
  <c r="BF84" i="8"/>
  <c r="BC84" i="8"/>
  <c r="AY84" i="8"/>
  <c r="AU84" i="8"/>
  <c r="AQ84" i="8"/>
  <c r="AM84" i="8"/>
  <c r="AI84" i="8"/>
  <c r="AF84" i="8"/>
  <c r="AB84" i="8"/>
  <c r="Y84" i="8"/>
  <c r="V84" i="8"/>
  <c r="R84" i="8"/>
  <c r="N84" i="8"/>
  <c r="J84" i="8"/>
  <c r="F84" i="8"/>
  <c r="CD83" i="8"/>
  <c r="CA83" i="8"/>
  <c r="BW83" i="8"/>
  <c r="BT83" i="8"/>
  <c r="BQ83" i="8"/>
  <c r="BM83" i="8"/>
  <c r="BJ83" i="8"/>
  <c r="BF83" i="8"/>
  <c r="BC83" i="8"/>
  <c r="AY83" i="8"/>
  <c r="AU83" i="8"/>
  <c r="AQ83" i="8"/>
  <c r="AM83" i="8"/>
  <c r="AI83" i="8"/>
  <c r="AF83" i="8"/>
  <c r="AB83" i="8"/>
  <c r="Y83" i="8"/>
  <c r="V83" i="8"/>
  <c r="R83" i="8"/>
  <c r="N83" i="8"/>
  <c r="J83" i="8"/>
  <c r="F83" i="8"/>
  <c r="CD82" i="8"/>
  <c r="CA82" i="8"/>
  <c r="BW82" i="8"/>
  <c r="BT82" i="8"/>
  <c r="BQ82" i="8"/>
  <c r="BM82" i="8"/>
  <c r="BJ82" i="8"/>
  <c r="BF82" i="8"/>
  <c r="BC82" i="8"/>
  <c r="AY82" i="8"/>
  <c r="AU82" i="8"/>
  <c r="AQ82" i="8"/>
  <c r="AM82" i="8"/>
  <c r="AI82" i="8"/>
  <c r="AF82" i="8"/>
  <c r="AB82" i="8"/>
  <c r="Y82" i="8"/>
  <c r="V82" i="8"/>
  <c r="R82" i="8"/>
  <c r="N82" i="8"/>
  <c r="J82" i="8"/>
  <c r="F82" i="8"/>
  <c r="CD81" i="8"/>
  <c r="CA81" i="8"/>
  <c r="BW81" i="8"/>
  <c r="BT81" i="8"/>
  <c r="BQ81" i="8"/>
  <c r="BM81" i="8"/>
  <c r="BJ81" i="8"/>
  <c r="BF81" i="8"/>
  <c r="BC81" i="8"/>
  <c r="AY81" i="8"/>
  <c r="AU81" i="8"/>
  <c r="AQ81" i="8"/>
  <c r="AM81" i="8"/>
  <c r="AI81" i="8"/>
  <c r="AF81" i="8"/>
  <c r="AB81" i="8"/>
  <c r="Y81" i="8"/>
  <c r="V81" i="8"/>
  <c r="R81" i="8"/>
  <c r="N81" i="8"/>
  <c r="J81" i="8"/>
  <c r="F81" i="8"/>
  <c r="CD80" i="8"/>
  <c r="CA80" i="8"/>
  <c r="BW80" i="8"/>
  <c r="BT80" i="8"/>
  <c r="BQ80" i="8"/>
  <c r="BM80" i="8"/>
  <c r="BJ80" i="8"/>
  <c r="BF80" i="8"/>
  <c r="BC80" i="8"/>
  <c r="AY80" i="8"/>
  <c r="AU80" i="8"/>
  <c r="AQ80" i="8"/>
  <c r="AM80" i="8"/>
  <c r="AI80" i="8"/>
  <c r="AF80" i="8"/>
  <c r="AB80" i="8"/>
  <c r="Y80" i="8"/>
  <c r="V80" i="8"/>
  <c r="R80" i="8"/>
  <c r="N80" i="8"/>
  <c r="J80" i="8"/>
  <c r="F80" i="8"/>
  <c r="CD79" i="8"/>
  <c r="CA79" i="8"/>
  <c r="BW79" i="8"/>
  <c r="BT79" i="8"/>
  <c r="BQ79" i="8"/>
  <c r="BM79" i="8"/>
  <c r="BJ79" i="8"/>
  <c r="BF79" i="8"/>
  <c r="BC79" i="8"/>
  <c r="AY79" i="8"/>
  <c r="AU79" i="8"/>
  <c r="AQ79" i="8"/>
  <c r="AM79" i="8"/>
  <c r="AI79" i="8"/>
  <c r="AF79" i="8"/>
  <c r="AB79" i="8"/>
  <c r="Y79" i="8"/>
  <c r="V79" i="8"/>
  <c r="R79" i="8"/>
  <c r="N79" i="8"/>
  <c r="J79" i="8"/>
  <c r="F79" i="8"/>
  <c r="CD78" i="8"/>
  <c r="CA78" i="8"/>
  <c r="BW78" i="8"/>
  <c r="BT78" i="8"/>
  <c r="BQ78" i="8"/>
  <c r="BM78" i="8"/>
  <c r="BJ78" i="8"/>
  <c r="BF78" i="8"/>
  <c r="BC78" i="8"/>
  <c r="AY78" i="8"/>
  <c r="AU78" i="8"/>
  <c r="AQ78" i="8"/>
  <c r="AM78" i="8"/>
  <c r="AI78" i="8"/>
  <c r="AF78" i="8"/>
  <c r="AB78" i="8"/>
  <c r="Y78" i="8"/>
  <c r="V78" i="8"/>
  <c r="R78" i="8"/>
  <c r="N78" i="8"/>
  <c r="J78" i="8"/>
  <c r="F78" i="8"/>
  <c r="CD77" i="8"/>
  <c r="CA77" i="8"/>
  <c r="BW77" i="8"/>
  <c r="BT77" i="8"/>
  <c r="BQ77" i="8"/>
  <c r="BM77" i="8"/>
  <c r="BJ77" i="8"/>
  <c r="BF77" i="8"/>
  <c r="BC77" i="8"/>
  <c r="AY77" i="8"/>
  <c r="AU77" i="8"/>
  <c r="AQ77" i="8"/>
  <c r="AM77" i="8"/>
  <c r="AI77" i="8"/>
  <c r="AF77" i="8"/>
  <c r="AB77" i="8"/>
  <c r="Y77" i="8"/>
  <c r="V77" i="8"/>
  <c r="R77" i="8"/>
  <c r="N77" i="8"/>
  <c r="J77" i="8"/>
  <c r="F77" i="8"/>
  <c r="CD76" i="8"/>
  <c r="CA76" i="8"/>
  <c r="BW76" i="8"/>
  <c r="BT76" i="8"/>
  <c r="BQ76" i="8"/>
  <c r="BM76" i="8"/>
  <c r="BJ76" i="8"/>
  <c r="BF76" i="8"/>
  <c r="BC76" i="8"/>
  <c r="AY76" i="8"/>
  <c r="AU76" i="8"/>
  <c r="AQ76" i="8"/>
  <c r="AM76" i="8"/>
  <c r="AI76" i="8"/>
  <c r="AF76" i="8"/>
  <c r="AB76" i="8"/>
  <c r="Y76" i="8"/>
  <c r="V76" i="8"/>
  <c r="R76" i="8"/>
  <c r="N76" i="8"/>
  <c r="J76" i="8"/>
  <c r="F76" i="8"/>
  <c r="CD75" i="8"/>
  <c r="CA75" i="8"/>
  <c r="BW75" i="8"/>
  <c r="BT75" i="8"/>
  <c r="BQ75" i="8"/>
  <c r="BM75" i="8"/>
  <c r="BJ75" i="8"/>
  <c r="BF75" i="8"/>
  <c r="BC75" i="8"/>
  <c r="AY75" i="8"/>
  <c r="AU75" i="8"/>
  <c r="AQ75" i="8"/>
  <c r="AM75" i="8"/>
  <c r="AI75" i="8"/>
  <c r="AF75" i="8"/>
  <c r="AB75" i="8"/>
  <c r="Y75" i="8"/>
  <c r="V75" i="8"/>
  <c r="R75" i="8"/>
  <c r="N75" i="8"/>
  <c r="J75" i="8"/>
  <c r="F75" i="8"/>
  <c r="CD74" i="8"/>
  <c r="CA74" i="8"/>
  <c r="BW74" i="8"/>
  <c r="BT74" i="8"/>
  <c r="BQ74" i="8"/>
  <c r="BM74" i="8"/>
  <c r="BJ74" i="8"/>
  <c r="BF74" i="8"/>
  <c r="BC74" i="8"/>
  <c r="AY74" i="8"/>
  <c r="AU74" i="8"/>
  <c r="AQ74" i="8"/>
  <c r="AM74" i="8"/>
  <c r="AI74" i="8"/>
  <c r="AF74" i="8"/>
  <c r="AB74" i="8"/>
  <c r="Y74" i="8"/>
  <c r="V74" i="8"/>
  <c r="R74" i="8"/>
  <c r="N74" i="8"/>
  <c r="J74" i="8"/>
  <c r="F74" i="8"/>
  <c r="CD73" i="8"/>
  <c r="CA73" i="8"/>
  <c r="BW73" i="8"/>
  <c r="BT73" i="8"/>
  <c r="BQ73" i="8"/>
  <c r="BM73" i="8"/>
  <c r="BJ73" i="8"/>
  <c r="BF73" i="8"/>
  <c r="BC73" i="8"/>
  <c r="AY73" i="8"/>
  <c r="AU73" i="8"/>
  <c r="AQ73" i="8"/>
  <c r="AM73" i="8"/>
  <c r="AI73" i="8"/>
  <c r="AF73" i="8"/>
  <c r="AB73" i="8"/>
  <c r="Y73" i="8"/>
  <c r="V73" i="8"/>
  <c r="R73" i="8"/>
  <c r="N73" i="8"/>
  <c r="J73" i="8"/>
  <c r="F73" i="8"/>
  <c r="CD72" i="8"/>
  <c r="CA72" i="8"/>
  <c r="BW72" i="8"/>
  <c r="BT72" i="8"/>
  <c r="BQ72" i="8"/>
  <c r="BM72" i="8"/>
  <c r="BJ72" i="8"/>
  <c r="BF72" i="8"/>
  <c r="BC72" i="8"/>
  <c r="AY72" i="8"/>
  <c r="AU72" i="8"/>
  <c r="AQ72" i="8"/>
  <c r="AM72" i="8"/>
  <c r="AI72" i="8"/>
  <c r="AF72" i="8"/>
  <c r="AB72" i="8"/>
  <c r="Y72" i="8"/>
  <c r="V72" i="8"/>
  <c r="R72" i="8"/>
  <c r="N72" i="8"/>
  <c r="J72" i="8"/>
  <c r="F72" i="8"/>
  <c r="CD71" i="8"/>
  <c r="CA71" i="8"/>
  <c r="BW71" i="8"/>
  <c r="BT71" i="8"/>
  <c r="BQ71" i="8"/>
  <c r="BM71" i="8"/>
  <c r="BJ71" i="8"/>
  <c r="BF71" i="8"/>
  <c r="BC71" i="8"/>
  <c r="AY71" i="8"/>
  <c r="AU71" i="8"/>
  <c r="AQ71" i="8"/>
  <c r="AM71" i="8"/>
  <c r="AI71" i="8"/>
  <c r="AF71" i="8"/>
  <c r="AB71" i="8"/>
  <c r="Y71" i="8"/>
  <c r="V71" i="8"/>
  <c r="R71" i="8"/>
  <c r="N71" i="8"/>
  <c r="J71" i="8"/>
  <c r="F71" i="8"/>
  <c r="CD70" i="8"/>
  <c r="CA70" i="8"/>
  <c r="BW70" i="8"/>
  <c r="BT70" i="8"/>
  <c r="BQ70" i="8"/>
  <c r="BM70" i="8"/>
  <c r="BJ70" i="8"/>
  <c r="BF70" i="8"/>
  <c r="BC70" i="8"/>
  <c r="AY70" i="8"/>
  <c r="AU70" i="8"/>
  <c r="AQ70" i="8"/>
  <c r="AM70" i="8"/>
  <c r="AI70" i="8"/>
  <c r="AF70" i="8"/>
  <c r="AB70" i="8"/>
  <c r="Y70" i="8"/>
  <c r="V70" i="8"/>
  <c r="R70" i="8"/>
  <c r="N70" i="8"/>
  <c r="J70" i="8"/>
  <c r="F70" i="8"/>
  <c r="CD69" i="8"/>
  <c r="CA69" i="8"/>
  <c r="BW69" i="8"/>
  <c r="BT69" i="8"/>
  <c r="BQ69" i="8"/>
  <c r="BM69" i="8"/>
  <c r="BJ69" i="8"/>
  <c r="BF69" i="8"/>
  <c r="BC69" i="8"/>
  <c r="AY69" i="8"/>
  <c r="AU69" i="8"/>
  <c r="AQ69" i="8"/>
  <c r="AM69" i="8"/>
  <c r="AI69" i="8"/>
  <c r="AF69" i="8"/>
  <c r="AB69" i="8"/>
  <c r="Y69" i="8"/>
  <c r="V69" i="8"/>
  <c r="R69" i="8"/>
  <c r="N69" i="8"/>
  <c r="J69" i="8"/>
  <c r="F69" i="8"/>
  <c r="CD68" i="8"/>
  <c r="CA68" i="8"/>
  <c r="BW68" i="8"/>
  <c r="BT68" i="8"/>
  <c r="BQ68" i="8"/>
  <c r="BM68" i="8"/>
  <c r="BJ68" i="8"/>
  <c r="BF68" i="8"/>
  <c r="BC68" i="8"/>
  <c r="AY68" i="8"/>
  <c r="AU68" i="8"/>
  <c r="AQ68" i="8"/>
  <c r="AM68" i="8"/>
  <c r="AI68" i="8"/>
  <c r="AF68" i="8"/>
  <c r="AB68" i="8"/>
  <c r="Y68" i="8"/>
  <c r="V68" i="8"/>
  <c r="R68" i="8"/>
  <c r="N68" i="8"/>
  <c r="J68" i="8"/>
  <c r="F68" i="8"/>
  <c r="CD67" i="8"/>
  <c r="CA67" i="8"/>
  <c r="BW67" i="8"/>
  <c r="BT67" i="8"/>
  <c r="BQ67" i="8"/>
  <c r="BM67" i="8"/>
  <c r="BJ67" i="8"/>
  <c r="BF67" i="8"/>
  <c r="BC67" i="8"/>
  <c r="AY67" i="8"/>
  <c r="AU67" i="8"/>
  <c r="AQ67" i="8"/>
  <c r="AM67" i="8"/>
  <c r="AI67" i="8"/>
  <c r="AF67" i="8"/>
  <c r="AB67" i="8"/>
  <c r="Y67" i="8"/>
  <c r="V67" i="8"/>
  <c r="R67" i="8"/>
  <c r="N67" i="8"/>
  <c r="J67" i="8"/>
  <c r="F67" i="8"/>
  <c r="CD66" i="8"/>
  <c r="CA66" i="8"/>
  <c r="BW66" i="8"/>
  <c r="BT66" i="8"/>
  <c r="BQ66" i="8"/>
  <c r="BM66" i="8"/>
  <c r="BJ66" i="8"/>
  <c r="BF66" i="8"/>
  <c r="BC66" i="8"/>
  <c r="AY66" i="8"/>
  <c r="AU66" i="8"/>
  <c r="AQ66" i="8"/>
  <c r="AM66" i="8"/>
  <c r="AI66" i="8"/>
  <c r="AF66" i="8"/>
  <c r="AB66" i="8"/>
  <c r="Y66" i="8"/>
  <c r="V66" i="8"/>
  <c r="R66" i="8"/>
  <c r="N66" i="8"/>
  <c r="J66" i="8"/>
  <c r="F66" i="8"/>
  <c r="CD65" i="8"/>
  <c r="CA65" i="8"/>
  <c r="BW65" i="8"/>
  <c r="BT65" i="8"/>
  <c r="BQ65" i="8"/>
  <c r="BM65" i="8"/>
  <c r="BJ65" i="8"/>
  <c r="BF65" i="8"/>
  <c r="BC65" i="8"/>
  <c r="AY65" i="8"/>
  <c r="AU65" i="8"/>
  <c r="AQ65" i="8"/>
  <c r="AM65" i="8"/>
  <c r="AI65" i="8"/>
  <c r="AF65" i="8"/>
  <c r="AB65" i="8"/>
  <c r="Y65" i="8"/>
  <c r="V65" i="8"/>
  <c r="R65" i="8"/>
  <c r="N65" i="8"/>
  <c r="J65" i="8"/>
  <c r="F65" i="8"/>
  <c r="CD64" i="8"/>
  <c r="CA64" i="8"/>
  <c r="BW64" i="8"/>
  <c r="BT64" i="8"/>
  <c r="BQ64" i="8"/>
  <c r="BM64" i="8"/>
  <c r="BJ64" i="8"/>
  <c r="BF64" i="8"/>
  <c r="BC64" i="8"/>
  <c r="AY64" i="8"/>
  <c r="AU64" i="8"/>
  <c r="AQ64" i="8"/>
  <c r="AM64" i="8"/>
  <c r="AI64" i="8"/>
  <c r="AF64" i="8"/>
  <c r="AB64" i="8"/>
  <c r="Y64" i="8"/>
  <c r="V64" i="8"/>
  <c r="R64" i="8"/>
  <c r="N64" i="8"/>
  <c r="J64" i="8"/>
  <c r="F64" i="8"/>
  <c r="CD63" i="8"/>
  <c r="CA63" i="8"/>
  <c r="BW63" i="8"/>
  <c r="BT63" i="8"/>
  <c r="BQ63" i="8"/>
  <c r="BM63" i="8"/>
  <c r="BJ63" i="8"/>
  <c r="BF63" i="8"/>
  <c r="BC63" i="8"/>
  <c r="AY63" i="8"/>
  <c r="AU63" i="8"/>
  <c r="AQ63" i="8"/>
  <c r="AM63" i="8"/>
  <c r="AI63" i="8"/>
  <c r="AF63" i="8"/>
  <c r="AB63" i="8"/>
  <c r="Y63" i="8"/>
  <c r="V63" i="8"/>
  <c r="R63" i="8"/>
  <c r="N63" i="8"/>
  <c r="J63" i="8"/>
  <c r="F63" i="8"/>
  <c r="CD62" i="8"/>
  <c r="CA62" i="8"/>
  <c r="BW62" i="8"/>
  <c r="BT62" i="8"/>
  <c r="BQ62" i="8"/>
  <c r="BM62" i="8"/>
  <c r="BJ62" i="8"/>
  <c r="BF62" i="8"/>
  <c r="BC62" i="8"/>
  <c r="AY62" i="8"/>
  <c r="AU62" i="8"/>
  <c r="AQ62" i="8"/>
  <c r="AM62" i="8"/>
  <c r="AI62" i="8"/>
  <c r="AF62" i="8"/>
  <c r="AB62" i="8"/>
  <c r="Y62" i="8"/>
  <c r="V62" i="8"/>
  <c r="R62" i="8"/>
  <c r="N62" i="8"/>
  <c r="J62" i="8"/>
  <c r="F62" i="8"/>
  <c r="CD61" i="8"/>
  <c r="CA61" i="8"/>
  <c r="BW61" i="8"/>
  <c r="BT61" i="8"/>
  <c r="BQ61" i="8"/>
  <c r="BM61" i="8"/>
  <c r="BJ61" i="8"/>
  <c r="BF61" i="8"/>
  <c r="BC61" i="8"/>
  <c r="AY61" i="8"/>
  <c r="AU61" i="8"/>
  <c r="AQ61" i="8"/>
  <c r="AM61" i="8"/>
  <c r="AI61" i="8"/>
  <c r="AF61" i="8"/>
  <c r="AB61" i="8"/>
  <c r="Y61" i="8"/>
  <c r="V61" i="8"/>
  <c r="R61" i="8"/>
  <c r="N61" i="8"/>
  <c r="J61" i="8"/>
  <c r="F61" i="8"/>
  <c r="CD60" i="8"/>
  <c r="CA60" i="8"/>
  <c r="BW60" i="8"/>
  <c r="BT60" i="8"/>
  <c r="BQ60" i="8"/>
  <c r="BM60" i="8"/>
  <c r="BJ60" i="8"/>
  <c r="BF60" i="8"/>
  <c r="BC60" i="8"/>
  <c r="AY60" i="8"/>
  <c r="AU60" i="8"/>
  <c r="AQ60" i="8"/>
  <c r="AM60" i="8"/>
  <c r="AI60" i="8"/>
  <c r="AF60" i="8"/>
  <c r="AB60" i="8"/>
  <c r="Y60" i="8"/>
  <c r="V60" i="8"/>
  <c r="R60" i="8"/>
  <c r="N60" i="8"/>
  <c r="J60" i="8"/>
  <c r="F60" i="8"/>
  <c r="CD59" i="8"/>
  <c r="CA59" i="8"/>
  <c r="BW59" i="8"/>
  <c r="BT59" i="8"/>
  <c r="BQ59" i="8"/>
  <c r="BM59" i="8"/>
  <c r="BJ59" i="8"/>
  <c r="BF59" i="8"/>
  <c r="BC59" i="8"/>
  <c r="AY59" i="8"/>
  <c r="AU59" i="8"/>
  <c r="AQ59" i="8"/>
  <c r="AM59" i="8"/>
  <c r="AI59" i="8"/>
  <c r="AF59" i="8"/>
  <c r="AB59" i="8"/>
  <c r="Y59" i="8"/>
  <c r="V59" i="8"/>
  <c r="R59" i="8"/>
  <c r="N59" i="8"/>
  <c r="J59" i="8"/>
  <c r="F59" i="8"/>
  <c r="CD58" i="8"/>
  <c r="CA58" i="8"/>
  <c r="BW58" i="8"/>
  <c r="BT58" i="8"/>
  <c r="BQ58" i="8"/>
  <c r="BM58" i="8"/>
  <c r="BJ58" i="8"/>
  <c r="BF58" i="8"/>
  <c r="BC58" i="8"/>
  <c r="AY58" i="8"/>
  <c r="AU58" i="8"/>
  <c r="AQ58" i="8"/>
  <c r="AM58" i="8"/>
  <c r="AI58" i="8"/>
  <c r="AF58" i="8"/>
  <c r="AB58" i="8"/>
  <c r="Y58" i="8"/>
  <c r="V58" i="8"/>
  <c r="R58" i="8"/>
  <c r="N58" i="8"/>
  <c r="J58" i="8"/>
  <c r="F58" i="8"/>
  <c r="CD57" i="8"/>
  <c r="CA57" i="8"/>
  <c r="BW57" i="8"/>
  <c r="BT57" i="8"/>
  <c r="BQ57" i="8"/>
  <c r="BM57" i="8"/>
  <c r="BJ57" i="8"/>
  <c r="BF57" i="8"/>
  <c r="BC57" i="8"/>
  <c r="AY57" i="8"/>
  <c r="AU57" i="8"/>
  <c r="AQ57" i="8"/>
  <c r="AM57" i="8"/>
  <c r="AI57" i="8"/>
  <c r="AF57" i="8"/>
  <c r="AB57" i="8"/>
  <c r="Y57" i="8"/>
  <c r="V57" i="8"/>
  <c r="R57" i="8"/>
  <c r="N57" i="8"/>
  <c r="J57" i="8"/>
  <c r="F57" i="8"/>
  <c r="CD56" i="8"/>
  <c r="CA56" i="8"/>
  <c r="BW56" i="8"/>
  <c r="BT56" i="8"/>
  <c r="BQ56" i="8"/>
  <c r="BM56" i="8"/>
  <c r="BJ56" i="8"/>
  <c r="BF56" i="8"/>
  <c r="BC56" i="8"/>
  <c r="AY56" i="8"/>
  <c r="AU56" i="8"/>
  <c r="AQ56" i="8"/>
  <c r="AM56" i="8"/>
  <c r="AI56" i="8"/>
  <c r="AF56" i="8"/>
  <c r="AB56" i="8"/>
  <c r="Y56" i="8"/>
  <c r="V56" i="8"/>
  <c r="R56" i="8"/>
  <c r="N56" i="8"/>
  <c r="J56" i="8"/>
  <c r="F56" i="8"/>
  <c r="CD55" i="8"/>
  <c r="CA55" i="8"/>
  <c r="BW55" i="8"/>
  <c r="BT55" i="8"/>
  <c r="BQ55" i="8"/>
  <c r="BM55" i="8"/>
  <c r="BJ55" i="8"/>
  <c r="BF55" i="8"/>
  <c r="BC55" i="8"/>
  <c r="AY55" i="8"/>
  <c r="AU55" i="8"/>
  <c r="AQ55" i="8"/>
  <c r="AM55" i="8"/>
  <c r="AI55" i="8"/>
  <c r="AF55" i="8"/>
  <c r="AB55" i="8"/>
  <c r="Y55" i="8"/>
  <c r="V55" i="8"/>
  <c r="R55" i="8"/>
  <c r="N55" i="8"/>
  <c r="J55" i="8"/>
  <c r="F55" i="8"/>
  <c r="CD54" i="8"/>
  <c r="CA54" i="8"/>
  <c r="BW54" i="8"/>
  <c r="BT54" i="8"/>
  <c r="BQ54" i="8"/>
  <c r="BM54" i="8"/>
  <c r="BJ54" i="8"/>
  <c r="BF54" i="8"/>
  <c r="BC54" i="8"/>
  <c r="AY54" i="8"/>
  <c r="AU54" i="8"/>
  <c r="AQ54" i="8"/>
  <c r="AM54" i="8"/>
  <c r="AI54" i="8"/>
  <c r="AF54" i="8"/>
  <c r="AB54" i="8"/>
  <c r="Y54" i="8"/>
  <c r="V54" i="8"/>
  <c r="R54" i="8"/>
  <c r="N54" i="8"/>
  <c r="J54" i="8"/>
  <c r="F54" i="8"/>
  <c r="CD53" i="8"/>
  <c r="CA53" i="8"/>
  <c r="BW53" i="8"/>
  <c r="BT53" i="8"/>
  <c r="BQ53" i="8"/>
  <c r="BM53" i="8"/>
  <c r="BJ53" i="8"/>
  <c r="BF53" i="8"/>
  <c r="BC53" i="8"/>
  <c r="AY53" i="8"/>
  <c r="AU53" i="8"/>
  <c r="AQ53" i="8"/>
  <c r="AM53" i="8"/>
  <c r="AI53" i="8"/>
  <c r="AF53" i="8"/>
  <c r="AB53" i="8"/>
  <c r="Y53" i="8"/>
  <c r="V53" i="8"/>
  <c r="R53" i="8"/>
  <c r="N53" i="8"/>
  <c r="J53" i="8"/>
  <c r="F53" i="8"/>
  <c r="CD52" i="8"/>
  <c r="CA52" i="8"/>
  <c r="BW52" i="8"/>
  <c r="BT52" i="8"/>
  <c r="BQ52" i="8"/>
  <c r="BM52" i="8"/>
  <c r="BJ52" i="8"/>
  <c r="BF52" i="8"/>
  <c r="BC52" i="8"/>
  <c r="AY52" i="8"/>
  <c r="AU52" i="8"/>
  <c r="AQ52" i="8"/>
  <c r="AM52" i="8"/>
  <c r="AI52" i="8"/>
  <c r="AF52" i="8"/>
  <c r="AB52" i="8"/>
  <c r="Y52" i="8"/>
  <c r="V52" i="8"/>
  <c r="R52" i="8"/>
  <c r="N52" i="8"/>
  <c r="J52" i="8"/>
  <c r="F52" i="8"/>
  <c r="CD51" i="8"/>
  <c r="CA51" i="8"/>
  <c r="BW51" i="8"/>
  <c r="BT51" i="8"/>
  <c r="BQ51" i="8"/>
  <c r="BM51" i="8"/>
  <c r="BJ51" i="8"/>
  <c r="BF51" i="8"/>
  <c r="BC51" i="8"/>
  <c r="AY51" i="8"/>
  <c r="AU51" i="8"/>
  <c r="AQ51" i="8"/>
  <c r="AM51" i="8"/>
  <c r="AI51" i="8"/>
  <c r="AF51" i="8"/>
  <c r="AB51" i="8"/>
  <c r="Y51" i="8"/>
  <c r="V51" i="8"/>
  <c r="R51" i="8"/>
  <c r="N51" i="8"/>
  <c r="J51" i="8"/>
  <c r="F51" i="8"/>
  <c r="CD50" i="8"/>
  <c r="CA50" i="8"/>
  <c r="BW50" i="8"/>
  <c r="BT50" i="8"/>
  <c r="BQ50" i="8"/>
  <c r="BM50" i="8"/>
  <c r="BJ50" i="8"/>
  <c r="BF50" i="8"/>
  <c r="BC50" i="8"/>
  <c r="AY50" i="8"/>
  <c r="AU50" i="8"/>
  <c r="AQ50" i="8"/>
  <c r="AM50" i="8"/>
  <c r="AI50" i="8"/>
  <c r="AF50" i="8"/>
  <c r="AB50" i="8"/>
  <c r="Y50" i="8"/>
  <c r="V50" i="8"/>
  <c r="R50" i="8"/>
  <c r="N50" i="8"/>
  <c r="J50" i="8"/>
  <c r="F50" i="8"/>
  <c r="CD49" i="8"/>
  <c r="CA49" i="8"/>
  <c r="BW49" i="8"/>
  <c r="BT49" i="8"/>
  <c r="BQ49" i="8"/>
  <c r="BM49" i="8"/>
  <c r="BJ49" i="8"/>
  <c r="BF49" i="8"/>
  <c r="BC49" i="8"/>
  <c r="AY49" i="8"/>
  <c r="AU49" i="8"/>
  <c r="AQ49" i="8"/>
  <c r="AM49" i="8"/>
  <c r="AI49" i="8"/>
  <c r="AF49" i="8"/>
  <c r="AB49" i="8"/>
  <c r="Y49" i="8"/>
  <c r="V49" i="8"/>
  <c r="R49" i="8"/>
  <c r="N49" i="8"/>
  <c r="J49" i="8"/>
  <c r="F49" i="8"/>
  <c r="CD48" i="8"/>
  <c r="CA48" i="8"/>
  <c r="BW48" i="8"/>
  <c r="BT48" i="8"/>
  <c r="BQ48" i="8"/>
  <c r="BM48" i="8"/>
  <c r="BJ48" i="8"/>
  <c r="BF48" i="8"/>
  <c r="BC48" i="8"/>
  <c r="AY48" i="8"/>
  <c r="AU48" i="8"/>
  <c r="AQ48" i="8"/>
  <c r="AM48" i="8"/>
  <c r="AI48" i="8"/>
  <c r="AF48" i="8"/>
  <c r="AB48" i="8"/>
  <c r="Y48" i="8"/>
  <c r="V48" i="8"/>
  <c r="R48" i="8"/>
  <c r="N48" i="8"/>
  <c r="J48" i="8"/>
  <c r="F48" i="8"/>
  <c r="CD47" i="8"/>
  <c r="CA47" i="8"/>
  <c r="BW47" i="8"/>
  <c r="BT47" i="8"/>
  <c r="BQ47" i="8"/>
  <c r="BM47" i="8"/>
  <c r="BJ47" i="8"/>
  <c r="BF47" i="8"/>
  <c r="BC47" i="8"/>
  <c r="AY47" i="8"/>
  <c r="AU47" i="8"/>
  <c r="AQ47" i="8"/>
  <c r="AM47" i="8"/>
  <c r="AI47" i="8"/>
  <c r="AF47" i="8"/>
  <c r="AB47" i="8"/>
  <c r="Y47" i="8"/>
  <c r="V47" i="8"/>
  <c r="R47" i="8"/>
  <c r="N47" i="8"/>
  <c r="J47" i="8"/>
  <c r="F47" i="8"/>
  <c r="CD46" i="8"/>
  <c r="CA46" i="8"/>
  <c r="BW46" i="8"/>
  <c r="BT46" i="8"/>
  <c r="BQ46" i="8"/>
  <c r="BM46" i="8"/>
  <c r="BJ46" i="8"/>
  <c r="BF46" i="8"/>
  <c r="BC46" i="8"/>
  <c r="AY46" i="8"/>
  <c r="AU46" i="8"/>
  <c r="AQ46" i="8"/>
  <c r="AM46" i="8"/>
  <c r="AI46" i="8"/>
  <c r="AF46" i="8"/>
  <c r="AB46" i="8"/>
  <c r="Y46" i="8"/>
  <c r="V46" i="8"/>
  <c r="R46" i="8"/>
  <c r="N46" i="8"/>
  <c r="J46" i="8"/>
  <c r="F46" i="8"/>
  <c r="CD45" i="8"/>
  <c r="CA45" i="8"/>
  <c r="BW45" i="8"/>
  <c r="BT45" i="8"/>
  <c r="BQ45" i="8"/>
  <c r="BM45" i="8"/>
  <c r="BJ45" i="8"/>
  <c r="BF45" i="8"/>
  <c r="BC45" i="8"/>
  <c r="AY45" i="8"/>
  <c r="AU45" i="8"/>
  <c r="AQ45" i="8"/>
  <c r="AM45" i="8"/>
  <c r="AI45" i="8"/>
  <c r="AF45" i="8"/>
  <c r="AB45" i="8"/>
  <c r="Y45" i="8"/>
  <c r="V45" i="8"/>
  <c r="R45" i="8"/>
  <c r="N45" i="8"/>
  <c r="J45" i="8"/>
  <c r="F45" i="8"/>
  <c r="CD44" i="8"/>
  <c r="CA44" i="8"/>
  <c r="BW44" i="8"/>
  <c r="BT44" i="8"/>
  <c r="BQ44" i="8"/>
  <c r="BM44" i="8"/>
  <c r="BJ44" i="8"/>
  <c r="BF44" i="8"/>
  <c r="BC44" i="8"/>
  <c r="AY44" i="8"/>
  <c r="AU44" i="8"/>
  <c r="AQ44" i="8"/>
  <c r="AM44" i="8"/>
  <c r="AI44" i="8"/>
  <c r="AF44" i="8"/>
  <c r="AB44" i="8"/>
  <c r="Y44" i="8"/>
  <c r="V44" i="8"/>
  <c r="R44" i="8"/>
  <c r="N44" i="8"/>
  <c r="J44" i="8"/>
  <c r="F44" i="8"/>
  <c r="CD43" i="8"/>
  <c r="CA43" i="8"/>
  <c r="BW43" i="8"/>
  <c r="BT43" i="8"/>
  <c r="BQ43" i="8"/>
  <c r="BM43" i="8"/>
  <c r="BJ43" i="8"/>
  <c r="BF43" i="8"/>
  <c r="BC43" i="8"/>
  <c r="AY43" i="8"/>
  <c r="AU43" i="8"/>
  <c r="AQ43" i="8"/>
  <c r="AM43" i="8"/>
  <c r="AI43" i="8"/>
  <c r="AF43" i="8"/>
  <c r="AB43" i="8"/>
  <c r="Y43" i="8"/>
  <c r="V43" i="8"/>
  <c r="R43" i="8"/>
  <c r="N43" i="8"/>
  <c r="J43" i="8"/>
  <c r="F43" i="8"/>
  <c r="CD42" i="8"/>
  <c r="CA42" i="8"/>
  <c r="BW42" i="8"/>
  <c r="BT42" i="8"/>
  <c r="BQ42" i="8"/>
  <c r="BM42" i="8"/>
  <c r="BJ42" i="8"/>
  <c r="BF42" i="8"/>
  <c r="BC42" i="8"/>
  <c r="AY42" i="8"/>
  <c r="AU42" i="8"/>
  <c r="AQ42" i="8"/>
  <c r="AM42" i="8"/>
  <c r="AI42" i="8"/>
  <c r="AF42" i="8"/>
  <c r="AB42" i="8"/>
  <c r="Y42" i="8"/>
  <c r="V42" i="8"/>
  <c r="R42" i="8"/>
  <c r="N42" i="8"/>
  <c r="J42" i="8"/>
  <c r="F42" i="8"/>
  <c r="CD41" i="8"/>
  <c r="CA41" i="8"/>
  <c r="BW41" i="8"/>
  <c r="BT41" i="8"/>
  <c r="BQ41" i="8"/>
  <c r="BM41" i="8"/>
  <c r="BJ41" i="8"/>
  <c r="BF41" i="8"/>
  <c r="BC41" i="8"/>
  <c r="AY41" i="8"/>
  <c r="AU41" i="8"/>
  <c r="AQ41" i="8"/>
  <c r="AM41" i="8"/>
  <c r="AI41" i="8"/>
  <c r="AF41" i="8"/>
  <c r="AB41" i="8"/>
  <c r="Y41" i="8"/>
  <c r="V41" i="8"/>
  <c r="R41" i="8"/>
  <c r="N41" i="8"/>
  <c r="J41" i="8"/>
  <c r="F41" i="8"/>
  <c r="CD40" i="8"/>
  <c r="CA40" i="8"/>
  <c r="BW40" i="8"/>
  <c r="BT40" i="8"/>
  <c r="BQ40" i="8"/>
  <c r="BM40" i="8"/>
  <c r="BJ40" i="8"/>
  <c r="BF40" i="8"/>
  <c r="BC40" i="8"/>
  <c r="AY40" i="8"/>
  <c r="AU40" i="8"/>
  <c r="AQ40" i="8"/>
  <c r="AM40" i="8"/>
  <c r="AI40" i="8"/>
  <c r="AF40" i="8"/>
  <c r="AB40" i="8"/>
  <c r="Y40" i="8"/>
  <c r="V40" i="8"/>
  <c r="R40" i="8"/>
  <c r="N40" i="8"/>
  <c r="J40" i="8"/>
  <c r="F40" i="8"/>
  <c r="CD39" i="8"/>
  <c r="CA39" i="8"/>
  <c r="BW39" i="8"/>
  <c r="BT39" i="8"/>
  <c r="BQ39" i="8"/>
  <c r="BM39" i="8"/>
  <c r="BJ39" i="8"/>
  <c r="BF39" i="8"/>
  <c r="BC39" i="8"/>
  <c r="AY39" i="8"/>
  <c r="AU39" i="8"/>
  <c r="AQ39" i="8"/>
  <c r="AM39" i="8"/>
  <c r="AI39" i="8"/>
  <c r="AF39" i="8"/>
  <c r="AB39" i="8"/>
  <c r="Y39" i="8"/>
  <c r="V39" i="8"/>
  <c r="R39" i="8"/>
  <c r="N39" i="8"/>
  <c r="J39" i="8"/>
  <c r="F39" i="8"/>
  <c r="CD38" i="8"/>
  <c r="CA38" i="8"/>
  <c r="BW38" i="8"/>
  <c r="BT38" i="8"/>
  <c r="BQ38" i="8"/>
  <c r="BM38" i="8"/>
  <c r="BJ38" i="8"/>
  <c r="BF38" i="8"/>
  <c r="BC38" i="8"/>
  <c r="AY38" i="8"/>
  <c r="AU38" i="8"/>
  <c r="AQ38" i="8"/>
  <c r="AM38" i="8"/>
  <c r="AI38" i="8"/>
  <c r="AF38" i="8"/>
  <c r="AB38" i="8"/>
  <c r="Y38" i="8"/>
  <c r="V38" i="8"/>
  <c r="R38" i="8"/>
  <c r="N38" i="8"/>
  <c r="J38" i="8"/>
  <c r="F38" i="8"/>
  <c r="CD37" i="8"/>
  <c r="CA37" i="8"/>
  <c r="BW37" i="8"/>
  <c r="BT37" i="8"/>
  <c r="BQ37" i="8"/>
  <c r="BM37" i="8"/>
  <c r="BJ37" i="8"/>
  <c r="BF37" i="8"/>
  <c r="BC37" i="8"/>
  <c r="AY37" i="8"/>
  <c r="AU37" i="8"/>
  <c r="AQ37" i="8"/>
  <c r="AM37" i="8"/>
  <c r="AI37" i="8"/>
  <c r="AF37" i="8"/>
  <c r="AB37" i="8"/>
  <c r="Y37" i="8"/>
  <c r="V37" i="8"/>
  <c r="R37" i="8"/>
  <c r="N37" i="8"/>
  <c r="J37" i="8"/>
  <c r="F37" i="8"/>
  <c r="CD36" i="8"/>
  <c r="CA36" i="8"/>
  <c r="BW36" i="8"/>
  <c r="BT36" i="8"/>
  <c r="BQ36" i="8"/>
  <c r="BM36" i="8"/>
  <c r="BJ36" i="8"/>
  <c r="BF36" i="8"/>
  <c r="BC36" i="8"/>
  <c r="AY36" i="8"/>
  <c r="AU36" i="8"/>
  <c r="AQ36" i="8"/>
  <c r="AM36" i="8"/>
  <c r="AI36" i="8"/>
  <c r="AF36" i="8"/>
  <c r="AB36" i="8"/>
  <c r="Y36" i="8"/>
  <c r="V36" i="8"/>
  <c r="R36" i="8"/>
  <c r="N36" i="8"/>
  <c r="J36" i="8"/>
  <c r="F36" i="8"/>
  <c r="CD35" i="8"/>
  <c r="CA35" i="8"/>
  <c r="BW35" i="8"/>
  <c r="BT35" i="8"/>
  <c r="BQ35" i="8"/>
  <c r="BM35" i="8"/>
  <c r="BJ35" i="8"/>
  <c r="BF35" i="8"/>
  <c r="BC35" i="8"/>
  <c r="AY35" i="8"/>
  <c r="AU35" i="8"/>
  <c r="AQ35" i="8"/>
  <c r="AM35" i="8"/>
  <c r="AI35" i="8"/>
  <c r="AF35" i="8"/>
  <c r="AB35" i="8"/>
  <c r="Y35" i="8"/>
  <c r="V35" i="8"/>
  <c r="R35" i="8"/>
  <c r="N35" i="8"/>
  <c r="J35" i="8"/>
  <c r="F35" i="8"/>
  <c r="CD34" i="8"/>
  <c r="CA34" i="8"/>
  <c r="BW34" i="8"/>
  <c r="BT34" i="8"/>
  <c r="BQ34" i="8"/>
  <c r="BM34" i="8"/>
  <c r="BJ34" i="8"/>
  <c r="BF34" i="8"/>
  <c r="BC34" i="8"/>
  <c r="AY34" i="8"/>
  <c r="AU34" i="8"/>
  <c r="AQ34" i="8"/>
  <c r="AM34" i="8"/>
  <c r="AI34" i="8"/>
  <c r="AF34" i="8"/>
  <c r="AB34" i="8"/>
  <c r="Y34" i="8"/>
  <c r="V34" i="8"/>
  <c r="R34" i="8"/>
  <c r="N34" i="8"/>
  <c r="J34" i="8"/>
  <c r="F34" i="8"/>
  <c r="CD33" i="8"/>
  <c r="CA33" i="8"/>
  <c r="BW33" i="8"/>
  <c r="BT33" i="8"/>
  <c r="BQ33" i="8"/>
  <c r="BM33" i="8"/>
  <c r="BJ33" i="8"/>
  <c r="BF33" i="8"/>
  <c r="BC33" i="8"/>
  <c r="AY33" i="8"/>
  <c r="AU33" i="8"/>
  <c r="AQ33" i="8"/>
  <c r="AM33" i="8"/>
  <c r="AI33" i="8"/>
  <c r="AF33" i="8"/>
  <c r="AB33" i="8"/>
  <c r="Y33" i="8"/>
  <c r="V33" i="8"/>
  <c r="R33" i="8"/>
  <c r="N33" i="8"/>
  <c r="J33" i="8"/>
  <c r="F33" i="8"/>
  <c r="CD32" i="8"/>
  <c r="CA32" i="8"/>
  <c r="BW32" i="8"/>
  <c r="BT32" i="8"/>
  <c r="BQ32" i="8"/>
  <c r="BM32" i="8"/>
  <c r="BJ32" i="8"/>
  <c r="BF32" i="8"/>
  <c r="BC32" i="8"/>
  <c r="AY32" i="8"/>
  <c r="AU32" i="8"/>
  <c r="AQ32" i="8"/>
  <c r="AM32" i="8"/>
  <c r="AI32" i="8"/>
  <c r="AF32" i="8"/>
  <c r="AB32" i="8"/>
  <c r="Y32" i="8"/>
  <c r="V32" i="8"/>
  <c r="R32" i="8"/>
  <c r="N32" i="8"/>
  <c r="J32" i="8"/>
  <c r="F32" i="8"/>
  <c r="CD31" i="8"/>
  <c r="CA31" i="8"/>
  <c r="BW31" i="8"/>
  <c r="BT31" i="8"/>
  <c r="BQ31" i="8"/>
  <c r="BM31" i="8"/>
  <c r="BJ31" i="8"/>
  <c r="BF31" i="8"/>
  <c r="BC31" i="8"/>
  <c r="AY31" i="8"/>
  <c r="AU31" i="8"/>
  <c r="AQ31" i="8"/>
  <c r="AM31" i="8"/>
  <c r="AI31" i="8"/>
  <c r="AF31" i="8"/>
  <c r="AB31" i="8"/>
  <c r="Y31" i="8"/>
  <c r="V31" i="8"/>
  <c r="R31" i="8"/>
  <c r="N31" i="8"/>
  <c r="J31" i="8"/>
  <c r="F31" i="8"/>
  <c r="CD30" i="8"/>
  <c r="CA30" i="8"/>
  <c r="BW30" i="8"/>
  <c r="BT30" i="8"/>
  <c r="BQ30" i="8"/>
  <c r="BM30" i="8"/>
  <c r="BJ30" i="8"/>
  <c r="BF30" i="8"/>
  <c r="BC30" i="8"/>
  <c r="AY30" i="8"/>
  <c r="AU30" i="8"/>
  <c r="AQ30" i="8"/>
  <c r="AM30" i="8"/>
  <c r="AI30" i="8"/>
  <c r="AF30" i="8"/>
  <c r="AB30" i="8"/>
  <c r="Y30" i="8"/>
  <c r="V30" i="8"/>
  <c r="R30" i="8"/>
  <c r="N30" i="8"/>
  <c r="J30" i="8"/>
  <c r="F30" i="8"/>
  <c r="CD29" i="8"/>
  <c r="CA29" i="8"/>
  <c r="BW29" i="8"/>
  <c r="BT29" i="8"/>
  <c r="BQ29" i="8"/>
  <c r="BM29" i="8"/>
  <c r="BJ29" i="8"/>
  <c r="BF29" i="8"/>
  <c r="BC29" i="8"/>
  <c r="AY29" i="8"/>
  <c r="AU29" i="8"/>
  <c r="AQ29" i="8"/>
  <c r="AM29" i="8"/>
  <c r="AI29" i="8"/>
  <c r="AF29" i="8"/>
  <c r="AB29" i="8"/>
  <c r="Y29" i="8"/>
  <c r="V29" i="8"/>
  <c r="R29" i="8"/>
  <c r="N29" i="8"/>
  <c r="J29" i="8"/>
  <c r="F29" i="8"/>
  <c r="CD28" i="8"/>
  <c r="CA28" i="8"/>
  <c r="BW28" i="8"/>
  <c r="BT28" i="8"/>
  <c r="BQ28" i="8"/>
  <c r="BM28" i="8"/>
  <c r="BJ28" i="8"/>
  <c r="BF28" i="8"/>
  <c r="BC28" i="8"/>
  <c r="AY28" i="8"/>
  <c r="AU28" i="8"/>
  <c r="AQ28" i="8"/>
  <c r="AM28" i="8"/>
  <c r="AI28" i="8"/>
  <c r="AF28" i="8"/>
  <c r="AB28" i="8"/>
  <c r="Y28" i="8"/>
  <c r="V28" i="8"/>
  <c r="R28" i="8"/>
  <c r="N28" i="8"/>
  <c r="J28" i="8"/>
  <c r="F28" i="8"/>
  <c r="CD27" i="8"/>
  <c r="CA27" i="8"/>
  <c r="BW27" i="8"/>
  <c r="BT27" i="8"/>
  <c r="BQ27" i="8"/>
  <c r="BM27" i="8"/>
  <c r="BJ27" i="8"/>
  <c r="BF27" i="8"/>
  <c r="BC27" i="8"/>
  <c r="AY27" i="8"/>
  <c r="AU27" i="8"/>
  <c r="AQ27" i="8"/>
  <c r="AM27" i="8"/>
  <c r="AI27" i="8"/>
  <c r="AF27" i="8"/>
  <c r="AB27" i="8"/>
  <c r="Y27" i="8"/>
  <c r="V27" i="8"/>
  <c r="R27" i="8"/>
  <c r="N27" i="8"/>
  <c r="J27" i="8"/>
  <c r="F27" i="8"/>
  <c r="CD26" i="8"/>
  <c r="CA26" i="8"/>
  <c r="BW26" i="8"/>
  <c r="BT26" i="8"/>
  <c r="BQ26" i="8"/>
  <c r="BM26" i="8"/>
  <c r="BJ26" i="8"/>
  <c r="BF26" i="8"/>
  <c r="BC26" i="8"/>
  <c r="AY26" i="8"/>
  <c r="AU26" i="8"/>
  <c r="AQ26" i="8"/>
  <c r="AM26" i="8"/>
  <c r="AI26" i="8"/>
  <c r="AF26" i="8"/>
  <c r="AB26" i="8"/>
  <c r="Y26" i="8"/>
  <c r="V26" i="8"/>
  <c r="R26" i="8"/>
  <c r="N26" i="8"/>
  <c r="J26" i="8"/>
  <c r="F26" i="8"/>
  <c r="CD25" i="8"/>
  <c r="CA25" i="8"/>
  <c r="BW25" i="8"/>
  <c r="BT25" i="8"/>
  <c r="BQ25" i="8"/>
  <c r="BM25" i="8"/>
  <c r="BJ25" i="8"/>
  <c r="BF25" i="8"/>
  <c r="BC25" i="8"/>
  <c r="AY25" i="8"/>
  <c r="AU25" i="8"/>
  <c r="AQ25" i="8"/>
  <c r="AM25" i="8"/>
  <c r="AI25" i="8"/>
  <c r="AF25" i="8"/>
  <c r="AB25" i="8"/>
  <c r="Y25" i="8"/>
  <c r="V25" i="8"/>
  <c r="R25" i="8"/>
  <c r="N25" i="8"/>
  <c r="J25" i="8"/>
  <c r="F25" i="8"/>
  <c r="CD24" i="8"/>
  <c r="CA24" i="8"/>
  <c r="BW24" i="8"/>
  <c r="BT24" i="8"/>
  <c r="BQ24" i="8"/>
  <c r="BM24" i="8"/>
  <c r="BJ24" i="8"/>
  <c r="BF24" i="8"/>
  <c r="BC24" i="8"/>
  <c r="AY24" i="8"/>
  <c r="AU24" i="8"/>
  <c r="AQ24" i="8"/>
  <c r="AM24" i="8"/>
  <c r="AI24" i="8"/>
  <c r="AF24" i="8"/>
  <c r="AB24" i="8"/>
  <c r="Y24" i="8"/>
  <c r="V24" i="8"/>
  <c r="R24" i="8"/>
  <c r="N24" i="8"/>
  <c r="J24" i="8"/>
  <c r="F24" i="8"/>
  <c r="CD23" i="8"/>
  <c r="CA23" i="8"/>
  <c r="BW23" i="8"/>
  <c r="BT23" i="8"/>
  <c r="BQ23" i="8"/>
  <c r="BM23" i="8"/>
  <c r="BJ23" i="8"/>
  <c r="BF23" i="8"/>
  <c r="BC23" i="8"/>
  <c r="AY23" i="8"/>
  <c r="AU23" i="8"/>
  <c r="AQ23" i="8"/>
  <c r="AM23" i="8"/>
  <c r="AI23" i="8"/>
  <c r="AF23" i="8"/>
  <c r="AB23" i="8"/>
  <c r="Y23" i="8"/>
  <c r="V23" i="8"/>
  <c r="R23" i="8"/>
  <c r="N23" i="8"/>
  <c r="J23" i="8"/>
  <c r="F23" i="8"/>
  <c r="CD22" i="8"/>
  <c r="CA22" i="8"/>
  <c r="BW22" i="8"/>
  <c r="BT22" i="8"/>
  <c r="BQ22" i="8"/>
  <c r="BM22" i="8"/>
  <c r="BJ22" i="8"/>
  <c r="BF22" i="8"/>
  <c r="BC22" i="8"/>
  <c r="AY22" i="8"/>
  <c r="AU22" i="8"/>
  <c r="AQ22" i="8"/>
  <c r="AM22" i="8"/>
  <c r="AI22" i="8"/>
  <c r="AF22" i="8"/>
  <c r="AB22" i="8"/>
  <c r="Y22" i="8"/>
  <c r="V22" i="8"/>
  <c r="R22" i="8"/>
  <c r="N22" i="8"/>
  <c r="J22" i="8"/>
  <c r="F22" i="8"/>
  <c r="CD21" i="8"/>
  <c r="CA21" i="8"/>
  <c r="BW21" i="8"/>
  <c r="BT21" i="8"/>
  <c r="BQ21" i="8"/>
  <c r="BM21" i="8"/>
  <c r="BJ21" i="8"/>
  <c r="BF21" i="8"/>
  <c r="BC21" i="8"/>
  <c r="AY21" i="8"/>
  <c r="AU21" i="8"/>
  <c r="AQ21" i="8"/>
  <c r="AM21" i="8"/>
  <c r="AI21" i="8"/>
  <c r="AF21" i="8"/>
  <c r="AB21" i="8"/>
  <c r="Y21" i="8"/>
  <c r="V21" i="8"/>
  <c r="R21" i="8"/>
  <c r="N21" i="8"/>
  <c r="J21" i="8"/>
  <c r="F21" i="8"/>
  <c r="CD20" i="8"/>
  <c r="CA20" i="8"/>
  <c r="BW20" i="8"/>
  <c r="BT20" i="8"/>
  <c r="BQ20" i="8"/>
  <c r="BM20" i="8"/>
  <c r="BJ20" i="8"/>
  <c r="BF20" i="8"/>
  <c r="BC20" i="8"/>
  <c r="AY20" i="8"/>
  <c r="AU20" i="8"/>
  <c r="AQ20" i="8"/>
  <c r="AM20" i="8"/>
  <c r="AI20" i="8"/>
  <c r="AF20" i="8"/>
  <c r="AB20" i="8"/>
  <c r="Y20" i="8"/>
  <c r="V20" i="8"/>
  <c r="R20" i="8"/>
  <c r="N20" i="8"/>
  <c r="J20" i="8"/>
  <c r="F20" i="8"/>
  <c r="CD19" i="8"/>
  <c r="CA19" i="8"/>
  <c r="BW19" i="8"/>
  <c r="BT19" i="8"/>
  <c r="BQ19" i="8"/>
  <c r="BM19" i="8"/>
  <c r="BJ19" i="8"/>
  <c r="BF19" i="8"/>
  <c r="BC19" i="8"/>
  <c r="AY19" i="8"/>
  <c r="AU19" i="8"/>
  <c r="AQ19" i="8"/>
  <c r="AM19" i="8"/>
  <c r="AI19" i="8"/>
  <c r="AF19" i="8"/>
  <c r="AB19" i="8"/>
  <c r="Y19" i="8"/>
  <c r="V19" i="8"/>
  <c r="R19" i="8"/>
  <c r="N19" i="8"/>
  <c r="J19" i="8"/>
  <c r="F19" i="8"/>
  <c r="CD18" i="8"/>
  <c r="CA18" i="8"/>
  <c r="BW18" i="8"/>
  <c r="BT18" i="8"/>
  <c r="BQ18" i="8"/>
  <c r="BM18" i="8"/>
  <c r="BJ18" i="8"/>
  <c r="BF18" i="8"/>
  <c r="BC18" i="8"/>
  <c r="AY18" i="8"/>
  <c r="AU18" i="8"/>
  <c r="AQ18" i="8"/>
  <c r="AM18" i="8"/>
  <c r="AI18" i="8"/>
  <c r="AF18" i="8"/>
  <c r="AB18" i="8"/>
  <c r="Y18" i="8"/>
  <c r="V18" i="8"/>
  <c r="R18" i="8"/>
  <c r="N18" i="8"/>
  <c r="J18" i="8"/>
  <c r="F18" i="8"/>
  <c r="CD17" i="8"/>
  <c r="CA17" i="8"/>
  <c r="BW17" i="8"/>
  <c r="BT17" i="8"/>
  <c r="BQ17" i="8"/>
  <c r="BM17" i="8"/>
  <c r="BJ17" i="8"/>
  <c r="BF17" i="8"/>
  <c r="BC17" i="8"/>
  <c r="AY17" i="8"/>
  <c r="AU17" i="8"/>
  <c r="AQ17" i="8"/>
  <c r="AM17" i="8"/>
  <c r="AI17" i="8"/>
  <c r="AF17" i="8"/>
  <c r="AB17" i="8"/>
  <c r="Y17" i="8"/>
  <c r="V17" i="8"/>
  <c r="R17" i="8"/>
  <c r="N17" i="8"/>
  <c r="J17" i="8"/>
  <c r="F17" i="8"/>
  <c r="CD16" i="8"/>
  <c r="CA16" i="8"/>
  <c r="BW16" i="8"/>
  <c r="BT16" i="8"/>
  <c r="BQ16" i="8"/>
  <c r="BM16" i="8"/>
  <c r="BJ16" i="8"/>
  <c r="BF16" i="8"/>
  <c r="BC16" i="8"/>
  <c r="AY16" i="8"/>
  <c r="AU16" i="8"/>
  <c r="AQ16" i="8"/>
  <c r="AM16" i="8"/>
  <c r="AI16" i="8"/>
  <c r="AF16" i="8"/>
  <c r="AB16" i="8"/>
  <c r="Y16" i="8"/>
  <c r="V16" i="8"/>
  <c r="R16" i="8"/>
  <c r="N16" i="8"/>
  <c r="J16" i="8"/>
  <c r="F16" i="8"/>
  <c r="CD15" i="8"/>
  <c r="CA15" i="8"/>
  <c r="BW15" i="8"/>
  <c r="BT15" i="8"/>
  <c r="BQ15" i="8"/>
  <c r="BM15" i="8"/>
  <c r="BJ15" i="8"/>
  <c r="BF15" i="8"/>
  <c r="BC15" i="8"/>
  <c r="AY15" i="8"/>
  <c r="AU15" i="8"/>
  <c r="AQ15" i="8"/>
  <c r="AM15" i="8"/>
  <c r="AI15" i="8"/>
  <c r="AF15" i="8"/>
  <c r="AB15" i="8"/>
  <c r="Y15" i="8"/>
  <c r="V15" i="8"/>
  <c r="R15" i="8"/>
  <c r="N15" i="8"/>
  <c r="J15" i="8"/>
  <c r="F15" i="8"/>
  <c r="CD14" i="8"/>
  <c r="CA14" i="8"/>
  <c r="BW14" i="8"/>
  <c r="BT14" i="8"/>
  <c r="BQ14" i="8"/>
  <c r="BM14" i="8"/>
  <c r="BJ14" i="8"/>
  <c r="BF14" i="8"/>
  <c r="BC14" i="8"/>
  <c r="AY14" i="8"/>
  <c r="AU14" i="8"/>
  <c r="AQ14" i="8"/>
  <c r="AM14" i="8"/>
  <c r="AI14" i="8"/>
  <c r="AF14" i="8"/>
  <c r="AB14" i="8"/>
  <c r="Y14" i="8"/>
  <c r="V14" i="8"/>
  <c r="R14" i="8"/>
  <c r="N14" i="8"/>
  <c r="J14" i="8"/>
  <c r="F14" i="8"/>
  <c r="CD13" i="8"/>
  <c r="CA13" i="8"/>
  <c r="BW13" i="8"/>
  <c r="BT13" i="8"/>
  <c r="BQ13" i="8"/>
  <c r="BM13" i="8"/>
  <c r="BJ13" i="8"/>
  <c r="BF13" i="8"/>
  <c r="BC13" i="8"/>
  <c r="AY13" i="8"/>
  <c r="AU13" i="8"/>
  <c r="AQ13" i="8"/>
  <c r="AM13" i="8"/>
  <c r="AI13" i="8"/>
  <c r="AF13" i="8"/>
  <c r="AB13" i="8"/>
  <c r="Y13" i="8"/>
  <c r="V13" i="8"/>
  <c r="R13" i="8"/>
  <c r="N13" i="8"/>
  <c r="J13" i="8"/>
  <c r="F13" i="8"/>
  <c r="CD12" i="8"/>
  <c r="CA12" i="8"/>
  <c r="BW12" i="8"/>
  <c r="BT12" i="8"/>
  <c r="BQ12" i="8"/>
  <c r="BM12" i="8"/>
  <c r="BJ12" i="8"/>
  <c r="BF12" i="8"/>
  <c r="BC12" i="8"/>
  <c r="AY12" i="8"/>
  <c r="AU12" i="8"/>
  <c r="AQ12" i="8"/>
  <c r="AM12" i="8"/>
  <c r="AI12" i="8"/>
  <c r="AF12" i="8"/>
  <c r="AB12" i="8"/>
  <c r="Y12" i="8"/>
  <c r="V12" i="8"/>
  <c r="R12" i="8"/>
  <c r="N12" i="8"/>
  <c r="J12" i="8"/>
  <c r="F12" i="8"/>
  <c r="CD11" i="8"/>
  <c r="CA11" i="8"/>
  <c r="BW11" i="8"/>
  <c r="BT11" i="8"/>
  <c r="BQ11" i="8"/>
  <c r="BM11" i="8"/>
  <c r="BJ11" i="8"/>
  <c r="BF11" i="8"/>
  <c r="BC11" i="8"/>
  <c r="AY11" i="8"/>
  <c r="AU11" i="8"/>
  <c r="AQ11" i="8"/>
  <c r="AM11" i="8"/>
  <c r="AI11" i="8"/>
  <c r="AF11" i="8"/>
  <c r="AB11" i="8"/>
  <c r="Y11" i="8"/>
  <c r="V11" i="8"/>
  <c r="R11" i="8"/>
  <c r="N11" i="8"/>
  <c r="J11" i="8"/>
  <c r="F11" i="8"/>
  <c r="CD10" i="8"/>
  <c r="CA10" i="8"/>
  <c r="BW10" i="8"/>
  <c r="BT10" i="8"/>
  <c r="BQ10" i="8"/>
  <c r="BM10" i="8"/>
  <c r="BJ10" i="8"/>
  <c r="BF10" i="8"/>
  <c r="BC10" i="8"/>
  <c r="AY10" i="8"/>
  <c r="AU10" i="8"/>
  <c r="AQ10" i="8"/>
  <c r="AM10" i="8"/>
  <c r="AI10" i="8"/>
  <c r="AF10" i="8"/>
  <c r="AB10" i="8"/>
  <c r="Y10" i="8"/>
  <c r="V10" i="8"/>
  <c r="R10" i="8"/>
  <c r="N10" i="8"/>
  <c r="J10" i="8"/>
  <c r="F10" i="8"/>
  <c r="CD9" i="8"/>
  <c r="CA9" i="8"/>
  <c r="BW9" i="8"/>
  <c r="BT9" i="8"/>
  <c r="BQ9" i="8"/>
  <c r="BM9" i="8"/>
  <c r="BJ9" i="8"/>
  <c r="BF9" i="8"/>
  <c r="BC9" i="8"/>
  <c r="AY9" i="8"/>
  <c r="AU9" i="8"/>
  <c r="AQ9" i="8"/>
  <c r="AM9" i="8"/>
  <c r="AI9" i="8"/>
  <c r="AF9" i="8"/>
  <c r="AB9" i="8"/>
  <c r="Y9" i="8"/>
  <c r="V9" i="8"/>
  <c r="R9" i="8"/>
  <c r="N9" i="8"/>
  <c r="J9" i="8"/>
  <c r="F9" i="8"/>
  <c r="CD8" i="8"/>
  <c r="CA8" i="8"/>
  <c r="BW8" i="8"/>
  <c r="BT8" i="8"/>
  <c r="BQ8" i="8"/>
  <c r="BM8" i="8"/>
  <c r="BJ8" i="8"/>
  <c r="BF8" i="8"/>
  <c r="BC8" i="8"/>
  <c r="AY8" i="8"/>
  <c r="AU8" i="8"/>
  <c r="AQ8" i="8"/>
  <c r="AM8" i="8"/>
  <c r="AI8" i="8"/>
  <c r="AF8" i="8"/>
  <c r="AB8" i="8"/>
  <c r="Y8" i="8"/>
  <c r="V8" i="8"/>
  <c r="R8" i="8"/>
  <c r="N8" i="8"/>
  <c r="J8" i="8"/>
  <c r="F8" i="8"/>
  <c r="CD7" i="8"/>
  <c r="CA7" i="8"/>
  <c r="BW7" i="8"/>
  <c r="BT7" i="8"/>
  <c r="BQ7" i="8"/>
  <c r="BM7" i="8"/>
  <c r="BJ7" i="8"/>
  <c r="BF7" i="8"/>
  <c r="BC7" i="8"/>
  <c r="AY7" i="8"/>
  <c r="AU7" i="8"/>
  <c r="AQ7" i="8"/>
  <c r="AM7" i="8"/>
  <c r="AI7" i="8"/>
  <c r="AF7" i="8"/>
  <c r="AB7" i="8"/>
  <c r="Y7" i="8"/>
  <c r="V7" i="8"/>
  <c r="R7" i="8"/>
  <c r="N7" i="8"/>
  <c r="J7" i="8"/>
  <c r="F7" i="8"/>
  <c r="CD6" i="8"/>
  <c r="CA6" i="8"/>
  <c r="BW6" i="8"/>
  <c r="BT6" i="8"/>
  <c r="BQ6" i="8"/>
  <c r="BM6" i="8"/>
  <c r="BJ6" i="8"/>
  <c r="BF6" i="8"/>
  <c r="BC6" i="8"/>
  <c r="AY6" i="8"/>
  <c r="AU6" i="8"/>
  <c r="AQ6" i="8"/>
  <c r="AM6" i="8"/>
  <c r="AI6" i="8"/>
  <c r="AF6" i="8"/>
  <c r="AB6" i="8"/>
  <c r="Y6" i="8"/>
  <c r="V6" i="8"/>
  <c r="R6" i="8"/>
  <c r="N6" i="8"/>
  <c r="J6" i="8"/>
  <c r="F6" i="8"/>
  <c r="CD5" i="8"/>
  <c r="CA5" i="8"/>
  <c r="BW5" i="8"/>
  <c r="BT5" i="8"/>
  <c r="BQ5" i="8"/>
  <c r="BM5" i="8"/>
  <c r="BJ5" i="8"/>
  <c r="BF5" i="8"/>
  <c r="BC5" i="8"/>
  <c r="AY5" i="8"/>
  <c r="AU5" i="8"/>
  <c r="AQ5" i="8"/>
  <c r="AM5" i="8"/>
  <c r="AI5" i="8"/>
  <c r="AF5" i="8"/>
  <c r="AB5" i="8"/>
  <c r="Y5" i="8"/>
  <c r="V5" i="8"/>
  <c r="R5" i="8"/>
  <c r="N5" i="8"/>
  <c r="J5" i="8"/>
  <c r="F5" i="8"/>
  <c r="CD4" i="8"/>
  <c r="CA4" i="8"/>
  <c r="BW4" i="8"/>
  <c r="BT4" i="8"/>
  <c r="BQ4" i="8"/>
  <c r="BM4" i="8"/>
  <c r="BJ4" i="8"/>
  <c r="BF4" i="8"/>
  <c r="BC4" i="8"/>
  <c r="AY4" i="8"/>
  <c r="AU4" i="8"/>
  <c r="AQ4" i="8"/>
  <c r="AM4" i="8"/>
  <c r="AI4" i="8"/>
  <c r="AF4" i="8"/>
  <c r="AB4" i="8"/>
  <c r="Y4" i="8"/>
  <c r="V4" i="8"/>
  <c r="R4" i="8"/>
  <c r="N4" i="8"/>
  <c r="J4" i="8"/>
  <c r="F4" i="8"/>
  <c r="F211" i="7"/>
  <c r="F210" i="7"/>
  <c r="F209" i="7"/>
  <c r="F208" i="7"/>
  <c r="D207" i="7"/>
  <c r="F207" i="7" s="1"/>
  <c r="D206" i="7"/>
  <c r="F206" i="7" s="1"/>
  <c r="F205" i="7" s="1"/>
  <c r="F204" i="7"/>
  <c r="D203" i="7"/>
  <c r="D202" i="7"/>
  <c r="D201" i="7"/>
  <c r="D200" i="7"/>
  <c r="F198" i="7"/>
  <c r="F196" i="7"/>
  <c r="F195" i="7"/>
  <c r="F193" i="7"/>
  <c r="F192" i="7"/>
  <c r="F191" i="7"/>
  <c r="F190" i="7"/>
  <c r="F189" i="7"/>
  <c r="F188" i="7"/>
  <c r="H114" i="7" s="1"/>
  <c r="F186" i="7"/>
  <c r="F185" i="7"/>
  <c r="F183" i="7"/>
  <c r="F181" i="7"/>
  <c r="F182" i="7" s="1"/>
  <c r="D180" i="7"/>
  <c r="F180" i="7" s="1"/>
  <c r="F179" i="7" s="1"/>
  <c r="F177" i="7"/>
  <c r="F176" i="7"/>
  <c r="F174" i="7"/>
  <c r="F167" i="7"/>
  <c r="F166" i="7"/>
  <c r="D161" i="7"/>
  <c r="F154" i="7"/>
  <c r="D152" i="7"/>
  <c r="D151" i="7"/>
  <c r="D141" i="7"/>
  <c r="F141" i="7" s="1"/>
  <c r="F142" i="7" s="1"/>
  <c r="H142" i="7" s="1"/>
  <c r="F140" i="7"/>
  <c r="F139" i="7"/>
  <c r="J139" i="7" s="1"/>
  <c r="D138" i="7"/>
  <c r="D137" i="7"/>
  <c r="D133" i="7"/>
  <c r="CD125" i="7"/>
  <c r="CA125" i="7"/>
  <c r="BW125" i="7"/>
  <c r="BT125" i="7"/>
  <c r="BQ125" i="7"/>
  <c r="BM125" i="7"/>
  <c r="BJ125" i="7"/>
  <c r="BF125" i="7"/>
  <c r="BC125" i="7"/>
  <c r="AY125" i="7"/>
  <c r="AV125" i="7"/>
  <c r="AR125" i="7"/>
  <c r="AN125" i="7"/>
  <c r="AJ125" i="7"/>
  <c r="AG125" i="7"/>
  <c r="AC125" i="7"/>
  <c r="Z125" i="7"/>
  <c r="V125" i="7"/>
  <c r="R125" i="7"/>
  <c r="N125" i="7"/>
  <c r="J125" i="7"/>
  <c r="F125" i="7"/>
  <c r="CD124" i="7"/>
  <c r="CA124" i="7"/>
  <c r="BW124" i="7"/>
  <c r="BT124" i="7"/>
  <c r="BQ124" i="7"/>
  <c r="BM124" i="7"/>
  <c r="BJ124" i="7"/>
  <c r="BF124" i="7"/>
  <c r="BC124" i="7"/>
  <c r="AY124" i="7"/>
  <c r="AV124" i="7"/>
  <c r="AR124" i="7"/>
  <c r="AN124" i="7"/>
  <c r="AJ124" i="7"/>
  <c r="AG124" i="7"/>
  <c r="AC124" i="7"/>
  <c r="Z124" i="7"/>
  <c r="V124" i="7"/>
  <c r="R124" i="7"/>
  <c r="N124" i="7"/>
  <c r="J124" i="7"/>
  <c r="F124" i="7"/>
  <c r="CD123" i="7"/>
  <c r="CA123" i="7"/>
  <c r="BW123" i="7"/>
  <c r="BT123" i="7"/>
  <c r="BQ123" i="7"/>
  <c r="BM123" i="7"/>
  <c r="BJ123" i="7"/>
  <c r="BF123" i="7"/>
  <c r="BC123" i="7"/>
  <c r="AY123" i="7"/>
  <c r="AV123" i="7"/>
  <c r="AR123" i="7"/>
  <c r="AN123" i="7"/>
  <c r="AJ123" i="7"/>
  <c r="AG123" i="7"/>
  <c r="AC123" i="7"/>
  <c r="Z123" i="7"/>
  <c r="V123" i="7"/>
  <c r="R123" i="7"/>
  <c r="N123" i="7"/>
  <c r="J123" i="7"/>
  <c r="F123" i="7"/>
  <c r="CD122" i="7"/>
  <c r="CA122" i="7"/>
  <c r="BW122" i="7"/>
  <c r="BT122" i="7"/>
  <c r="BQ122" i="7"/>
  <c r="BM122" i="7"/>
  <c r="BJ122" i="7"/>
  <c r="BF122" i="7"/>
  <c r="BC122" i="7"/>
  <c r="AY122" i="7"/>
  <c r="AV122" i="7"/>
  <c r="AJ122" i="7"/>
  <c r="AG122" i="7"/>
  <c r="AC122" i="7"/>
  <c r="Z122" i="7"/>
  <c r="V122" i="7"/>
  <c r="R122" i="7"/>
  <c r="N122" i="7"/>
  <c r="J122" i="7"/>
  <c r="F122" i="7"/>
  <c r="CD121" i="7"/>
  <c r="CA121" i="7"/>
  <c r="BW121" i="7"/>
  <c r="BT121" i="7"/>
  <c r="BQ121" i="7"/>
  <c r="BM121" i="7"/>
  <c r="BJ121" i="7"/>
  <c r="BF121" i="7"/>
  <c r="BC121" i="7"/>
  <c r="AY121" i="7"/>
  <c r="AV121" i="7"/>
  <c r="AR121" i="7"/>
  <c r="AN121" i="7"/>
  <c r="CD120" i="7"/>
  <c r="CA120" i="7"/>
  <c r="BW120" i="7"/>
  <c r="BT120" i="7"/>
  <c r="BQ120" i="7"/>
  <c r="BM120" i="7"/>
  <c r="BJ120" i="7"/>
  <c r="BF120" i="7"/>
  <c r="BC120" i="7"/>
  <c r="AY120" i="7"/>
  <c r="AV120" i="7"/>
  <c r="AR120" i="7"/>
  <c r="AN120" i="7"/>
  <c r="AJ120" i="7"/>
  <c r="AG120" i="7"/>
  <c r="AC120" i="7"/>
  <c r="Z120" i="7"/>
  <c r="V120" i="7"/>
  <c r="R120" i="7"/>
  <c r="N120" i="7"/>
  <c r="J120" i="7"/>
  <c r="F120" i="7"/>
  <c r="CD119" i="7"/>
  <c r="CA119" i="7"/>
  <c r="BW119" i="7"/>
  <c r="BT119" i="7"/>
  <c r="BQ119" i="7"/>
  <c r="BM119" i="7"/>
  <c r="BJ119" i="7"/>
  <c r="BF119" i="7"/>
  <c r="BC119" i="7"/>
  <c r="AY119" i="7"/>
  <c r="AV119" i="7"/>
  <c r="AR119" i="7"/>
  <c r="AN119" i="7"/>
  <c r="AJ119" i="7"/>
  <c r="AG119" i="7"/>
  <c r="AC119" i="7"/>
  <c r="Z119" i="7"/>
  <c r="V119" i="7"/>
  <c r="R119" i="7"/>
  <c r="N119" i="7"/>
  <c r="J119" i="7"/>
  <c r="F119" i="7"/>
  <c r="CD118" i="7"/>
  <c r="CA118" i="7"/>
  <c r="BW118" i="7"/>
  <c r="BT118" i="7"/>
  <c r="BQ118" i="7"/>
  <c r="BM118" i="7"/>
  <c r="BJ118" i="7"/>
  <c r="BF118" i="7"/>
  <c r="BC118" i="7"/>
  <c r="AY118" i="7"/>
  <c r="AV118" i="7"/>
  <c r="AR118" i="7"/>
  <c r="AN118" i="7"/>
  <c r="AJ118" i="7"/>
  <c r="AG118" i="7"/>
  <c r="AC118" i="7"/>
  <c r="Z118" i="7"/>
  <c r="V118" i="7"/>
  <c r="R118" i="7"/>
  <c r="N118" i="7"/>
  <c r="J118" i="7"/>
  <c r="F118" i="7"/>
  <c r="CD117" i="7"/>
  <c r="CA117" i="7"/>
  <c r="BW117" i="7"/>
  <c r="BT117" i="7"/>
  <c r="BQ117" i="7"/>
  <c r="BM117" i="7"/>
  <c r="BJ117" i="7"/>
  <c r="BF117" i="7"/>
  <c r="BC117" i="7"/>
  <c r="AY117" i="7"/>
  <c r="AV117" i="7"/>
  <c r="AR117" i="7"/>
  <c r="AN117" i="7"/>
  <c r="AJ117" i="7"/>
  <c r="AG117" i="7"/>
  <c r="AC117" i="7"/>
  <c r="Z117" i="7"/>
  <c r="V117" i="7"/>
  <c r="R117" i="7"/>
  <c r="N117" i="7"/>
  <c r="J117" i="7"/>
  <c r="F117" i="7"/>
  <c r="CD116" i="7"/>
  <c r="CA116" i="7"/>
  <c r="BW116" i="7"/>
  <c r="BT116" i="7"/>
  <c r="BQ116" i="7"/>
  <c r="BM116" i="7"/>
  <c r="BJ116" i="7"/>
  <c r="BF116" i="7"/>
  <c r="BC116" i="7"/>
  <c r="AY116" i="7"/>
  <c r="AV116" i="7"/>
  <c r="AR116" i="7"/>
  <c r="AN116" i="7"/>
  <c r="AJ116" i="7"/>
  <c r="AG116" i="7"/>
  <c r="AC116" i="7"/>
  <c r="Z116" i="7"/>
  <c r="V116" i="7"/>
  <c r="R116" i="7"/>
  <c r="N116" i="7"/>
  <c r="J116" i="7"/>
  <c r="F116" i="7"/>
  <c r="CD115" i="7"/>
  <c r="CA115" i="7"/>
  <c r="BW115" i="7"/>
  <c r="BT115" i="7"/>
  <c r="BQ115" i="7"/>
  <c r="BM115" i="7"/>
  <c r="BJ115" i="7"/>
  <c r="BF115" i="7"/>
  <c r="BC115" i="7"/>
  <c r="AY115" i="7"/>
  <c r="AV115" i="7"/>
  <c r="AR115" i="7"/>
  <c r="AN115" i="7"/>
  <c r="AJ115" i="7"/>
  <c r="AG115" i="7"/>
  <c r="AC115" i="7"/>
  <c r="Z115" i="7"/>
  <c r="V115" i="7"/>
  <c r="R115" i="7"/>
  <c r="N115" i="7"/>
  <c r="J115" i="7"/>
  <c r="F115" i="7"/>
  <c r="CD114" i="7"/>
  <c r="CA114" i="7"/>
  <c r="BW114" i="7"/>
  <c r="BT114" i="7"/>
  <c r="BQ114" i="7"/>
  <c r="BM114" i="7"/>
  <c r="BJ114" i="7"/>
  <c r="BF114" i="7"/>
  <c r="BC114" i="7"/>
  <c r="AY114" i="7"/>
  <c r="AV114" i="7"/>
  <c r="AR114" i="7"/>
  <c r="AN114" i="7"/>
  <c r="AJ114" i="7"/>
  <c r="AG114" i="7"/>
  <c r="AC114" i="7"/>
  <c r="Z114" i="7"/>
  <c r="V114" i="7"/>
  <c r="R114" i="7"/>
  <c r="N114" i="7"/>
  <c r="J114" i="7"/>
  <c r="F114" i="7"/>
  <c r="CD113" i="7"/>
  <c r="CA113" i="7"/>
  <c r="BW113" i="7"/>
  <c r="BT113" i="7"/>
  <c r="BQ113" i="7"/>
  <c r="BM113" i="7"/>
  <c r="BJ113" i="7"/>
  <c r="BF113" i="7"/>
  <c r="BC113" i="7"/>
  <c r="AY113" i="7"/>
  <c r="AV113" i="7"/>
  <c r="AR113" i="7"/>
  <c r="AN113" i="7"/>
  <c r="AJ113" i="7"/>
  <c r="AG113" i="7"/>
  <c r="AC113" i="7"/>
  <c r="Z113" i="7"/>
  <c r="V113" i="7"/>
  <c r="R113" i="7"/>
  <c r="N113" i="7"/>
  <c r="J113" i="7"/>
  <c r="F113" i="7"/>
  <c r="CD112" i="7"/>
  <c r="CA112" i="7"/>
  <c r="BW112" i="7"/>
  <c r="BT112" i="7"/>
  <c r="BQ112" i="7"/>
  <c r="BM112" i="7"/>
  <c r="BJ112" i="7"/>
  <c r="BF112" i="7"/>
  <c r="BC112" i="7"/>
  <c r="AY112" i="7"/>
  <c r="AV112" i="7"/>
  <c r="AR112" i="7"/>
  <c r="AN112" i="7"/>
  <c r="AJ112" i="7"/>
  <c r="AG112" i="7"/>
  <c r="AC112" i="7"/>
  <c r="Z112" i="7"/>
  <c r="V112" i="7"/>
  <c r="R112" i="7"/>
  <c r="N112" i="7"/>
  <c r="J112" i="7"/>
  <c r="F112" i="7"/>
  <c r="CD111" i="7"/>
  <c r="CA111" i="7"/>
  <c r="BW111" i="7"/>
  <c r="BT111" i="7"/>
  <c r="BQ111" i="7"/>
  <c r="BM111" i="7"/>
  <c r="BJ111" i="7"/>
  <c r="BF111" i="7"/>
  <c r="BC111" i="7"/>
  <c r="AY111" i="7"/>
  <c r="AV111" i="7"/>
  <c r="AR111" i="7"/>
  <c r="AN111" i="7"/>
  <c r="AJ111" i="7"/>
  <c r="AG111" i="7"/>
  <c r="AC111" i="7"/>
  <c r="Z111" i="7"/>
  <c r="V111" i="7"/>
  <c r="R111" i="7"/>
  <c r="N111" i="7"/>
  <c r="J111" i="7"/>
  <c r="F111" i="7"/>
  <c r="CD110" i="7"/>
  <c r="CA110" i="7"/>
  <c r="BW110" i="7"/>
  <c r="BT110" i="7"/>
  <c r="BQ110" i="7"/>
  <c r="BM110" i="7"/>
  <c r="BJ110" i="7"/>
  <c r="BF110" i="7"/>
  <c r="BC110" i="7"/>
  <c r="AY110" i="7"/>
  <c r="AV110" i="7"/>
  <c r="AR110" i="7"/>
  <c r="AN110" i="7"/>
  <c r="AJ110" i="7"/>
  <c r="AG110" i="7"/>
  <c r="AC110" i="7"/>
  <c r="Z110" i="7"/>
  <c r="V110" i="7"/>
  <c r="R110" i="7"/>
  <c r="N110" i="7"/>
  <c r="J110" i="7"/>
  <c r="F110" i="7"/>
  <c r="CD109" i="7"/>
  <c r="CA109" i="7"/>
  <c r="BW109" i="7"/>
  <c r="BT109" i="7"/>
  <c r="BQ109" i="7"/>
  <c r="BM109" i="7"/>
  <c r="BJ109" i="7"/>
  <c r="BF109" i="7"/>
  <c r="BC109" i="7"/>
  <c r="AY109" i="7"/>
  <c r="AV109" i="7"/>
  <c r="AR109" i="7"/>
  <c r="AN109" i="7"/>
  <c r="AJ109" i="7"/>
  <c r="AG109" i="7"/>
  <c r="AC109" i="7"/>
  <c r="Z109" i="7"/>
  <c r="V109" i="7"/>
  <c r="R109" i="7"/>
  <c r="N109" i="7"/>
  <c r="J109" i="7"/>
  <c r="F109" i="7"/>
  <c r="CD108" i="7"/>
  <c r="CA108" i="7"/>
  <c r="BW108" i="7"/>
  <c r="BT108" i="7"/>
  <c r="BQ108" i="7"/>
  <c r="BM108" i="7"/>
  <c r="BJ108" i="7"/>
  <c r="BF108" i="7"/>
  <c r="BC108" i="7"/>
  <c r="AY108" i="7"/>
  <c r="AV108" i="7"/>
  <c r="AR108" i="7"/>
  <c r="AN108" i="7"/>
  <c r="AJ108" i="7"/>
  <c r="AG108" i="7"/>
  <c r="AC108" i="7"/>
  <c r="Z108" i="7"/>
  <c r="V108" i="7"/>
  <c r="R108" i="7"/>
  <c r="N108" i="7"/>
  <c r="J108" i="7"/>
  <c r="F108" i="7"/>
  <c r="CD107" i="7"/>
  <c r="CA107" i="7"/>
  <c r="BW107" i="7"/>
  <c r="BT107" i="7"/>
  <c r="BQ107" i="7"/>
  <c r="BM107" i="7"/>
  <c r="BJ107" i="7"/>
  <c r="BF107" i="7"/>
  <c r="BC107" i="7"/>
  <c r="AY107" i="7"/>
  <c r="AV107" i="7"/>
  <c r="AR107" i="7"/>
  <c r="AN107" i="7"/>
  <c r="AJ107" i="7"/>
  <c r="AG107" i="7"/>
  <c r="AC107" i="7"/>
  <c r="Z107" i="7"/>
  <c r="V107" i="7"/>
  <c r="R107" i="7"/>
  <c r="N107" i="7"/>
  <c r="J107" i="7"/>
  <c r="F107" i="7"/>
  <c r="CD106" i="7"/>
  <c r="CA106" i="7"/>
  <c r="BW106" i="7"/>
  <c r="BT106" i="7"/>
  <c r="BQ106" i="7"/>
  <c r="BM106" i="7"/>
  <c r="BJ106" i="7"/>
  <c r="BF106" i="7"/>
  <c r="BC106" i="7"/>
  <c r="AY106" i="7"/>
  <c r="AV106" i="7"/>
  <c r="AR106" i="7"/>
  <c r="AN106" i="7"/>
  <c r="AJ106" i="7"/>
  <c r="AG106" i="7"/>
  <c r="AC106" i="7"/>
  <c r="Z106" i="7"/>
  <c r="V106" i="7"/>
  <c r="R106" i="7"/>
  <c r="N106" i="7"/>
  <c r="J106" i="7"/>
  <c r="F106" i="7"/>
  <c r="CD105" i="7"/>
  <c r="CA105" i="7"/>
  <c r="BW105" i="7"/>
  <c r="BT105" i="7"/>
  <c r="BQ105" i="7"/>
  <c r="BM105" i="7"/>
  <c r="BJ105" i="7"/>
  <c r="BF105" i="7"/>
  <c r="BC105" i="7"/>
  <c r="AY105" i="7"/>
  <c r="AV105" i="7"/>
  <c r="AR105" i="7"/>
  <c r="AN105" i="7"/>
  <c r="AJ105" i="7"/>
  <c r="AG105" i="7"/>
  <c r="AC105" i="7"/>
  <c r="Z105" i="7"/>
  <c r="V105" i="7"/>
  <c r="R105" i="7"/>
  <c r="N105" i="7"/>
  <c r="J105" i="7"/>
  <c r="F105" i="7"/>
  <c r="CD104" i="7"/>
  <c r="CA104" i="7"/>
  <c r="BW104" i="7"/>
  <c r="BT104" i="7"/>
  <c r="BQ104" i="7"/>
  <c r="BM104" i="7"/>
  <c r="BJ104" i="7"/>
  <c r="BF104" i="7"/>
  <c r="BC104" i="7"/>
  <c r="AY104" i="7"/>
  <c r="AV104" i="7"/>
  <c r="AR104" i="7"/>
  <c r="AN104" i="7"/>
  <c r="AJ104" i="7"/>
  <c r="AG104" i="7"/>
  <c r="AC104" i="7"/>
  <c r="Z104" i="7"/>
  <c r="V104" i="7"/>
  <c r="R104" i="7"/>
  <c r="N104" i="7"/>
  <c r="J104" i="7"/>
  <c r="F104" i="7"/>
  <c r="CD103" i="7"/>
  <c r="CA103" i="7"/>
  <c r="BW103" i="7"/>
  <c r="BT103" i="7"/>
  <c r="BQ103" i="7"/>
  <c r="BM103" i="7"/>
  <c r="BJ103" i="7"/>
  <c r="BF103" i="7"/>
  <c r="BC103" i="7"/>
  <c r="AY103" i="7"/>
  <c r="AV103" i="7"/>
  <c r="AR103" i="7"/>
  <c r="AN103" i="7"/>
  <c r="AJ103" i="7"/>
  <c r="AG103" i="7"/>
  <c r="AC103" i="7"/>
  <c r="Z103" i="7"/>
  <c r="V103" i="7"/>
  <c r="R103" i="7"/>
  <c r="N103" i="7"/>
  <c r="J103" i="7"/>
  <c r="F103" i="7"/>
  <c r="CD102" i="7"/>
  <c r="CA102" i="7"/>
  <c r="BW102" i="7"/>
  <c r="BT102" i="7"/>
  <c r="BQ102" i="7"/>
  <c r="BM102" i="7"/>
  <c r="BJ102" i="7"/>
  <c r="BF102" i="7"/>
  <c r="BC102" i="7"/>
  <c r="AY102" i="7"/>
  <c r="AV102" i="7"/>
  <c r="AR102" i="7"/>
  <c r="AN102" i="7"/>
  <c r="AJ102" i="7"/>
  <c r="AG102" i="7"/>
  <c r="AC102" i="7"/>
  <c r="Z102" i="7"/>
  <c r="V102" i="7"/>
  <c r="R102" i="7"/>
  <c r="N102" i="7"/>
  <c r="J102" i="7"/>
  <c r="F102" i="7"/>
  <c r="CD101" i="7"/>
  <c r="CA101" i="7"/>
  <c r="BW101" i="7"/>
  <c r="BT101" i="7"/>
  <c r="BQ101" i="7"/>
  <c r="BM101" i="7"/>
  <c r="BJ101" i="7"/>
  <c r="BF101" i="7"/>
  <c r="BC101" i="7"/>
  <c r="AY101" i="7"/>
  <c r="AV101" i="7"/>
  <c r="AR101" i="7"/>
  <c r="AN101" i="7"/>
  <c r="AJ101" i="7"/>
  <c r="AG101" i="7"/>
  <c r="AC101" i="7"/>
  <c r="Z101" i="7"/>
  <c r="V101" i="7"/>
  <c r="R101" i="7"/>
  <c r="N101" i="7"/>
  <c r="J101" i="7"/>
  <c r="F101" i="7"/>
  <c r="CD100" i="7"/>
  <c r="CA100" i="7"/>
  <c r="BW100" i="7"/>
  <c r="BT100" i="7"/>
  <c r="BQ100" i="7"/>
  <c r="BM100" i="7"/>
  <c r="BJ100" i="7"/>
  <c r="BF100" i="7"/>
  <c r="BC100" i="7"/>
  <c r="AY100" i="7"/>
  <c r="AV100" i="7"/>
  <c r="AR100" i="7"/>
  <c r="AN100" i="7"/>
  <c r="AJ100" i="7"/>
  <c r="AG100" i="7"/>
  <c r="AC100" i="7"/>
  <c r="Z100" i="7"/>
  <c r="V100" i="7"/>
  <c r="R100" i="7"/>
  <c r="N100" i="7"/>
  <c r="J100" i="7"/>
  <c r="F100" i="7"/>
  <c r="CD99" i="7"/>
  <c r="CA99" i="7"/>
  <c r="BW99" i="7"/>
  <c r="BT99" i="7"/>
  <c r="BQ99" i="7"/>
  <c r="BM99" i="7"/>
  <c r="BJ99" i="7"/>
  <c r="BF99" i="7"/>
  <c r="BC99" i="7"/>
  <c r="AY99" i="7"/>
  <c r="AV99" i="7"/>
  <c r="AR99" i="7"/>
  <c r="AN99" i="7"/>
  <c r="AJ99" i="7"/>
  <c r="AG99" i="7"/>
  <c r="AC99" i="7"/>
  <c r="Z99" i="7"/>
  <c r="V99" i="7"/>
  <c r="R99" i="7"/>
  <c r="N99" i="7"/>
  <c r="J99" i="7"/>
  <c r="F99" i="7"/>
  <c r="CD98" i="7"/>
  <c r="CA98" i="7"/>
  <c r="BW98" i="7"/>
  <c r="BT98" i="7"/>
  <c r="BQ98" i="7"/>
  <c r="BM98" i="7"/>
  <c r="BJ98" i="7"/>
  <c r="BF98" i="7"/>
  <c r="BC98" i="7"/>
  <c r="AY98" i="7"/>
  <c r="AV98" i="7"/>
  <c r="AR98" i="7"/>
  <c r="AN98" i="7"/>
  <c r="AJ98" i="7"/>
  <c r="AG98" i="7"/>
  <c r="AC98" i="7"/>
  <c r="Z98" i="7"/>
  <c r="V98" i="7"/>
  <c r="R98" i="7"/>
  <c r="N98" i="7"/>
  <c r="J98" i="7"/>
  <c r="F98" i="7"/>
  <c r="CD97" i="7"/>
  <c r="CA97" i="7"/>
  <c r="BW97" i="7"/>
  <c r="BT97" i="7"/>
  <c r="BQ97" i="7"/>
  <c r="BM97" i="7"/>
  <c r="BJ97" i="7"/>
  <c r="BF97" i="7"/>
  <c r="BC97" i="7"/>
  <c r="AY97" i="7"/>
  <c r="AV97" i="7"/>
  <c r="AR97" i="7"/>
  <c r="AN97" i="7"/>
  <c r="AJ97" i="7"/>
  <c r="AG97" i="7"/>
  <c r="AC97" i="7"/>
  <c r="Z97" i="7"/>
  <c r="V97" i="7"/>
  <c r="R97" i="7"/>
  <c r="N97" i="7"/>
  <c r="J97" i="7"/>
  <c r="F97" i="7"/>
  <c r="CD96" i="7"/>
  <c r="CA96" i="7"/>
  <c r="BW96" i="7"/>
  <c r="BT96" i="7"/>
  <c r="BQ96" i="7"/>
  <c r="BM96" i="7"/>
  <c r="BJ96" i="7"/>
  <c r="BF96" i="7"/>
  <c r="BC96" i="7"/>
  <c r="AY96" i="7"/>
  <c r="AV96" i="7"/>
  <c r="AR96" i="7"/>
  <c r="AN96" i="7"/>
  <c r="AJ96" i="7"/>
  <c r="AG96" i="7"/>
  <c r="AC96" i="7"/>
  <c r="Z96" i="7"/>
  <c r="V96" i="7"/>
  <c r="R96" i="7"/>
  <c r="N96" i="7"/>
  <c r="J96" i="7"/>
  <c r="F96" i="7"/>
  <c r="CD95" i="7"/>
  <c r="CA95" i="7"/>
  <c r="BW95" i="7"/>
  <c r="BT95" i="7"/>
  <c r="BQ95" i="7"/>
  <c r="BM95" i="7"/>
  <c r="BJ95" i="7"/>
  <c r="BF95" i="7"/>
  <c r="BC95" i="7"/>
  <c r="AY95" i="7"/>
  <c r="AV95" i="7"/>
  <c r="AR95" i="7"/>
  <c r="AN95" i="7"/>
  <c r="AJ95" i="7"/>
  <c r="AG95" i="7"/>
  <c r="AC95" i="7"/>
  <c r="Z95" i="7"/>
  <c r="V95" i="7"/>
  <c r="R95" i="7"/>
  <c r="N95" i="7"/>
  <c r="J95" i="7"/>
  <c r="F95" i="7"/>
  <c r="CD94" i="7"/>
  <c r="CA94" i="7"/>
  <c r="BW94" i="7"/>
  <c r="BT94" i="7"/>
  <c r="BQ94" i="7"/>
  <c r="BM94" i="7"/>
  <c r="BJ94" i="7"/>
  <c r="BF94" i="7"/>
  <c r="BC94" i="7"/>
  <c r="AY94" i="7"/>
  <c r="AV94" i="7"/>
  <c r="AR94" i="7"/>
  <c r="AN94" i="7"/>
  <c r="AJ94" i="7"/>
  <c r="AG94" i="7"/>
  <c r="AC94" i="7"/>
  <c r="Z94" i="7"/>
  <c r="V94" i="7"/>
  <c r="R94" i="7"/>
  <c r="N94" i="7"/>
  <c r="J94" i="7"/>
  <c r="F94" i="7"/>
  <c r="CD93" i="7"/>
  <c r="CA93" i="7"/>
  <c r="BW93" i="7"/>
  <c r="BT93" i="7"/>
  <c r="BQ93" i="7"/>
  <c r="BM93" i="7"/>
  <c r="BJ93" i="7"/>
  <c r="BF93" i="7"/>
  <c r="BC93" i="7"/>
  <c r="AY93" i="7"/>
  <c r="AV93" i="7"/>
  <c r="AR93" i="7"/>
  <c r="AN93" i="7"/>
  <c r="AJ93" i="7"/>
  <c r="AG93" i="7"/>
  <c r="AC93" i="7"/>
  <c r="Z93" i="7"/>
  <c r="V93" i="7"/>
  <c r="R93" i="7"/>
  <c r="N93" i="7"/>
  <c r="J93" i="7"/>
  <c r="F93" i="7"/>
  <c r="CD92" i="7"/>
  <c r="CA92" i="7"/>
  <c r="BW92" i="7"/>
  <c r="BT92" i="7"/>
  <c r="BQ92" i="7"/>
  <c r="BM92" i="7"/>
  <c r="BJ92" i="7"/>
  <c r="BF92" i="7"/>
  <c r="BC92" i="7"/>
  <c r="AY92" i="7"/>
  <c r="AV92" i="7"/>
  <c r="AR92" i="7"/>
  <c r="AN92" i="7"/>
  <c r="AJ92" i="7"/>
  <c r="AG92" i="7"/>
  <c r="AC92" i="7"/>
  <c r="Z92" i="7"/>
  <c r="V92" i="7"/>
  <c r="R92" i="7"/>
  <c r="N92" i="7"/>
  <c r="J92" i="7"/>
  <c r="F92" i="7"/>
  <c r="CD91" i="7"/>
  <c r="CA91" i="7"/>
  <c r="BW91" i="7"/>
  <c r="BT91" i="7"/>
  <c r="BQ91" i="7"/>
  <c r="BM91" i="7"/>
  <c r="BJ91" i="7"/>
  <c r="BF91" i="7"/>
  <c r="BC91" i="7"/>
  <c r="AY91" i="7"/>
  <c r="AV91" i="7"/>
  <c r="AR91" i="7"/>
  <c r="AN91" i="7"/>
  <c r="AJ91" i="7"/>
  <c r="AG91" i="7"/>
  <c r="AC91" i="7"/>
  <c r="Z91" i="7"/>
  <c r="V91" i="7"/>
  <c r="R91" i="7"/>
  <c r="N91" i="7"/>
  <c r="J91" i="7"/>
  <c r="F91" i="7"/>
  <c r="CD90" i="7"/>
  <c r="CA90" i="7"/>
  <c r="BW90" i="7"/>
  <c r="BT90" i="7"/>
  <c r="BQ90" i="7"/>
  <c r="BM90" i="7"/>
  <c r="BJ90" i="7"/>
  <c r="BF90" i="7"/>
  <c r="BC90" i="7"/>
  <c r="AY90" i="7"/>
  <c r="AV90" i="7"/>
  <c r="AR90" i="7"/>
  <c r="AN90" i="7"/>
  <c r="AJ90" i="7"/>
  <c r="AG90" i="7"/>
  <c r="AC90" i="7"/>
  <c r="Z90" i="7"/>
  <c r="V90" i="7"/>
  <c r="R90" i="7"/>
  <c r="N90" i="7"/>
  <c r="J90" i="7"/>
  <c r="F90" i="7"/>
  <c r="CD89" i="7"/>
  <c r="CA89" i="7"/>
  <c r="BW89" i="7"/>
  <c r="BT89" i="7"/>
  <c r="BQ89" i="7"/>
  <c r="BM89" i="7"/>
  <c r="BJ89" i="7"/>
  <c r="BF89" i="7"/>
  <c r="BC89" i="7"/>
  <c r="AY89" i="7"/>
  <c r="AV89" i="7"/>
  <c r="AR89" i="7"/>
  <c r="AN89" i="7"/>
  <c r="AJ89" i="7"/>
  <c r="AG89" i="7"/>
  <c r="AC89" i="7"/>
  <c r="Z89" i="7"/>
  <c r="V89" i="7"/>
  <c r="R89" i="7"/>
  <c r="N89" i="7"/>
  <c r="J89" i="7"/>
  <c r="F89" i="7"/>
  <c r="CD88" i="7"/>
  <c r="CA88" i="7"/>
  <c r="BW88" i="7"/>
  <c r="BT88" i="7"/>
  <c r="BQ88" i="7"/>
  <c r="BM88" i="7"/>
  <c r="BJ88" i="7"/>
  <c r="BF88" i="7"/>
  <c r="BC88" i="7"/>
  <c r="AY88" i="7"/>
  <c r="AV88" i="7"/>
  <c r="AR88" i="7"/>
  <c r="AN88" i="7"/>
  <c r="AJ88" i="7"/>
  <c r="AG88" i="7"/>
  <c r="AC88" i="7"/>
  <c r="Z88" i="7"/>
  <c r="V88" i="7"/>
  <c r="R88" i="7"/>
  <c r="N88" i="7"/>
  <c r="J88" i="7"/>
  <c r="F88" i="7"/>
  <c r="CD87" i="7"/>
  <c r="CA87" i="7"/>
  <c r="BW87" i="7"/>
  <c r="BT87" i="7"/>
  <c r="BQ87" i="7"/>
  <c r="BM87" i="7"/>
  <c r="BJ87" i="7"/>
  <c r="BF87" i="7"/>
  <c r="BC87" i="7"/>
  <c r="AY87" i="7"/>
  <c r="AV87" i="7"/>
  <c r="AR87" i="7"/>
  <c r="AN87" i="7"/>
  <c r="AJ87" i="7"/>
  <c r="AG87" i="7"/>
  <c r="AC87" i="7"/>
  <c r="Z87" i="7"/>
  <c r="V87" i="7"/>
  <c r="R87" i="7"/>
  <c r="N87" i="7"/>
  <c r="J87" i="7"/>
  <c r="F87" i="7"/>
  <c r="CD86" i="7"/>
  <c r="CA86" i="7"/>
  <c r="BW86" i="7"/>
  <c r="BT86" i="7"/>
  <c r="BQ86" i="7"/>
  <c r="BM86" i="7"/>
  <c r="BJ86" i="7"/>
  <c r="BF86" i="7"/>
  <c r="BC86" i="7"/>
  <c r="AY86" i="7"/>
  <c r="AV86" i="7"/>
  <c r="AR86" i="7"/>
  <c r="AN86" i="7"/>
  <c r="AJ86" i="7"/>
  <c r="AG86" i="7"/>
  <c r="AC86" i="7"/>
  <c r="Z86" i="7"/>
  <c r="V86" i="7"/>
  <c r="R86" i="7"/>
  <c r="N86" i="7"/>
  <c r="J86" i="7"/>
  <c r="F86" i="7"/>
  <c r="CD85" i="7"/>
  <c r="CA85" i="7"/>
  <c r="BW85" i="7"/>
  <c r="BT85" i="7"/>
  <c r="BQ85" i="7"/>
  <c r="BM85" i="7"/>
  <c r="BJ85" i="7"/>
  <c r="BF85" i="7"/>
  <c r="BC85" i="7"/>
  <c r="AY85" i="7"/>
  <c r="AV85" i="7"/>
  <c r="AR85" i="7"/>
  <c r="AN85" i="7"/>
  <c r="AJ85" i="7"/>
  <c r="AG85" i="7"/>
  <c r="AC85" i="7"/>
  <c r="Z85" i="7"/>
  <c r="V85" i="7"/>
  <c r="R85" i="7"/>
  <c r="N85" i="7"/>
  <c r="J85" i="7"/>
  <c r="F85" i="7"/>
  <c r="CD84" i="7"/>
  <c r="CA84" i="7"/>
  <c r="BW84" i="7"/>
  <c r="BT84" i="7"/>
  <c r="BQ84" i="7"/>
  <c r="BM84" i="7"/>
  <c r="BJ84" i="7"/>
  <c r="BF84" i="7"/>
  <c r="BC84" i="7"/>
  <c r="AY84" i="7"/>
  <c r="AV84" i="7"/>
  <c r="AR84" i="7"/>
  <c r="AN84" i="7"/>
  <c r="AJ84" i="7"/>
  <c r="AG84" i="7"/>
  <c r="AC84" i="7"/>
  <c r="Z84" i="7"/>
  <c r="V84" i="7"/>
  <c r="R84" i="7"/>
  <c r="N84" i="7"/>
  <c r="J84" i="7"/>
  <c r="F84" i="7"/>
  <c r="CD83" i="7"/>
  <c r="CA83" i="7"/>
  <c r="BW83" i="7"/>
  <c r="BT83" i="7"/>
  <c r="BQ83" i="7"/>
  <c r="BM83" i="7"/>
  <c r="BJ83" i="7"/>
  <c r="BF83" i="7"/>
  <c r="BC83" i="7"/>
  <c r="AY83" i="7"/>
  <c r="AV83" i="7"/>
  <c r="AR83" i="7"/>
  <c r="AN83" i="7"/>
  <c r="AJ83" i="7"/>
  <c r="AG83" i="7"/>
  <c r="AC83" i="7"/>
  <c r="Z83" i="7"/>
  <c r="V83" i="7"/>
  <c r="R83" i="7"/>
  <c r="N83" i="7"/>
  <c r="J83" i="7"/>
  <c r="F83" i="7"/>
  <c r="CD82" i="7"/>
  <c r="CA82" i="7"/>
  <c r="BW82" i="7"/>
  <c r="BT82" i="7"/>
  <c r="BQ82" i="7"/>
  <c r="BM82" i="7"/>
  <c r="BJ82" i="7"/>
  <c r="BF82" i="7"/>
  <c r="BC82" i="7"/>
  <c r="AY82" i="7"/>
  <c r="AV82" i="7"/>
  <c r="AR82" i="7"/>
  <c r="AN82" i="7"/>
  <c r="AJ82" i="7"/>
  <c r="AG82" i="7"/>
  <c r="AC82" i="7"/>
  <c r="Z82" i="7"/>
  <c r="V82" i="7"/>
  <c r="R82" i="7"/>
  <c r="N82" i="7"/>
  <c r="J82" i="7"/>
  <c r="F82" i="7"/>
  <c r="CD81" i="7"/>
  <c r="CA81" i="7"/>
  <c r="BW81" i="7"/>
  <c r="BT81" i="7"/>
  <c r="BQ81" i="7"/>
  <c r="BM81" i="7"/>
  <c r="BJ81" i="7"/>
  <c r="BF81" i="7"/>
  <c r="BC81" i="7"/>
  <c r="AY81" i="7"/>
  <c r="AV81" i="7"/>
  <c r="AR81" i="7"/>
  <c r="AN81" i="7"/>
  <c r="AJ81" i="7"/>
  <c r="AG81" i="7"/>
  <c r="AC81" i="7"/>
  <c r="Z81" i="7"/>
  <c r="V81" i="7"/>
  <c r="R81" i="7"/>
  <c r="N81" i="7"/>
  <c r="J81" i="7"/>
  <c r="F81" i="7"/>
  <c r="CD80" i="7"/>
  <c r="CA80" i="7"/>
  <c r="BW80" i="7"/>
  <c r="BT80" i="7"/>
  <c r="BQ80" i="7"/>
  <c r="BM80" i="7"/>
  <c r="BJ80" i="7"/>
  <c r="BF80" i="7"/>
  <c r="BC80" i="7"/>
  <c r="AY80" i="7"/>
  <c r="AV80" i="7"/>
  <c r="AR80" i="7"/>
  <c r="AN80" i="7"/>
  <c r="AJ80" i="7"/>
  <c r="AG80" i="7"/>
  <c r="AC80" i="7"/>
  <c r="Z80" i="7"/>
  <c r="V80" i="7"/>
  <c r="R80" i="7"/>
  <c r="N80" i="7"/>
  <c r="J80" i="7"/>
  <c r="F80" i="7"/>
  <c r="CD79" i="7"/>
  <c r="CA79" i="7"/>
  <c r="BW79" i="7"/>
  <c r="BT79" i="7"/>
  <c r="BQ79" i="7"/>
  <c r="BM79" i="7"/>
  <c r="BJ79" i="7"/>
  <c r="BF79" i="7"/>
  <c r="BC79" i="7"/>
  <c r="AY79" i="7"/>
  <c r="AV79" i="7"/>
  <c r="AR79" i="7"/>
  <c r="AN79" i="7"/>
  <c r="AJ79" i="7"/>
  <c r="AG79" i="7"/>
  <c r="AC79" i="7"/>
  <c r="Z79" i="7"/>
  <c r="V79" i="7"/>
  <c r="R79" i="7"/>
  <c r="N79" i="7"/>
  <c r="J79" i="7"/>
  <c r="F79" i="7"/>
  <c r="CD78" i="7"/>
  <c r="CA78" i="7"/>
  <c r="BW78" i="7"/>
  <c r="BT78" i="7"/>
  <c r="BQ78" i="7"/>
  <c r="BM78" i="7"/>
  <c r="BJ78" i="7"/>
  <c r="BF78" i="7"/>
  <c r="BC78" i="7"/>
  <c r="AY78" i="7"/>
  <c r="AV78" i="7"/>
  <c r="AR78" i="7"/>
  <c r="AN78" i="7"/>
  <c r="AJ78" i="7"/>
  <c r="AG78" i="7"/>
  <c r="AC78" i="7"/>
  <c r="Z78" i="7"/>
  <c r="V78" i="7"/>
  <c r="R78" i="7"/>
  <c r="N78" i="7"/>
  <c r="J78" i="7"/>
  <c r="F78" i="7"/>
  <c r="CD77" i="7"/>
  <c r="CA77" i="7"/>
  <c r="BW77" i="7"/>
  <c r="BT77" i="7"/>
  <c r="BQ77" i="7"/>
  <c r="BM77" i="7"/>
  <c r="BJ77" i="7"/>
  <c r="BF77" i="7"/>
  <c r="BC77" i="7"/>
  <c r="AY77" i="7"/>
  <c r="AV77" i="7"/>
  <c r="AR77" i="7"/>
  <c r="AN77" i="7"/>
  <c r="AJ77" i="7"/>
  <c r="AG77" i="7"/>
  <c r="AC77" i="7"/>
  <c r="Z77" i="7"/>
  <c r="V77" i="7"/>
  <c r="R77" i="7"/>
  <c r="N77" i="7"/>
  <c r="J77" i="7"/>
  <c r="F77" i="7"/>
  <c r="CD76" i="7"/>
  <c r="CA76" i="7"/>
  <c r="BW76" i="7"/>
  <c r="BT76" i="7"/>
  <c r="BQ76" i="7"/>
  <c r="BM76" i="7"/>
  <c r="BJ76" i="7"/>
  <c r="BF76" i="7"/>
  <c r="BC76" i="7"/>
  <c r="AY76" i="7"/>
  <c r="AV76" i="7"/>
  <c r="AR76" i="7"/>
  <c r="AN76" i="7"/>
  <c r="AJ76" i="7"/>
  <c r="AG76" i="7"/>
  <c r="AC76" i="7"/>
  <c r="Z76" i="7"/>
  <c r="V76" i="7"/>
  <c r="R76" i="7"/>
  <c r="N76" i="7"/>
  <c r="J76" i="7"/>
  <c r="F76" i="7"/>
  <c r="CD75" i="7"/>
  <c r="CA75" i="7"/>
  <c r="BW75" i="7"/>
  <c r="BT75" i="7"/>
  <c r="BQ75" i="7"/>
  <c r="BM75" i="7"/>
  <c r="BJ75" i="7"/>
  <c r="BF75" i="7"/>
  <c r="BC75" i="7"/>
  <c r="AY75" i="7"/>
  <c r="AV75" i="7"/>
  <c r="AR75" i="7"/>
  <c r="AN75" i="7"/>
  <c r="AJ75" i="7"/>
  <c r="AG75" i="7"/>
  <c r="AC75" i="7"/>
  <c r="Z75" i="7"/>
  <c r="V75" i="7"/>
  <c r="R75" i="7"/>
  <c r="N75" i="7"/>
  <c r="J75" i="7"/>
  <c r="F75" i="7"/>
  <c r="CD74" i="7"/>
  <c r="CA74" i="7"/>
  <c r="BW74" i="7"/>
  <c r="BT74" i="7"/>
  <c r="BQ74" i="7"/>
  <c r="BM74" i="7"/>
  <c r="BJ74" i="7"/>
  <c r="BF74" i="7"/>
  <c r="BC74" i="7"/>
  <c r="AY74" i="7"/>
  <c r="AV74" i="7"/>
  <c r="AR74" i="7"/>
  <c r="AN74" i="7"/>
  <c r="AJ74" i="7"/>
  <c r="AG74" i="7"/>
  <c r="AC74" i="7"/>
  <c r="Z74" i="7"/>
  <c r="V74" i="7"/>
  <c r="R74" i="7"/>
  <c r="N74" i="7"/>
  <c r="J74" i="7"/>
  <c r="F74" i="7"/>
  <c r="CD73" i="7"/>
  <c r="CA73" i="7"/>
  <c r="BW73" i="7"/>
  <c r="BT73" i="7"/>
  <c r="BQ73" i="7"/>
  <c r="BM73" i="7"/>
  <c r="BJ73" i="7"/>
  <c r="BF73" i="7"/>
  <c r="BC73" i="7"/>
  <c r="AY73" i="7"/>
  <c r="AV73" i="7"/>
  <c r="AR73" i="7"/>
  <c r="AN73" i="7"/>
  <c r="AJ73" i="7"/>
  <c r="AG73" i="7"/>
  <c r="AC73" i="7"/>
  <c r="Z73" i="7"/>
  <c r="V73" i="7"/>
  <c r="R73" i="7"/>
  <c r="N73" i="7"/>
  <c r="J73" i="7"/>
  <c r="F73" i="7"/>
  <c r="CD72" i="7"/>
  <c r="CA72" i="7"/>
  <c r="BW72" i="7"/>
  <c r="BT72" i="7"/>
  <c r="BQ72" i="7"/>
  <c r="BM72" i="7"/>
  <c r="BJ72" i="7"/>
  <c r="BF72" i="7"/>
  <c r="BC72" i="7"/>
  <c r="AY72" i="7"/>
  <c r="AV72" i="7"/>
  <c r="AR72" i="7"/>
  <c r="AN72" i="7"/>
  <c r="AJ72" i="7"/>
  <c r="AG72" i="7"/>
  <c r="AC72" i="7"/>
  <c r="Z72" i="7"/>
  <c r="V72" i="7"/>
  <c r="R72" i="7"/>
  <c r="N72" i="7"/>
  <c r="J72" i="7"/>
  <c r="F72" i="7"/>
  <c r="CD71" i="7"/>
  <c r="CA71" i="7"/>
  <c r="BW71" i="7"/>
  <c r="BT71" i="7"/>
  <c r="BQ71" i="7"/>
  <c r="BM71" i="7"/>
  <c r="BJ71" i="7"/>
  <c r="BF71" i="7"/>
  <c r="BC71" i="7"/>
  <c r="AY71" i="7"/>
  <c r="AV71" i="7"/>
  <c r="AR71" i="7"/>
  <c r="AN71" i="7"/>
  <c r="AJ71" i="7"/>
  <c r="AG71" i="7"/>
  <c r="AC71" i="7"/>
  <c r="Z71" i="7"/>
  <c r="V71" i="7"/>
  <c r="R71" i="7"/>
  <c r="N71" i="7"/>
  <c r="J71" i="7"/>
  <c r="F71" i="7"/>
  <c r="CD70" i="7"/>
  <c r="CA70" i="7"/>
  <c r="BW70" i="7"/>
  <c r="BT70" i="7"/>
  <c r="BQ70" i="7"/>
  <c r="BM70" i="7"/>
  <c r="BJ70" i="7"/>
  <c r="BF70" i="7"/>
  <c r="BC70" i="7"/>
  <c r="AY70" i="7"/>
  <c r="AV70" i="7"/>
  <c r="AR70" i="7"/>
  <c r="AN70" i="7"/>
  <c r="AJ70" i="7"/>
  <c r="AG70" i="7"/>
  <c r="AC70" i="7"/>
  <c r="Z70" i="7"/>
  <c r="V70" i="7"/>
  <c r="R70" i="7"/>
  <c r="N70" i="7"/>
  <c r="J70" i="7"/>
  <c r="F70" i="7"/>
  <c r="CD69" i="7"/>
  <c r="CA69" i="7"/>
  <c r="BW69" i="7"/>
  <c r="BT69" i="7"/>
  <c r="BQ69" i="7"/>
  <c r="BM69" i="7"/>
  <c r="BJ69" i="7"/>
  <c r="BF69" i="7"/>
  <c r="BC69" i="7"/>
  <c r="AY69" i="7"/>
  <c r="AV69" i="7"/>
  <c r="AR69" i="7"/>
  <c r="AN69" i="7"/>
  <c r="AJ69" i="7"/>
  <c r="AG69" i="7"/>
  <c r="AC69" i="7"/>
  <c r="Z69" i="7"/>
  <c r="V69" i="7"/>
  <c r="R69" i="7"/>
  <c r="N69" i="7"/>
  <c r="J69" i="7"/>
  <c r="F69" i="7"/>
  <c r="CD68" i="7"/>
  <c r="CA68" i="7"/>
  <c r="BW68" i="7"/>
  <c r="BT68" i="7"/>
  <c r="BQ68" i="7"/>
  <c r="BM68" i="7"/>
  <c r="BJ68" i="7"/>
  <c r="BF68" i="7"/>
  <c r="BC68" i="7"/>
  <c r="AY68" i="7"/>
  <c r="AV68" i="7"/>
  <c r="AR68" i="7"/>
  <c r="AN68" i="7"/>
  <c r="AJ68" i="7"/>
  <c r="AG68" i="7"/>
  <c r="AC68" i="7"/>
  <c r="Z68" i="7"/>
  <c r="V68" i="7"/>
  <c r="R68" i="7"/>
  <c r="N68" i="7"/>
  <c r="J68" i="7"/>
  <c r="F68" i="7"/>
  <c r="CD67" i="7"/>
  <c r="CA67" i="7"/>
  <c r="BW67" i="7"/>
  <c r="BT67" i="7"/>
  <c r="BQ67" i="7"/>
  <c r="BM67" i="7"/>
  <c r="BJ67" i="7"/>
  <c r="BF67" i="7"/>
  <c r="BC67" i="7"/>
  <c r="AY67" i="7"/>
  <c r="AV67" i="7"/>
  <c r="AR67" i="7"/>
  <c r="AN67" i="7"/>
  <c r="AJ67" i="7"/>
  <c r="AG67" i="7"/>
  <c r="AC67" i="7"/>
  <c r="Z67" i="7"/>
  <c r="V67" i="7"/>
  <c r="R67" i="7"/>
  <c r="N67" i="7"/>
  <c r="J67" i="7"/>
  <c r="F67" i="7"/>
  <c r="CD66" i="7"/>
  <c r="CA66" i="7"/>
  <c r="BW66" i="7"/>
  <c r="BT66" i="7"/>
  <c r="BQ66" i="7"/>
  <c r="BM66" i="7"/>
  <c r="BJ66" i="7"/>
  <c r="BF66" i="7"/>
  <c r="BC66" i="7"/>
  <c r="AY66" i="7"/>
  <c r="AV66" i="7"/>
  <c r="AR66" i="7"/>
  <c r="AN66" i="7"/>
  <c r="AJ66" i="7"/>
  <c r="AG66" i="7"/>
  <c r="AC66" i="7"/>
  <c r="Z66" i="7"/>
  <c r="V66" i="7"/>
  <c r="R66" i="7"/>
  <c r="N66" i="7"/>
  <c r="J66" i="7"/>
  <c r="F66" i="7"/>
  <c r="CD65" i="7"/>
  <c r="CA65" i="7"/>
  <c r="BW65" i="7"/>
  <c r="BT65" i="7"/>
  <c r="BQ65" i="7"/>
  <c r="BM65" i="7"/>
  <c r="BJ65" i="7"/>
  <c r="BF65" i="7"/>
  <c r="BC65" i="7"/>
  <c r="AY65" i="7"/>
  <c r="AV65" i="7"/>
  <c r="AR65" i="7"/>
  <c r="AN65" i="7"/>
  <c r="AJ65" i="7"/>
  <c r="AG65" i="7"/>
  <c r="AC65" i="7"/>
  <c r="Z65" i="7"/>
  <c r="V65" i="7"/>
  <c r="R65" i="7"/>
  <c r="N65" i="7"/>
  <c r="J65" i="7"/>
  <c r="F65" i="7"/>
  <c r="CD64" i="7"/>
  <c r="CA64" i="7"/>
  <c r="BW64" i="7"/>
  <c r="BT64" i="7"/>
  <c r="BQ64" i="7"/>
  <c r="BM64" i="7"/>
  <c r="BJ64" i="7"/>
  <c r="BF64" i="7"/>
  <c r="BC64" i="7"/>
  <c r="AY64" i="7"/>
  <c r="AV64" i="7"/>
  <c r="AR64" i="7"/>
  <c r="AN64" i="7"/>
  <c r="AJ64" i="7"/>
  <c r="AG64" i="7"/>
  <c r="AC64" i="7"/>
  <c r="Z64" i="7"/>
  <c r="V64" i="7"/>
  <c r="R64" i="7"/>
  <c r="N64" i="7"/>
  <c r="J64" i="7"/>
  <c r="F64" i="7"/>
  <c r="CD63" i="7"/>
  <c r="CA63" i="7"/>
  <c r="BW63" i="7"/>
  <c r="BT63" i="7"/>
  <c r="BQ63" i="7"/>
  <c r="BM63" i="7"/>
  <c r="BJ63" i="7"/>
  <c r="BF63" i="7"/>
  <c r="BC63" i="7"/>
  <c r="AY63" i="7"/>
  <c r="AV63" i="7"/>
  <c r="AR63" i="7"/>
  <c r="AN63" i="7"/>
  <c r="AJ63" i="7"/>
  <c r="AG63" i="7"/>
  <c r="AC63" i="7"/>
  <c r="Z63" i="7"/>
  <c r="V63" i="7"/>
  <c r="R63" i="7"/>
  <c r="N63" i="7"/>
  <c r="J63" i="7"/>
  <c r="F63" i="7"/>
  <c r="CD62" i="7"/>
  <c r="CA62" i="7"/>
  <c r="BW62" i="7"/>
  <c r="BT62" i="7"/>
  <c r="BQ62" i="7"/>
  <c r="BM62" i="7"/>
  <c r="BJ62" i="7"/>
  <c r="BF62" i="7"/>
  <c r="BC62" i="7"/>
  <c r="AY62" i="7"/>
  <c r="AV62" i="7"/>
  <c r="AJ62" i="7"/>
  <c r="AG62" i="7"/>
  <c r="AC62" i="7"/>
  <c r="Z62" i="7"/>
  <c r="V62" i="7"/>
  <c r="R62" i="7"/>
  <c r="N62" i="7"/>
  <c r="CD61" i="7"/>
  <c r="CA61" i="7"/>
  <c r="BW61" i="7"/>
  <c r="BT61" i="7"/>
  <c r="BQ61" i="7"/>
  <c r="BM61" i="7"/>
  <c r="BJ61" i="7"/>
  <c r="BF61" i="7"/>
  <c r="BC61" i="7"/>
  <c r="AY61" i="7"/>
  <c r="AV61" i="7"/>
  <c r="AR61" i="7"/>
  <c r="AN61" i="7"/>
  <c r="AJ61" i="7"/>
  <c r="AG61" i="7"/>
  <c r="AC61" i="7"/>
  <c r="Z61" i="7"/>
  <c r="V61" i="7"/>
  <c r="R61" i="7"/>
  <c r="N61" i="7"/>
  <c r="J61" i="7"/>
  <c r="F61" i="7"/>
  <c r="CD60" i="7"/>
  <c r="CA60" i="7"/>
  <c r="BW60" i="7"/>
  <c r="BT60" i="7"/>
  <c r="BQ60" i="7"/>
  <c r="BM60" i="7"/>
  <c r="BJ60" i="7"/>
  <c r="BF60" i="7"/>
  <c r="BC60" i="7"/>
  <c r="AY60" i="7"/>
  <c r="AV60" i="7"/>
  <c r="AR60" i="7"/>
  <c r="AN60" i="7"/>
  <c r="AJ60" i="7"/>
  <c r="AG60" i="7"/>
  <c r="AC60" i="7"/>
  <c r="Z60" i="7"/>
  <c r="V60" i="7"/>
  <c r="R60" i="7"/>
  <c r="N60" i="7"/>
  <c r="J60" i="7"/>
  <c r="F60" i="7"/>
  <c r="CD59" i="7"/>
  <c r="CA59" i="7"/>
  <c r="BW59" i="7"/>
  <c r="BT59" i="7"/>
  <c r="BQ59" i="7"/>
  <c r="BM59" i="7"/>
  <c r="BJ59" i="7"/>
  <c r="BF59" i="7"/>
  <c r="BC59" i="7"/>
  <c r="AY59" i="7"/>
  <c r="AV59" i="7"/>
  <c r="AR59" i="7"/>
  <c r="AN59" i="7"/>
  <c r="AJ59" i="7"/>
  <c r="AG59" i="7"/>
  <c r="AC59" i="7"/>
  <c r="Z59" i="7"/>
  <c r="V59" i="7"/>
  <c r="R59" i="7"/>
  <c r="N59" i="7"/>
  <c r="J59" i="7"/>
  <c r="F59" i="7"/>
  <c r="CD58" i="7"/>
  <c r="CA58" i="7"/>
  <c r="BW58" i="7"/>
  <c r="BT58" i="7"/>
  <c r="BQ58" i="7"/>
  <c r="BM58" i="7"/>
  <c r="BJ58" i="7"/>
  <c r="BF58" i="7"/>
  <c r="BC58" i="7"/>
  <c r="AY58" i="7"/>
  <c r="AV58" i="7"/>
  <c r="AR58" i="7"/>
  <c r="AN58" i="7"/>
  <c r="AJ58" i="7"/>
  <c r="AG58" i="7"/>
  <c r="AC58" i="7"/>
  <c r="Z58" i="7"/>
  <c r="V58" i="7"/>
  <c r="R58" i="7"/>
  <c r="N58" i="7"/>
  <c r="J58" i="7"/>
  <c r="F58" i="7"/>
  <c r="CD57" i="7"/>
  <c r="CA57" i="7"/>
  <c r="BW57" i="7"/>
  <c r="BT57" i="7"/>
  <c r="BQ57" i="7"/>
  <c r="BM57" i="7"/>
  <c r="BJ57" i="7"/>
  <c r="BF57" i="7"/>
  <c r="BC57" i="7"/>
  <c r="AY57" i="7"/>
  <c r="AV57" i="7"/>
  <c r="AR57" i="7"/>
  <c r="AN57" i="7"/>
  <c r="AJ57" i="7"/>
  <c r="AG57" i="7"/>
  <c r="AC57" i="7"/>
  <c r="Z57" i="7"/>
  <c r="V57" i="7"/>
  <c r="R57" i="7"/>
  <c r="N57" i="7"/>
  <c r="J57" i="7"/>
  <c r="F57" i="7"/>
  <c r="CD56" i="7"/>
  <c r="CA56" i="7"/>
  <c r="BW56" i="7"/>
  <c r="BT56" i="7"/>
  <c r="BQ56" i="7"/>
  <c r="BM56" i="7"/>
  <c r="BJ56" i="7"/>
  <c r="BF56" i="7"/>
  <c r="BC56" i="7"/>
  <c r="AY56" i="7"/>
  <c r="AV56" i="7"/>
  <c r="AR56" i="7"/>
  <c r="AN56" i="7"/>
  <c r="AJ56" i="7"/>
  <c r="AG56" i="7"/>
  <c r="AC56" i="7"/>
  <c r="Z56" i="7"/>
  <c r="V56" i="7"/>
  <c r="R56" i="7"/>
  <c r="N56" i="7"/>
  <c r="J56" i="7"/>
  <c r="F56" i="7"/>
  <c r="CD55" i="7"/>
  <c r="CA55" i="7"/>
  <c r="BW55" i="7"/>
  <c r="BT55" i="7"/>
  <c r="BQ55" i="7"/>
  <c r="BM55" i="7"/>
  <c r="BJ55" i="7"/>
  <c r="BF55" i="7"/>
  <c r="BC55" i="7"/>
  <c r="AY55" i="7"/>
  <c r="AV55" i="7"/>
  <c r="AR55" i="7"/>
  <c r="AN55" i="7"/>
  <c r="AJ55" i="7"/>
  <c r="AG55" i="7"/>
  <c r="AC55" i="7"/>
  <c r="Z55" i="7"/>
  <c r="V55" i="7"/>
  <c r="R55" i="7"/>
  <c r="N55" i="7"/>
  <c r="J55" i="7"/>
  <c r="F55" i="7"/>
  <c r="CD54" i="7"/>
  <c r="CA54" i="7"/>
  <c r="BW54" i="7"/>
  <c r="BT54" i="7"/>
  <c r="BQ54" i="7"/>
  <c r="BM54" i="7"/>
  <c r="BJ54" i="7"/>
  <c r="BF54" i="7"/>
  <c r="BC54" i="7"/>
  <c r="AY54" i="7"/>
  <c r="AV54" i="7"/>
  <c r="AR54" i="7"/>
  <c r="AN54" i="7"/>
  <c r="AJ54" i="7"/>
  <c r="AG54" i="7"/>
  <c r="AC54" i="7"/>
  <c r="Z54" i="7"/>
  <c r="V54" i="7"/>
  <c r="R54" i="7"/>
  <c r="N54" i="7"/>
  <c r="J54" i="7"/>
  <c r="F54" i="7"/>
  <c r="CD53" i="7"/>
  <c r="CA53" i="7"/>
  <c r="BW53" i="7"/>
  <c r="BT53" i="7"/>
  <c r="BQ53" i="7"/>
  <c r="BM53" i="7"/>
  <c r="BJ53" i="7"/>
  <c r="BF53" i="7"/>
  <c r="BC53" i="7"/>
  <c r="AY53" i="7"/>
  <c r="AV53" i="7"/>
  <c r="AR53" i="7"/>
  <c r="AN53" i="7"/>
  <c r="AJ53" i="7"/>
  <c r="AG53" i="7"/>
  <c r="AC53" i="7"/>
  <c r="Z53" i="7"/>
  <c r="V53" i="7"/>
  <c r="R53" i="7"/>
  <c r="N53" i="7"/>
  <c r="J53" i="7"/>
  <c r="F53" i="7"/>
  <c r="CD52" i="7"/>
  <c r="CA52" i="7"/>
  <c r="BW52" i="7"/>
  <c r="BT52" i="7"/>
  <c r="BQ52" i="7"/>
  <c r="BM52" i="7"/>
  <c r="BJ52" i="7"/>
  <c r="BF52" i="7"/>
  <c r="BC52" i="7"/>
  <c r="AY52" i="7"/>
  <c r="AV52" i="7"/>
  <c r="AR52" i="7"/>
  <c r="AN52" i="7"/>
  <c r="AJ52" i="7"/>
  <c r="AG52" i="7"/>
  <c r="AC52" i="7"/>
  <c r="Z52" i="7"/>
  <c r="V52" i="7"/>
  <c r="R52" i="7"/>
  <c r="N52" i="7"/>
  <c r="J52" i="7"/>
  <c r="F52" i="7"/>
  <c r="CD51" i="7"/>
  <c r="CA51" i="7"/>
  <c r="BW51" i="7"/>
  <c r="BT51" i="7"/>
  <c r="BQ51" i="7"/>
  <c r="BM51" i="7"/>
  <c r="BJ51" i="7"/>
  <c r="BF51" i="7"/>
  <c r="BC51" i="7"/>
  <c r="AY51" i="7"/>
  <c r="AV51" i="7"/>
  <c r="AR51" i="7"/>
  <c r="AN51" i="7"/>
  <c r="AJ51" i="7"/>
  <c r="AG51" i="7"/>
  <c r="AC51" i="7"/>
  <c r="Z51" i="7"/>
  <c r="V51" i="7"/>
  <c r="R51" i="7"/>
  <c r="N51" i="7"/>
  <c r="J51" i="7"/>
  <c r="F51" i="7"/>
  <c r="CD50" i="7"/>
  <c r="CA50" i="7"/>
  <c r="BW50" i="7"/>
  <c r="BT50" i="7"/>
  <c r="BQ50" i="7"/>
  <c r="BM50" i="7"/>
  <c r="BJ50" i="7"/>
  <c r="BF50" i="7"/>
  <c r="BC50" i="7"/>
  <c r="AY50" i="7"/>
  <c r="AV50" i="7"/>
  <c r="AR50" i="7"/>
  <c r="AN50" i="7"/>
  <c r="AJ50" i="7"/>
  <c r="AG50" i="7"/>
  <c r="AC50" i="7"/>
  <c r="Z50" i="7"/>
  <c r="V50" i="7"/>
  <c r="R50" i="7"/>
  <c r="N50" i="7"/>
  <c r="J50" i="7"/>
  <c r="F50" i="7"/>
  <c r="CD49" i="7"/>
  <c r="CA49" i="7"/>
  <c r="BW49" i="7"/>
  <c r="BT49" i="7"/>
  <c r="BQ49" i="7"/>
  <c r="BM49" i="7"/>
  <c r="BJ49" i="7"/>
  <c r="BF49" i="7"/>
  <c r="BC49" i="7"/>
  <c r="AY49" i="7"/>
  <c r="AV49" i="7"/>
  <c r="AR49" i="7"/>
  <c r="AN49" i="7"/>
  <c r="AJ49" i="7"/>
  <c r="AG49" i="7"/>
  <c r="AC49" i="7"/>
  <c r="Z49" i="7"/>
  <c r="V49" i="7"/>
  <c r="R49" i="7"/>
  <c r="N49" i="7"/>
  <c r="J49" i="7"/>
  <c r="F49" i="7"/>
  <c r="CD48" i="7"/>
  <c r="CA48" i="7"/>
  <c r="BW48" i="7"/>
  <c r="BT48" i="7"/>
  <c r="BQ48" i="7"/>
  <c r="BM48" i="7"/>
  <c r="BJ48" i="7"/>
  <c r="BF48" i="7"/>
  <c r="BC48" i="7"/>
  <c r="AY48" i="7"/>
  <c r="AV48" i="7"/>
  <c r="AR48" i="7"/>
  <c r="AN48" i="7"/>
  <c r="AJ48" i="7"/>
  <c r="AG48" i="7"/>
  <c r="AC48" i="7"/>
  <c r="Z48" i="7"/>
  <c r="V48" i="7"/>
  <c r="R48" i="7"/>
  <c r="N48" i="7"/>
  <c r="J48" i="7"/>
  <c r="F48" i="7"/>
  <c r="CD47" i="7"/>
  <c r="CA47" i="7"/>
  <c r="BW47" i="7"/>
  <c r="BT47" i="7"/>
  <c r="BQ47" i="7"/>
  <c r="BM47" i="7"/>
  <c r="BJ47" i="7"/>
  <c r="BF47" i="7"/>
  <c r="BC47" i="7"/>
  <c r="AY47" i="7"/>
  <c r="AV47" i="7"/>
  <c r="AR47" i="7"/>
  <c r="AN47" i="7"/>
  <c r="AJ47" i="7"/>
  <c r="AG47" i="7"/>
  <c r="AC47" i="7"/>
  <c r="Z47" i="7"/>
  <c r="V47" i="7"/>
  <c r="R47" i="7"/>
  <c r="N47" i="7"/>
  <c r="J47" i="7"/>
  <c r="F47" i="7"/>
  <c r="CD46" i="7"/>
  <c r="CA46" i="7"/>
  <c r="BW46" i="7"/>
  <c r="BT46" i="7"/>
  <c r="BQ46" i="7"/>
  <c r="BM46" i="7"/>
  <c r="BJ46" i="7"/>
  <c r="BF46" i="7"/>
  <c r="BC46" i="7"/>
  <c r="AY46" i="7"/>
  <c r="AV46" i="7"/>
  <c r="AR46" i="7"/>
  <c r="AN46" i="7"/>
  <c r="AJ46" i="7"/>
  <c r="AG46" i="7"/>
  <c r="AC46" i="7"/>
  <c r="Z46" i="7"/>
  <c r="V46" i="7"/>
  <c r="R46" i="7"/>
  <c r="N46" i="7"/>
  <c r="J46" i="7"/>
  <c r="F46" i="7"/>
  <c r="CD45" i="7"/>
  <c r="CA45" i="7"/>
  <c r="BW45" i="7"/>
  <c r="BT45" i="7"/>
  <c r="BQ45" i="7"/>
  <c r="BM45" i="7"/>
  <c r="BJ45" i="7"/>
  <c r="BF45" i="7"/>
  <c r="BC45" i="7"/>
  <c r="AY45" i="7"/>
  <c r="AV45" i="7"/>
  <c r="AR45" i="7"/>
  <c r="AN45" i="7"/>
  <c r="AJ45" i="7"/>
  <c r="AG45" i="7"/>
  <c r="AC45" i="7"/>
  <c r="Z45" i="7"/>
  <c r="V45" i="7"/>
  <c r="R45" i="7"/>
  <c r="N45" i="7"/>
  <c r="J45" i="7"/>
  <c r="F45" i="7"/>
  <c r="CD44" i="7"/>
  <c r="CA44" i="7"/>
  <c r="BW44" i="7"/>
  <c r="BT44" i="7"/>
  <c r="BQ44" i="7"/>
  <c r="BM44" i="7"/>
  <c r="BJ44" i="7"/>
  <c r="BF44" i="7"/>
  <c r="BC44" i="7"/>
  <c r="AY44" i="7"/>
  <c r="AV44" i="7"/>
  <c r="AR44" i="7"/>
  <c r="AN44" i="7"/>
  <c r="AJ44" i="7"/>
  <c r="AG44" i="7"/>
  <c r="AC44" i="7"/>
  <c r="Z44" i="7"/>
  <c r="V44" i="7"/>
  <c r="R44" i="7"/>
  <c r="N44" i="7"/>
  <c r="J44" i="7"/>
  <c r="F44" i="7"/>
  <c r="CD43" i="7"/>
  <c r="CA43" i="7"/>
  <c r="BW43" i="7"/>
  <c r="BT43" i="7"/>
  <c r="BQ43" i="7"/>
  <c r="BM43" i="7"/>
  <c r="BJ43" i="7"/>
  <c r="BF43" i="7"/>
  <c r="BC43" i="7"/>
  <c r="AY43" i="7"/>
  <c r="AV43" i="7"/>
  <c r="AR43" i="7"/>
  <c r="AN43" i="7"/>
  <c r="AJ43" i="7"/>
  <c r="AG43" i="7"/>
  <c r="AC43" i="7"/>
  <c r="Z43" i="7"/>
  <c r="V43" i="7"/>
  <c r="R43" i="7"/>
  <c r="N43" i="7"/>
  <c r="J43" i="7"/>
  <c r="F43" i="7"/>
  <c r="CD42" i="7"/>
  <c r="CA42" i="7"/>
  <c r="BW42" i="7"/>
  <c r="BT42" i="7"/>
  <c r="BQ42" i="7"/>
  <c r="BM42" i="7"/>
  <c r="BJ42" i="7"/>
  <c r="BF42" i="7"/>
  <c r="BC42" i="7"/>
  <c r="AY42" i="7"/>
  <c r="AV42" i="7"/>
  <c r="AR42" i="7"/>
  <c r="AN42" i="7"/>
  <c r="AJ42" i="7"/>
  <c r="AG42" i="7"/>
  <c r="AC42" i="7"/>
  <c r="Z42" i="7"/>
  <c r="V42" i="7"/>
  <c r="R42" i="7"/>
  <c r="N42" i="7"/>
  <c r="J42" i="7"/>
  <c r="F42" i="7"/>
  <c r="CD41" i="7"/>
  <c r="CA41" i="7"/>
  <c r="BW41" i="7"/>
  <c r="BT41" i="7"/>
  <c r="BQ41" i="7"/>
  <c r="BM41" i="7"/>
  <c r="BJ41" i="7"/>
  <c r="BF41" i="7"/>
  <c r="BC41" i="7"/>
  <c r="AY41" i="7"/>
  <c r="AV41" i="7"/>
  <c r="AR41" i="7"/>
  <c r="AN41" i="7"/>
  <c r="AJ41" i="7"/>
  <c r="AG41" i="7"/>
  <c r="AC41" i="7"/>
  <c r="Z41" i="7"/>
  <c r="V41" i="7"/>
  <c r="R41" i="7"/>
  <c r="N41" i="7"/>
  <c r="J41" i="7"/>
  <c r="F41" i="7"/>
  <c r="CD40" i="7"/>
  <c r="CA40" i="7"/>
  <c r="BW40" i="7"/>
  <c r="BT40" i="7"/>
  <c r="BQ40" i="7"/>
  <c r="BM40" i="7"/>
  <c r="BJ40" i="7"/>
  <c r="BF40" i="7"/>
  <c r="BC40" i="7"/>
  <c r="AY40" i="7"/>
  <c r="AV40" i="7"/>
  <c r="AR40" i="7"/>
  <c r="AN40" i="7"/>
  <c r="AJ40" i="7"/>
  <c r="AG40" i="7"/>
  <c r="AC40" i="7"/>
  <c r="Z40" i="7"/>
  <c r="V40" i="7"/>
  <c r="R40" i="7"/>
  <c r="N40" i="7"/>
  <c r="J40" i="7"/>
  <c r="F40" i="7"/>
  <c r="CD39" i="7"/>
  <c r="CA39" i="7"/>
  <c r="BW39" i="7"/>
  <c r="BT39" i="7"/>
  <c r="BQ39" i="7"/>
  <c r="BM39" i="7"/>
  <c r="BJ39" i="7"/>
  <c r="BF39" i="7"/>
  <c r="BC39" i="7"/>
  <c r="AY39" i="7"/>
  <c r="AV39" i="7"/>
  <c r="AR39" i="7"/>
  <c r="AN39" i="7"/>
  <c r="AJ39" i="7"/>
  <c r="AG39" i="7"/>
  <c r="AC39" i="7"/>
  <c r="Z39" i="7"/>
  <c r="V39" i="7"/>
  <c r="R39" i="7"/>
  <c r="N39" i="7"/>
  <c r="J39" i="7"/>
  <c r="F39" i="7"/>
  <c r="CD38" i="7"/>
  <c r="CA38" i="7"/>
  <c r="BW38" i="7"/>
  <c r="BT38" i="7"/>
  <c r="BQ38" i="7"/>
  <c r="BM38" i="7"/>
  <c r="BJ38" i="7"/>
  <c r="BF38" i="7"/>
  <c r="BC38" i="7"/>
  <c r="AY38" i="7"/>
  <c r="AV38" i="7"/>
  <c r="AR38" i="7"/>
  <c r="AN38" i="7"/>
  <c r="AJ38" i="7"/>
  <c r="AG38" i="7"/>
  <c r="AC38" i="7"/>
  <c r="Z38" i="7"/>
  <c r="V38" i="7"/>
  <c r="R38" i="7"/>
  <c r="N38" i="7"/>
  <c r="J38" i="7"/>
  <c r="F38" i="7"/>
  <c r="CD37" i="7"/>
  <c r="CA37" i="7"/>
  <c r="BW37" i="7"/>
  <c r="BT37" i="7"/>
  <c r="BQ37" i="7"/>
  <c r="BM37" i="7"/>
  <c r="BJ37" i="7"/>
  <c r="BF37" i="7"/>
  <c r="BC37" i="7"/>
  <c r="AY37" i="7"/>
  <c r="AV37" i="7"/>
  <c r="AR37" i="7"/>
  <c r="AN37" i="7"/>
  <c r="AJ37" i="7"/>
  <c r="AG37" i="7"/>
  <c r="AC37" i="7"/>
  <c r="Z37" i="7"/>
  <c r="V37" i="7"/>
  <c r="R37" i="7"/>
  <c r="N37" i="7"/>
  <c r="J37" i="7"/>
  <c r="F37" i="7"/>
  <c r="CD36" i="7"/>
  <c r="CA36" i="7"/>
  <c r="BW36" i="7"/>
  <c r="BT36" i="7"/>
  <c r="BQ36" i="7"/>
  <c r="BM36" i="7"/>
  <c r="BJ36" i="7"/>
  <c r="BF36" i="7"/>
  <c r="BC36" i="7"/>
  <c r="AY36" i="7"/>
  <c r="AV36" i="7"/>
  <c r="AR36" i="7"/>
  <c r="AN36" i="7"/>
  <c r="AJ36" i="7"/>
  <c r="AG36" i="7"/>
  <c r="AC36" i="7"/>
  <c r="Z36" i="7"/>
  <c r="V36" i="7"/>
  <c r="R36" i="7"/>
  <c r="N36" i="7"/>
  <c r="J36" i="7"/>
  <c r="F36" i="7"/>
  <c r="CD35" i="7"/>
  <c r="CA35" i="7"/>
  <c r="BW35" i="7"/>
  <c r="BT35" i="7"/>
  <c r="BQ35" i="7"/>
  <c r="BM35" i="7"/>
  <c r="BJ35" i="7"/>
  <c r="BF35" i="7"/>
  <c r="BC35" i="7"/>
  <c r="AY35" i="7"/>
  <c r="AV35" i="7"/>
  <c r="AR35" i="7"/>
  <c r="AN35" i="7"/>
  <c r="AJ35" i="7"/>
  <c r="AG35" i="7"/>
  <c r="AC35" i="7"/>
  <c r="Z35" i="7"/>
  <c r="V35" i="7"/>
  <c r="R35" i="7"/>
  <c r="N35" i="7"/>
  <c r="J35" i="7"/>
  <c r="F35" i="7"/>
  <c r="CD34" i="7"/>
  <c r="CA34" i="7"/>
  <c r="BW34" i="7"/>
  <c r="BT34" i="7"/>
  <c r="BQ34" i="7"/>
  <c r="BM34" i="7"/>
  <c r="BJ34" i="7"/>
  <c r="BF34" i="7"/>
  <c r="BC34" i="7"/>
  <c r="AY34" i="7"/>
  <c r="AV34" i="7"/>
  <c r="AR34" i="7"/>
  <c r="AN34" i="7"/>
  <c r="AJ34" i="7"/>
  <c r="AG34" i="7"/>
  <c r="AC34" i="7"/>
  <c r="Z34" i="7"/>
  <c r="V34" i="7"/>
  <c r="R34" i="7"/>
  <c r="N34" i="7"/>
  <c r="J34" i="7"/>
  <c r="F34" i="7"/>
  <c r="CD33" i="7"/>
  <c r="CA33" i="7"/>
  <c r="BW33" i="7"/>
  <c r="BT33" i="7"/>
  <c r="BQ33" i="7"/>
  <c r="BM33" i="7"/>
  <c r="BJ33" i="7"/>
  <c r="BF33" i="7"/>
  <c r="BC33" i="7"/>
  <c r="AY33" i="7"/>
  <c r="AV33" i="7"/>
  <c r="AR33" i="7"/>
  <c r="AN33" i="7"/>
  <c r="AJ33" i="7"/>
  <c r="AG33" i="7"/>
  <c r="AC33" i="7"/>
  <c r="Z33" i="7"/>
  <c r="V33" i="7"/>
  <c r="R33" i="7"/>
  <c r="N33" i="7"/>
  <c r="J33" i="7"/>
  <c r="F33" i="7"/>
  <c r="CD32" i="7"/>
  <c r="CA32" i="7"/>
  <c r="BW32" i="7"/>
  <c r="BT32" i="7"/>
  <c r="BQ32" i="7"/>
  <c r="BM32" i="7"/>
  <c r="BJ32" i="7"/>
  <c r="BF32" i="7"/>
  <c r="BC32" i="7"/>
  <c r="AY32" i="7"/>
  <c r="AV32" i="7"/>
  <c r="AR32" i="7"/>
  <c r="AN32" i="7"/>
  <c r="AJ32" i="7"/>
  <c r="AG32" i="7"/>
  <c r="AC32" i="7"/>
  <c r="Z32" i="7"/>
  <c r="V32" i="7"/>
  <c r="R32" i="7"/>
  <c r="N32" i="7"/>
  <c r="J32" i="7"/>
  <c r="F32" i="7"/>
  <c r="CD31" i="7"/>
  <c r="CA31" i="7"/>
  <c r="BW31" i="7"/>
  <c r="BT31" i="7"/>
  <c r="BQ31" i="7"/>
  <c r="BM31" i="7"/>
  <c r="BJ31" i="7"/>
  <c r="BF31" i="7"/>
  <c r="BC31" i="7"/>
  <c r="AY31" i="7"/>
  <c r="AV31" i="7"/>
  <c r="AR31" i="7"/>
  <c r="AN31" i="7"/>
  <c r="AJ31" i="7"/>
  <c r="AG31" i="7"/>
  <c r="AC31" i="7"/>
  <c r="Z31" i="7"/>
  <c r="V31" i="7"/>
  <c r="R31" i="7"/>
  <c r="N31" i="7"/>
  <c r="J31" i="7"/>
  <c r="F31" i="7"/>
  <c r="CD30" i="7"/>
  <c r="CA30" i="7"/>
  <c r="BW30" i="7"/>
  <c r="BT30" i="7"/>
  <c r="BQ30" i="7"/>
  <c r="BM30" i="7"/>
  <c r="BJ30" i="7"/>
  <c r="BF30" i="7"/>
  <c r="BC30" i="7"/>
  <c r="AY30" i="7"/>
  <c r="AV30" i="7"/>
  <c r="AR30" i="7"/>
  <c r="AN30" i="7"/>
  <c r="AJ30" i="7"/>
  <c r="AG30" i="7"/>
  <c r="AC30" i="7"/>
  <c r="Z30" i="7"/>
  <c r="V30" i="7"/>
  <c r="R30" i="7"/>
  <c r="N30" i="7"/>
  <c r="J30" i="7"/>
  <c r="F30" i="7"/>
  <c r="CD29" i="7"/>
  <c r="CA29" i="7"/>
  <c r="BW29" i="7"/>
  <c r="BT29" i="7"/>
  <c r="BQ29" i="7"/>
  <c r="BM29" i="7"/>
  <c r="BJ29" i="7"/>
  <c r="BF29" i="7"/>
  <c r="BC29" i="7"/>
  <c r="AY29" i="7"/>
  <c r="AV29" i="7"/>
  <c r="AR29" i="7"/>
  <c r="AN29" i="7"/>
  <c r="AJ29" i="7"/>
  <c r="AG29" i="7"/>
  <c r="AC29" i="7"/>
  <c r="Z29" i="7"/>
  <c r="V29" i="7"/>
  <c r="R29" i="7"/>
  <c r="N29" i="7"/>
  <c r="J29" i="7"/>
  <c r="F29" i="7"/>
  <c r="CD28" i="7"/>
  <c r="CA28" i="7"/>
  <c r="BW28" i="7"/>
  <c r="BT28" i="7"/>
  <c r="BQ28" i="7"/>
  <c r="BM28" i="7"/>
  <c r="BJ28" i="7"/>
  <c r="BF28" i="7"/>
  <c r="BC28" i="7"/>
  <c r="AY28" i="7"/>
  <c r="AV28" i="7"/>
  <c r="AR28" i="7"/>
  <c r="AN28" i="7"/>
  <c r="AJ28" i="7"/>
  <c r="AG28" i="7"/>
  <c r="AC28" i="7"/>
  <c r="Z28" i="7"/>
  <c r="V28" i="7"/>
  <c r="R28" i="7"/>
  <c r="N28" i="7"/>
  <c r="J28" i="7"/>
  <c r="F28" i="7"/>
  <c r="CD27" i="7"/>
  <c r="CA27" i="7"/>
  <c r="BW27" i="7"/>
  <c r="BT27" i="7"/>
  <c r="BQ27" i="7"/>
  <c r="BM27" i="7"/>
  <c r="BJ27" i="7"/>
  <c r="BF27" i="7"/>
  <c r="BC27" i="7"/>
  <c r="AJ27" i="7"/>
  <c r="AG27" i="7"/>
  <c r="AC27" i="7"/>
  <c r="Z27" i="7"/>
  <c r="V27" i="7"/>
  <c r="R27" i="7"/>
  <c r="N27" i="7"/>
  <c r="J27" i="7"/>
  <c r="F27" i="7"/>
  <c r="CD26" i="7"/>
  <c r="CA26" i="7"/>
  <c r="BW26" i="7"/>
  <c r="BT26" i="7"/>
  <c r="BQ26" i="7"/>
  <c r="BM26" i="7"/>
  <c r="BJ26" i="7"/>
  <c r="BF26" i="7"/>
  <c r="BC26" i="7"/>
  <c r="AJ26" i="7"/>
  <c r="AG26" i="7"/>
  <c r="AC26" i="7"/>
  <c r="Z26" i="7"/>
  <c r="V26" i="7"/>
  <c r="R26" i="7"/>
  <c r="N26" i="7"/>
  <c r="J26" i="7"/>
  <c r="F26" i="7"/>
  <c r="CD25" i="7"/>
  <c r="CA25" i="7"/>
  <c r="BW25" i="7"/>
  <c r="BT25" i="7"/>
  <c r="BQ25" i="7"/>
  <c r="BM25" i="7"/>
  <c r="BJ25" i="7"/>
  <c r="BF25" i="7"/>
  <c r="BC25" i="7"/>
  <c r="AJ25" i="7"/>
  <c r="AG25" i="7"/>
  <c r="AC25" i="7"/>
  <c r="Z25" i="7"/>
  <c r="V25" i="7"/>
  <c r="R25" i="7"/>
  <c r="N25" i="7"/>
  <c r="J25" i="7"/>
  <c r="F25" i="7"/>
  <c r="CD24" i="7"/>
  <c r="CA24" i="7"/>
  <c r="BW24" i="7"/>
  <c r="BT24" i="7"/>
  <c r="BQ24" i="7"/>
  <c r="BM24" i="7"/>
  <c r="BJ24" i="7"/>
  <c r="BF24" i="7"/>
  <c r="BC24" i="7"/>
  <c r="AJ24" i="7"/>
  <c r="AG24" i="7"/>
  <c r="AC24" i="7"/>
  <c r="Z24" i="7"/>
  <c r="V24" i="7"/>
  <c r="R24" i="7"/>
  <c r="N24" i="7"/>
  <c r="J24" i="7"/>
  <c r="F24" i="7"/>
  <c r="CD23" i="7"/>
  <c r="CA23" i="7"/>
  <c r="BW23" i="7"/>
  <c r="BT23" i="7"/>
  <c r="BQ23" i="7"/>
  <c r="BM23" i="7"/>
  <c r="BJ23" i="7"/>
  <c r="AY23" i="7"/>
  <c r="AV23" i="7"/>
  <c r="AR23" i="7"/>
  <c r="AN23" i="7"/>
  <c r="R23" i="7"/>
  <c r="J23" i="7"/>
  <c r="F23" i="7"/>
  <c r="CD22" i="7"/>
  <c r="CA22" i="7"/>
  <c r="BW22" i="7"/>
  <c r="BT22" i="7"/>
  <c r="BQ22" i="7"/>
  <c r="BM22" i="7"/>
  <c r="BJ22" i="7"/>
  <c r="BF22" i="7"/>
  <c r="BC22" i="7"/>
  <c r="AY22" i="7"/>
  <c r="AV22" i="7"/>
  <c r="AR22" i="7"/>
  <c r="AN22" i="7"/>
  <c r="AJ22" i="7"/>
  <c r="AG22" i="7"/>
  <c r="AC22" i="7"/>
  <c r="Z22" i="7"/>
  <c r="V22" i="7"/>
  <c r="R22" i="7"/>
  <c r="N22" i="7"/>
  <c r="J22" i="7"/>
  <c r="F22" i="7"/>
  <c r="CD21" i="7"/>
  <c r="CA21" i="7"/>
  <c r="BW21" i="7"/>
  <c r="BT21" i="7"/>
  <c r="BQ21" i="7"/>
  <c r="BM21" i="7"/>
  <c r="BJ21" i="7"/>
  <c r="BF21" i="7"/>
  <c r="BC21" i="7"/>
  <c r="AY21" i="7"/>
  <c r="AV21" i="7"/>
  <c r="AR21" i="7"/>
  <c r="AN21" i="7"/>
  <c r="AJ21" i="7"/>
  <c r="AG21" i="7"/>
  <c r="AC21" i="7"/>
  <c r="Z21" i="7"/>
  <c r="V21" i="7"/>
  <c r="R21" i="7"/>
  <c r="N21" i="7"/>
  <c r="J21" i="7"/>
  <c r="F21" i="7"/>
  <c r="CD20" i="7"/>
  <c r="CA20" i="7"/>
  <c r="BW20" i="7"/>
  <c r="BT20" i="7"/>
  <c r="BQ20" i="7"/>
  <c r="BM20" i="7"/>
  <c r="BJ20" i="7"/>
  <c r="BF20" i="7"/>
  <c r="BC20" i="7"/>
  <c r="AY20" i="7"/>
  <c r="AV20" i="7"/>
  <c r="AR20" i="7"/>
  <c r="AN20" i="7"/>
  <c r="AJ20" i="7"/>
  <c r="AG20" i="7"/>
  <c r="AC20" i="7"/>
  <c r="Z20" i="7"/>
  <c r="V20" i="7"/>
  <c r="R20" i="7"/>
  <c r="N20" i="7"/>
  <c r="J20" i="7"/>
  <c r="F20" i="7"/>
  <c r="CD19" i="7"/>
  <c r="CA19" i="7"/>
  <c r="BW19" i="7"/>
  <c r="BT19" i="7"/>
  <c r="BQ19" i="7"/>
  <c r="BM19" i="7"/>
  <c r="BJ19" i="7"/>
  <c r="BF19" i="7"/>
  <c r="BC19" i="7"/>
  <c r="AY19" i="7"/>
  <c r="AV19" i="7"/>
  <c r="AR19" i="7"/>
  <c r="AN19" i="7"/>
  <c r="AJ19" i="7"/>
  <c r="AG19" i="7"/>
  <c r="AC19" i="7"/>
  <c r="Z19" i="7"/>
  <c r="V19" i="7"/>
  <c r="R19" i="7"/>
  <c r="N19" i="7"/>
  <c r="J19" i="7"/>
  <c r="F19" i="7"/>
  <c r="CD18" i="7"/>
  <c r="CA18" i="7"/>
  <c r="BW18" i="7"/>
  <c r="BT18" i="7"/>
  <c r="BQ18" i="7"/>
  <c r="BM18" i="7"/>
  <c r="BJ18" i="7"/>
  <c r="BF18" i="7"/>
  <c r="BC18" i="7"/>
  <c r="AY18" i="7"/>
  <c r="AV18" i="7"/>
  <c r="AR18" i="7"/>
  <c r="AN18" i="7"/>
  <c r="AJ18" i="7"/>
  <c r="AG18" i="7"/>
  <c r="AC18" i="7"/>
  <c r="Z18" i="7"/>
  <c r="V18" i="7"/>
  <c r="R18" i="7"/>
  <c r="N18" i="7"/>
  <c r="J18" i="7"/>
  <c r="F18" i="7"/>
  <c r="CD17" i="7"/>
  <c r="CA17" i="7"/>
  <c r="BW17" i="7"/>
  <c r="BT17" i="7"/>
  <c r="BQ17" i="7"/>
  <c r="BM17" i="7"/>
  <c r="BJ17" i="7"/>
  <c r="BF17" i="7"/>
  <c r="BC17" i="7"/>
  <c r="AY17" i="7"/>
  <c r="AV17" i="7"/>
  <c r="AR17" i="7"/>
  <c r="AN17" i="7"/>
  <c r="AJ17" i="7"/>
  <c r="AG17" i="7"/>
  <c r="AC17" i="7"/>
  <c r="Z17" i="7"/>
  <c r="V17" i="7"/>
  <c r="R17" i="7"/>
  <c r="N17" i="7"/>
  <c r="J17" i="7"/>
  <c r="F17" i="7"/>
  <c r="CD16" i="7"/>
  <c r="CA16" i="7"/>
  <c r="BW16" i="7"/>
  <c r="BT16" i="7"/>
  <c r="BQ16" i="7"/>
  <c r="BM16" i="7"/>
  <c r="BJ16" i="7"/>
  <c r="BF16" i="7"/>
  <c r="BC16" i="7"/>
  <c r="AY16" i="7"/>
  <c r="AV16" i="7"/>
  <c r="AR16" i="7"/>
  <c r="AN16" i="7"/>
  <c r="AJ16" i="7"/>
  <c r="AG16" i="7"/>
  <c r="AC16" i="7"/>
  <c r="Z16" i="7"/>
  <c r="V16" i="7"/>
  <c r="R16" i="7"/>
  <c r="N16" i="7"/>
  <c r="J16" i="7"/>
  <c r="F16" i="7"/>
  <c r="CD15" i="7"/>
  <c r="CA15" i="7"/>
  <c r="BW15" i="7"/>
  <c r="BT15" i="7"/>
  <c r="BQ15" i="7"/>
  <c r="BM15" i="7"/>
  <c r="BJ15" i="7"/>
  <c r="BF15" i="7"/>
  <c r="BC15" i="7"/>
  <c r="AY15" i="7"/>
  <c r="AV15" i="7"/>
  <c r="AR15" i="7"/>
  <c r="AN15" i="7"/>
  <c r="AJ15" i="7"/>
  <c r="AG15" i="7"/>
  <c r="AC15" i="7"/>
  <c r="Z15" i="7"/>
  <c r="V15" i="7"/>
  <c r="R15" i="7"/>
  <c r="N15" i="7"/>
  <c r="J15" i="7"/>
  <c r="F15" i="7"/>
  <c r="CD14" i="7"/>
  <c r="CA14" i="7"/>
  <c r="BW14" i="7"/>
  <c r="BT14" i="7"/>
  <c r="BQ14" i="7"/>
  <c r="BM14" i="7"/>
  <c r="BJ14" i="7"/>
  <c r="BF14" i="7"/>
  <c r="BC14" i="7"/>
  <c r="AY14" i="7"/>
  <c r="AV14" i="7"/>
  <c r="AR14" i="7"/>
  <c r="AN14" i="7"/>
  <c r="AJ14" i="7"/>
  <c r="AG14" i="7"/>
  <c r="AC14" i="7"/>
  <c r="Z14" i="7"/>
  <c r="V14" i="7"/>
  <c r="R14" i="7"/>
  <c r="N14" i="7"/>
  <c r="J14" i="7"/>
  <c r="F14" i="7"/>
  <c r="CD13" i="7"/>
  <c r="CA13" i="7"/>
  <c r="BW13" i="7"/>
  <c r="BT13" i="7"/>
  <c r="BQ13" i="7"/>
  <c r="BM13" i="7"/>
  <c r="BJ13" i="7"/>
  <c r="BF13" i="7"/>
  <c r="BC13" i="7"/>
  <c r="AY13" i="7"/>
  <c r="AV13" i="7"/>
  <c r="AR13" i="7"/>
  <c r="AN13" i="7"/>
  <c r="AJ13" i="7"/>
  <c r="AG13" i="7"/>
  <c r="AC13" i="7"/>
  <c r="Z13" i="7"/>
  <c r="V13" i="7"/>
  <c r="R13" i="7"/>
  <c r="N13" i="7"/>
  <c r="J13" i="7"/>
  <c r="F13" i="7"/>
  <c r="CD12" i="7"/>
  <c r="CA12" i="7"/>
  <c r="BW12" i="7"/>
  <c r="BT12" i="7"/>
  <c r="BQ12" i="7"/>
  <c r="BM12" i="7"/>
  <c r="BJ12" i="7"/>
  <c r="BF12" i="7"/>
  <c r="BC12" i="7"/>
  <c r="AY12" i="7"/>
  <c r="AV12" i="7"/>
  <c r="AR12" i="7"/>
  <c r="AN12" i="7"/>
  <c r="AJ12" i="7"/>
  <c r="AG12" i="7"/>
  <c r="AC12" i="7"/>
  <c r="Z12" i="7"/>
  <c r="V12" i="7"/>
  <c r="R12" i="7"/>
  <c r="N12" i="7"/>
  <c r="J12" i="7"/>
  <c r="F12" i="7"/>
  <c r="CD11" i="7"/>
  <c r="CA11" i="7"/>
  <c r="BW11" i="7"/>
  <c r="BT11" i="7"/>
  <c r="BQ11" i="7"/>
  <c r="BM11" i="7"/>
  <c r="BJ11" i="7"/>
  <c r="BF11" i="7"/>
  <c r="BC11" i="7"/>
  <c r="AY11" i="7"/>
  <c r="AV11" i="7"/>
  <c r="AR11" i="7"/>
  <c r="AN11" i="7"/>
  <c r="AJ11" i="7"/>
  <c r="AG11" i="7"/>
  <c r="AC11" i="7"/>
  <c r="Z11" i="7"/>
  <c r="V11" i="7"/>
  <c r="R11" i="7"/>
  <c r="N11" i="7"/>
  <c r="J11" i="7"/>
  <c r="F11" i="7"/>
  <c r="CD10" i="7"/>
  <c r="CA10" i="7"/>
  <c r="BW10" i="7"/>
  <c r="BT10" i="7"/>
  <c r="BQ10" i="7"/>
  <c r="BM10" i="7"/>
  <c r="BJ10" i="7"/>
  <c r="BF10" i="7"/>
  <c r="BC10" i="7"/>
  <c r="AY10" i="7"/>
  <c r="AV10" i="7"/>
  <c r="AR10" i="7"/>
  <c r="AN10" i="7"/>
  <c r="AJ10" i="7"/>
  <c r="AG10" i="7"/>
  <c r="AC10" i="7"/>
  <c r="Z10" i="7"/>
  <c r="V10" i="7"/>
  <c r="R10" i="7"/>
  <c r="N10" i="7"/>
  <c r="J10" i="7"/>
  <c r="F10" i="7"/>
  <c r="CD9" i="7"/>
  <c r="CA9" i="7"/>
  <c r="BW9" i="7"/>
  <c r="BT9" i="7"/>
  <c r="BQ9" i="7"/>
  <c r="BM9" i="7"/>
  <c r="BJ9" i="7"/>
  <c r="BF9" i="7"/>
  <c r="BC9" i="7"/>
  <c r="AY9" i="7"/>
  <c r="AV9" i="7"/>
  <c r="AR9" i="7"/>
  <c r="AN9" i="7"/>
  <c r="AJ9" i="7"/>
  <c r="AG9" i="7"/>
  <c r="AC9" i="7"/>
  <c r="Z9" i="7"/>
  <c r="V9" i="7"/>
  <c r="R9" i="7"/>
  <c r="N9" i="7"/>
  <c r="J9" i="7"/>
  <c r="F9" i="7"/>
  <c r="CD8" i="7"/>
  <c r="CA8" i="7"/>
  <c r="BW8" i="7"/>
  <c r="BT8" i="7"/>
  <c r="BQ8" i="7"/>
  <c r="BM8" i="7"/>
  <c r="BJ8" i="7"/>
  <c r="BF8" i="7"/>
  <c r="BC8" i="7"/>
  <c r="AY8" i="7"/>
  <c r="AV8" i="7"/>
  <c r="AR8" i="7"/>
  <c r="AN8" i="7"/>
  <c r="AJ8" i="7"/>
  <c r="AG8" i="7"/>
  <c r="AC8" i="7"/>
  <c r="Z8" i="7"/>
  <c r="V8" i="7"/>
  <c r="R8" i="7"/>
  <c r="N8" i="7"/>
  <c r="J8" i="7"/>
  <c r="F8" i="7"/>
  <c r="CD7" i="7"/>
  <c r="CA7" i="7"/>
  <c r="BW7" i="7"/>
  <c r="BT7" i="7"/>
  <c r="BQ7" i="7"/>
  <c r="BM7" i="7"/>
  <c r="BJ7" i="7"/>
  <c r="BF7" i="7"/>
  <c r="BC7" i="7"/>
  <c r="AY7" i="7"/>
  <c r="AV7" i="7"/>
  <c r="AR7" i="7"/>
  <c r="AN7" i="7"/>
  <c r="AJ7" i="7"/>
  <c r="AG7" i="7"/>
  <c r="AC7" i="7"/>
  <c r="Z7" i="7"/>
  <c r="V7" i="7"/>
  <c r="R7" i="7"/>
  <c r="N7" i="7"/>
  <c r="J7" i="7"/>
  <c r="F7" i="7"/>
  <c r="CD6" i="7"/>
  <c r="CA6" i="7"/>
  <c r="BW6" i="7"/>
  <c r="BT6" i="7"/>
  <c r="BQ6" i="7"/>
  <c r="BM6" i="7"/>
  <c r="BJ6" i="7"/>
  <c r="BF6" i="7"/>
  <c r="BC6" i="7"/>
  <c r="AY6" i="7"/>
  <c r="AV6" i="7"/>
  <c r="AR6" i="7"/>
  <c r="AN6" i="7"/>
  <c r="AJ6" i="7"/>
  <c r="AG6" i="7"/>
  <c r="AC6" i="7"/>
  <c r="Z6" i="7"/>
  <c r="V6" i="7"/>
  <c r="R6" i="7"/>
  <c r="N6" i="7"/>
  <c r="J6" i="7"/>
  <c r="F6" i="7"/>
  <c r="CD5" i="7"/>
  <c r="CA5" i="7"/>
  <c r="BW5" i="7"/>
  <c r="BT5" i="7"/>
  <c r="BQ5" i="7"/>
  <c r="BM5" i="7"/>
  <c r="BJ5" i="7"/>
  <c r="BF5" i="7"/>
  <c r="BC5" i="7"/>
  <c r="AY5" i="7"/>
  <c r="AV5" i="7"/>
  <c r="AR5" i="7"/>
  <c r="AN5" i="7"/>
  <c r="AJ5" i="7"/>
  <c r="AG5" i="7"/>
  <c r="AC5" i="7"/>
  <c r="Z5" i="7"/>
  <c r="V5" i="7"/>
  <c r="R5" i="7"/>
  <c r="N5" i="7"/>
  <c r="J5" i="7"/>
  <c r="F5" i="7"/>
  <c r="CD4" i="7"/>
  <c r="CA4" i="7"/>
  <c r="BW4" i="7"/>
  <c r="BT4" i="7"/>
  <c r="BQ4" i="7"/>
  <c r="BM4" i="7"/>
  <c r="BJ4" i="7"/>
  <c r="BF4" i="7"/>
  <c r="BC4" i="7"/>
  <c r="AY4" i="7"/>
  <c r="AV4" i="7"/>
  <c r="AR4" i="7"/>
  <c r="AN4" i="7"/>
  <c r="AJ4" i="7"/>
  <c r="AG4" i="7"/>
  <c r="AC4" i="7"/>
  <c r="Z4" i="7"/>
  <c r="V4" i="7"/>
  <c r="R4" i="7"/>
  <c r="N4" i="7"/>
  <c r="J4" i="7"/>
  <c r="F4" i="7"/>
  <c r="CD127" i="2"/>
  <c r="CD126" i="2"/>
  <c r="CD125" i="2"/>
  <c r="CD124" i="2"/>
  <c r="CD123" i="2"/>
  <c r="CD122" i="2"/>
  <c r="CD121" i="2"/>
  <c r="CD120" i="2"/>
  <c r="CD119" i="2"/>
  <c r="CD118" i="2"/>
  <c r="CD117" i="2"/>
  <c r="CD116" i="2"/>
  <c r="CD115" i="2"/>
  <c r="CD114" i="2"/>
  <c r="CD113" i="2"/>
  <c r="CD112" i="2"/>
  <c r="CD111" i="2"/>
  <c r="CD110" i="2"/>
  <c r="CD109" i="2"/>
  <c r="CD108" i="2"/>
  <c r="CD107" i="2"/>
  <c r="CD106" i="2"/>
  <c r="CD105" i="2"/>
  <c r="CD104" i="2"/>
  <c r="CD103" i="2"/>
  <c r="CD102" i="2"/>
  <c r="CD101" i="2"/>
  <c r="CD100" i="2"/>
  <c r="CD99" i="2"/>
  <c r="CD98" i="2"/>
  <c r="CD97" i="2"/>
  <c r="CD96" i="2"/>
  <c r="CD95" i="2"/>
  <c r="CD94" i="2"/>
  <c r="CD93" i="2"/>
  <c r="CD92" i="2"/>
  <c r="CD91" i="2"/>
  <c r="CD90" i="2"/>
  <c r="CD89" i="2"/>
  <c r="CD88" i="2"/>
  <c r="CD87" i="2"/>
  <c r="CD86" i="2"/>
  <c r="CD85" i="2"/>
  <c r="CD84" i="2"/>
  <c r="CD83" i="2"/>
  <c r="CD82" i="2"/>
  <c r="CD81" i="2"/>
  <c r="CD80" i="2"/>
  <c r="CD79" i="2"/>
  <c r="CD78" i="2"/>
  <c r="CD77" i="2"/>
  <c r="CD76" i="2"/>
  <c r="CD75" i="2"/>
  <c r="CD74" i="2"/>
  <c r="CD73" i="2"/>
  <c r="CD72" i="2"/>
  <c r="CD71" i="2"/>
  <c r="CD70" i="2"/>
  <c r="CD69" i="2"/>
  <c r="CD68" i="2"/>
  <c r="CD67" i="2"/>
  <c r="CD66" i="2"/>
  <c r="CD65" i="2"/>
  <c r="CD64" i="2"/>
  <c r="CD63" i="2"/>
  <c r="CD62" i="2"/>
  <c r="CD61" i="2"/>
  <c r="CD60" i="2"/>
  <c r="CD59" i="2"/>
  <c r="CD58" i="2"/>
  <c r="CD57" i="2"/>
  <c r="CD56" i="2"/>
  <c r="CD55" i="2"/>
  <c r="CD54" i="2"/>
  <c r="CD53" i="2"/>
  <c r="CD52" i="2"/>
  <c r="CD51" i="2"/>
  <c r="CD50" i="2"/>
  <c r="CD49" i="2"/>
  <c r="CD48" i="2"/>
  <c r="CD47" i="2"/>
  <c r="CD46" i="2"/>
  <c r="CD45" i="2"/>
  <c r="CD44" i="2"/>
  <c r="CD43" i="2"/>
  <c r="CD42" i="2"/>
  <c r="CD41" i="2"/>
  <c r="CD40" i="2"/>
  <c r="CD39" i="2"/>
  <c r="CD38" i="2"/>
  <c r="CD37" i="2"/>
  <c r="CD36" i="2"/>
  <c r="CD35" i="2"/>
  <c r="CD34" i="2"/>
  <c r="CD33" i="2"/>
  <c r="CD32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8" i="2"/>
  <c r="CD17" i="2"/>
  <c r="CD16" i="2"/>
  <c r="CD15" i="2"/>
  <c r="CD14" i="2"/>
  <c r="CD13" i="2"/>
  <c r="CD12" i="2"/>
  <c r="CD11" i="2"/>
  <c r="CD10" i="2"/>
  <c r="CD9" i="2"/>
  <c r="CD8" i="2"/>
  <c r="CD7" i="2"/>
  <c r="CD6" i="2"/>
  <c r="CD5" i="2"/>
  <c r="CD4" i="2"/>
  <c r="CA127" i="2"/>
  <c r="CA126" i="2"/>
  <c r="CA125" i="2"/>
  <c r="CA124" i="2"/>
  <c r="CA123" i="2"/>
  <c r="CA122" i="2"/>
  <c r="CA121" i="2"/>
  <c r="CA120" i="2"/>
  <c r="CA119" i="2"/>
  <c r="CA118" i="2"/>
  <c r="CA117" i="2"/>
  <c r="CA116" i="2"/>
  <c r="CA115" i="2"/>
  <c r="CA114" i="2"/>
  <c r="CA113" i="2"/>
  <c r="CA112" i="2"/>
  <c r="CA111" i="2"/>
  <c r="CA110" i="2"/>
  <c r="CA109" i="2"/>
  <c r="CA108" i="2"/>
  <c r="CA107" i="2"/>
  <c r="CA106" i="2"/>
  <c r="CA105" i="2"/>
  <c r="CA104" i="2"/>
  <c r="CA103" i="2"/>
  <c r="CA102" i="2"/>
  <c r="CA101" i="2"/>
  <c r="CA100" i="2"/>
  <c r="CA99" i="2"/>
  <c r="CA98" i="2"/>
  <c r="CA97" i="2"/>
  <c r="CA96" i="2"/>
  <c r="CA95" i="2"/>
  <c r="CA94" i="2"/>
  <c r="CA93" i="2"/>
  <c r="CA92" i="2"/>
  <c r="CA91" i="2"/>
  <c r="CA90" i="2"/>
  <c r="CA89" i="2"/>
  <c r="CA88" i="2"/>
  <c r="CA87" i="2"/>
  <c r="CA86" i="2"/>
  <c r="CA85" i="2"/>
  <c r="CA84" i="2"/>
  <c r="CA83" i="2"/>
  <c r="CA82" i="2"/>
  <c r="CA81" i="2"/>
  <c r="CA80" i="2"/>
  <c r="CA79" i="2"/>
  <c r="CA78" i="2"/>
  <c r="CA77" i="2"/>
  <c r="CA76" i="2"/>
  <c r="CA75" i="2"/>
  <c r="CA74" i="2"/>
  <c r="CA73" i="2"/>
  <c r="CA72" i="2"/>
  <c r="CA71" i="2"/>
  <c r="CA70" i="2"/>
  <c r="CA69" i="2"/>
  <c r="CA68" i="2"/>
  <c r="CA67" i="2"/>
  <c r="CA66" i="2"/>
  <c r="CA65" i="2"/>
  <c r="CA64" i="2"/>
  <c r="CA63" i="2"/>
  <c r="CA62" i="2"/>
  <c r="CA61" i="2"/>
  <c r="CA60" i="2"/>
  <c r="CA59" i="2"/>
  <c r="CA58" i="2"/>
  <c r="CA57" i="2"/>
  <c r="CA56" i="2"/>
  <c r="CA55" i="2"/>
  <c r="CA54" i="2"/>
  <c r="CA53" i="2"/>
  <c r="CA52" i="2"/>
  <c r="CA51" i="2"/>
  <c r="CA50" i="2"/>
  <c r="CA49" i="2"/>
  <c r="CA48" i="2"/>
  <c r="CA47" i="2"/>
  <c r="CA46" i="2"/>
  <c r="CA45" i="2"/>
  <c r="CA44" i="2"/>
  <c r="CA43" i="2"/>
  <c r="CA42" i="2"/>
  <c r="CA41" i="2"/>
  <c r="CA40" i="2"/>
  <c r="CA39" i="2"/>
  <c r="CA38" i="2"/>
  <c r="CA37" i="2"/>
  <c r="CA36" i="2"/>
  <c r="CA35" i="2"/>
  <c r="CA34" i="2"/>
  <c r="CA33" i="2"/>
  <c r="CA32" i="2"/>
  <c r="CA31" i="2"/>
  <c r="CA30" i="2"/>
  <c r="CA29" i="2"/>
  <c r="CA28" i="2"/>
  <c r="CA27" i="2"/>
  <c r="CA26" i="2"/>
  <c r="CA25" i="2"/>
  <c r="CA24" i="2"/>
  <c r="CA23" i="2"/>
  <c r="CA22" i="2"/>
  <c r="CA21" i="2"/>
  <c r="CA20" i="2"/>
  <c r="CA19" i="2"/>
  <c r="CA18" i="2"/>
  <c r="CA17" i="2"/>
  <c r="CA16" i="2"/>
  <c r="CA15" i="2"/>
  <c r="CA14" i="2"/>
  <c r="CA13" i="2"/>
  <c r="CA12" i="2"/>
  <c r="CA11" i="2"/>
  <c r="CA10" i="2"/>
  <c r="CA9" i="2"/>
  <c r="CA8" i="2"/>
  <c r="CA7" i="2"/>
  <c r="CA6" i="2"/>
  <c r="CA5" i="2"/>
  <c r="CA4" i="2"/>
  <c r="BW127" i="2"/>
  <c r="BW126" i="2"/>
  <c r="BW125" i="2"/>
  <c r="BW124" i="2"/>
  <c r="BW123" i="2"/>
  <c r="BW122" i="2"/>
  <c r="BW121" i="2"/>
  <c r="BW120" i="2"/>
  <c r="BW119" i="2"/>
  <c r="BW118" i="2"/>
  <c r="BW117" i="2"/>
  <c r="BW116" i="2"/>
  <c r="BW115" i="2"/>
  <c r="BW114" i="2"/>
  <c r="BW113" i="2"/>
  <c r="BW112" i="2"/>
  <c r="BW111" i="2"/>
  <c r="BW110" i="2"/>
  <c r="BW109" i="2"/>
  <c r="BW108" i="2"/>
  <c r="BW107" i="2"/>
  <c r="BW106" i="2"/>
  <c r="BW105" i="2"/>
  <c r="BW104" i="2"/>
  <c r="BW103" i="2"/>
  <c r="BW102" i="2"/>
  <c r="BW101" i="2"/>
  <c r="BW100" i="2"/>
  <c r="BW99" i="2"/>
  <c r="BW98" i="2"/>
  <c r="BW97" i="2"/>
  <c r="BW96" i="2"/>
  <c r="BW95" i="2"/>
  <c r="BW94" i="2"/>
  <c r="BW93" i="2"/>
  <c r="BW92" i="2"/>
  <c r="BW91" i="2"/>
  <c r="BW90" i="2"/>
  <c r="BW89" i="2"/>
  <c r="BW88" i="2"/>
  <c r="BW87" i="2"/>
  <c r="BW86" i="2"/>
  <c r="BW85" i="2"/>
  <c r="BW84" i="2"/>
  <c r="BW83" i="2"/>
  <c r="BW82" i="2"/>
  <c r="BW81" i="2"/>
  <c r="BW80" i="2"/>
  <c r="BW79" i="2"/>
  <c r="BW78" i="2"/>
  <c r="BW77" i="2"/>
  <c r="BW76" i="2"/>
  <c r="BW75" i="2"/>
  <c r="BW74" i="2"/>
  <c r="BW73" i="2"/>
  <c r="BW72" i="2"/>
  <c r="BW71" i="2"/>
  <c r="BW70" i="2"/>
  <c r="BW69" i="2"/>
  <c r="BW68" i="2"/>
  <c r="BW67" i="2"/>
  <c r="BW66" i="2"/>
  <c r="BW65" i="2"/>
  <c r="BW64" i="2"/>
  <c r="BW63" i="2"/>
  <c r="BW62" i="2"/>
  <c r="BW61" i="2"/>
  <c r="BW60" i="2"/>
  <c r="BW59" i="2"/>
  <c r="BW58" i="2"/>
  <c r="BW57" i="2"/>
  <c r="BW56" i="2"/>
  <c r="BW55" i="2"/>
  <c r="BW54" i="2"/>
  <c r="BW53" i="2"/>
  <c r="BW52" i="2"/>
  <c r="BW51" i="2"/>
  <c r="BW50" i="2"/>
  <c r="BW49" i="2"/>
  <c r="BW48" i="2"/>
  <c r="BW47" i="2"/>
  <c r="BW46" i="2"/>
  <c r="BW45" i="2"/>
  <c r="BW44" i="2"/>
  <c r="BW43" i="2"/>
  <c r="BW42" i="2"/>
  <c r="BW41" i="2"/>
  <c r="BW40" i="2"/>
  <c r="BW39" i="2"/>
  <c r="BW38" i="2"/>
  <c r="BW37" i="2"/>
  <c r="BW36" i="2"/>
  <c r="BW35" i="2"/>
  <c r="BW34" i="2"/>
  <c r="BW33" i="2"/>
  <c r="BW32" i="2"/>
  <c r="BW31" i="2"/>
  <c r="BW30" i="2"/>
  <c r="BW29" i="2"/>
  <c r="BW28" i="2"/>
  <c r="BW27" i="2"/>
  <c r="BW26" i="2"/>
  <c r="BW25" i="2"/>
  <c r="BW24" i="2"/>
  <c r="BW23" i="2"/>
  <c r="BW22" i="2"/>
  <c r="BW21" i="2"/>
  <c r="BW20" i="2"/>
  <c r="BW19" i="2"/>
  <c r="BW18" i="2"/>
  <c r="BW17" i="2"/>
  <c r="BW16" i="2"/>
  <c r="BW15" i="2"/>
  <c r="BW14" i="2"/>
  <c r="BW13" i="2"/>
  <c r="BW12" i="2"/>
  <c r="BW11" i="2"/>
  <c r="BW10" i="2"/>
  <c r="BW9" i="2"/>
  <c r="BW8" i="2"/>
  <c r="BW7" i="2"/>
  <c r="BW6" i="2"/>
  <c r="BW5" i="2"/>
  <c r="BW4" i="2"/>
  <c r="BT127" i="2"/>
  <c r="BT126" i="2"/>
  <c r="BT125" i="2"/>
  <c r="BT124" i="2"/>
  <c r="BT123" i="2"/>
  <c r="BT122" i="2"/>
  <c r="BT121" i="2"/>
  <c r="BT120" i="2"/>
  <c r="BT119" i="2"/>
  <c r="BT118" i="2"/>
  <c r="BT117" i="2"/>
  <c r="BT116" i="2"/>
  <c r="BT115" i="2"/>
  <c r="BT114" i="2"/>
  <c r="BT113" i="2"/>
  <c r="BT112" i="2"/>
  <c r="BT111" i="2"/>
  <c r="BT110" i="2"/>
  <c r="BT109" i="2"/>
  <c r="BT108" i="2"/>
  <c r="BT107" i="2"/>
  <c r="BT106" i="2"/>
  <c r="BT105" i="2"/>
  <c r="BT104" i="2"/>
  <c r="BT103" i="2"/>
  <c r="BT102" i="2"/>
  <c r="BT101" i="2"/>
  <c r="BT100" i="2"/>
  <c r="BT99" i="2"/>
  <c r="BT98" i="2"/>
  <c r="BT97" i="2"/>
  <c r="BT96" i="2"/>
  <c r="BT95" i="2"/>
  <c r="BT94" i="2"/>
  <c r="BT93" i="2"/>
  <c r="BT92" i="2"/>
  <c r="BT91" i="2"/>
  <c r="BT90" i="2"/>
  <c r="BT89" i="2"/>
  <c r="BT88" i="2"/>
  <c r="BT87" i="2"/>
  <c r="BT86" i="2"/>
  <c r="BT85" i="2"/>
  <c r="BT84" i="2"/>
  <c r="BT83" i="2"/>
  <c r="BT82" i="2"/>
  <c r="BT81" i="2"/>
  <c r="BT80" i="2"/>
  <c r="BT79" i="2"/>
  <c r="BT78" i="2"/>
  <c r="BT77" i="2"/>
  <c r="BT76" i="2"/>
  <c r="BT75" i="2"/>
  <c r="BT74" i="2"/>
  <c r="BT73" i="2"/>
  <c r="BT72" i="2"/>
  <c r="BT71" i="2"/>
  <c r="BT70" i="2"/>
  <c r="BT69" i="2"/>
  <c r="BT68" i="2"/>
  <c r="BT67" i="2"/>
  <c r="BT66" i="2"/>
  <c r="BT65" i="2"/>
  <c r="BT64" i="2"/>
  <c r="BT63" i="2"/>
  <c r="BT62" i="2"/>
  <c r="BT61" i="2"/>
  <c r="BT60" i="2"/>
  <c r="BT59" i="2"/>
  <c r="BT58" i="2"/>
  <c r="BT57" i="2"/>
  <c r="BT56" i="2"/>
  <c r="BT55" i="2"/>
  <c r="BT54" i="2"/>
  <c r="BT53" i="2"/>
  <c r="BT52" i="2"/>
  <c r="BT51" i="2"/>
  <c r="BT50" i="2"/>
  <c r="BT49" i="2"/>
  <c r="BT48" i="2"/>
  <c r="BT47" i="2"/>
  <c r="BT46" i="2"/>
  <c r="BT45" i="2"/>
  <c r="BT44" i="2"/>
  <c r="BT43" i="2"/>
  <c r="BT42" i="2"/>
  <c r="BT41" i="2"/>
  <c r="BT40" i="2"/>
  <c r="BT39" i="2"/>
  <c r="BT38" i="2"/>
  <c r="BT37" i="2"/>
  <c r="BT36" i="2"/>
  <c r="BT35" i="2"/>
  <c r="BT34" i="2"/>
  <c r="BT33" i="2"/>
  <c r="BT32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8" i="2"/>
  <c r="BT17" i="2"/>
  <c r="BT16" i="2"/>
  <c r="BT15" i="2"/>
  <c r="BT14" i="2"/>
  <c r="BT13" i="2"/>
  <c r="BT12" i="2"/>
  <c r="BT11" i="2"/>
  <c r="BT10" i="2"/>
  <c r="BT9" i="2"/>
  <c r="BT8" i="2"/>
  <c r="BT7" i="2"/>
  <c r="BT6" i="2"/>
  <c r="BT5" i="2"/>
  <c r="BT4" i="2"/>
  <c r="BQ127" i="2"/>
  <c r="BQ126" i="2"/>
  <c r="BQ125" i="2"/>
  <c r="BQ124" i="2"/>
  <c r="BQ123" i="2"/>
  <c r="BQ122" i="2"/>
  <c r="BQ121" i="2"/>
  <c r="BQ120" i="2"/>
  <c r="BQ119" i="2"/>
  <c r="BQ118" i="2"/>
  <c r="BQ117" i="2"/>
  <c r="BQ116" i="2"/>
  <c r="BQ115" i="2"/>
  <c r="BQ114" i="2"/>
  <c r="BQ113" i="2"/>
  <c r="BQ112" i="2"/>
  <c r="BQ111" i="2"/>
  <c r="BQ110" i="2"/>
  <c r="BQ109" i="2"/>
  <c r="BQ108" i="2"/>
  <c r="BQ107" i="2"/>
  <c r="BQ106" i="2"/>
  <c r="BQ105" i="2"/>
  <c r="BQ104" i="2"/>
  <c r="BQ103" i="2"/>
  <c r="BQ102" i="2"/>
  <c r="BQ101" i="2"/>
  <c r="BQ100" i="2"/>
  <c r="BQ99" i="2"/>
  <c r="BQ98" i="2"/>
  <c r="BQ97" i="2"/>
  <c r="BQ96" i="2"/>
  <c r="BQ95" i="2"/>
  <c r="BQ94" i="2"/>
  <c r="BQ93" i="2"/>
  <c r="BQ92" i="2"/>
  <c r="BQ91" i="2"/>
  <c r="BQ90" i="2"/>
  <c r="BQ89" i="2"/>
  <c r="BQ88" i="2"/>
  <c r="BQ87" i="2"/>
  <c r="BQ86" i="2"/>
  <c r="BQ85" i="2"/>
  <c r="BQ84" i="2"/>
  <c r="BQ83" i="2"/>
  <c r="BQ82" i="2"/>
  <c r="BQ81" i="2"/>
  <c r="BQ80" i="2"/>
  <c r="BQ79" i="2"/>
  <c r="BQ78" i="2"/>
  <c r="BQ77" i="2"/>
  <c r="BQ76" i="2"/>
  <c r="BQ75" i="2"/>
  <c r="BQ74" i="2"/>
  <c r="BQ73" i="2"/>
  <c r="BQ72" i="2"/>
  <c r="BQ71" i="2"/>
  <c r="BQ70" i="2"/>
  <c r="BQ69" i="2"/>
  <c r="BQ68" i="2"/>
  <c r="BQ67" i="2"/>
  <c r="BQ66" i="2"/>
  <c r="BQ65" i="2"/>
  <c r="BQ64" i="2"/>
  <c r="BQ63" i="2"/>
  <c r="BQ62" i="2"/>
  <c r="BQ61" i="2"/>
  <c r="BQ60" i="2"/>
  <c r="BQ59" i="2"/>
  <c r="BQ58" i="2"/>
  <c r="BQ57" i="2"/>
  <c r="BQ56" i="2"/>
  <c r="BQ55" i="2"/>
  <c r="BQ54" i="2"/>
  <c r="BQ53" i="2"/>
  <c r="BQ52" i="2"/>
  <c r="BQ51" i="2"/>
  <c r="BQ50" i="2"/>
  <c r="BQ49" i="2"/>
  <c r="BQ48" i="2"/>
  <c r="BQ47" i="2"/>
  <c r="BQ46" i="2"/>
  <c r="BQ45" i="2"/>
  <c r="BQ44" i="2"/>
  <c r="BQ43" i="2"/>
  <c r="BQ42" i="2"/>
  <c r="BQ41" i="2"/>
  <c r="BQ40" i="2"/>
  <c r="BQ39" i="2"/>
  <c r="BQ38" i="2"/>
  <c r="BQ37" i="2"/>
  <c r="BQ36" i="2"/>
  <c r="BQ35" i="2"/>
  <c r="BQ34" i="2"/>
  <c r="BQ33" i="2"/>
  <c r="BQ32" i="2"/>
  <c r="BQ31" i="2"/>
  <c r="BQ30" i="2"/>
  <c r="BQ29" i="2"/>
  <c r="BQ28" i="2"/>
  <c r="BQ27" i="2"/>
  <c r="BQ26" i="2"/>
  <c r="BQ25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Q8" i="2"/>
  <c r="BQ7" i="2"/>
  <c r="BQ6" i="2"/>
  <c r="BQ5" i="2"/>
  <c r="BQ4" i="2"/>
  <c r="BM127" i="2"/>
  <c r="BM126" i="2"/>
  <c r="BM125" i="2"/>
  <c r="BM124" i="2"/>
  <c r="BM123" i="2"/>
  <c r="BM122" i="2"/>
  <c r="BM121" i="2"/>
  <c r="BM120" i="2"/>
  <c r="BM119" i="2"/>
  <c r="BM118" i="2"/>
  <c r="BM117" i="2"/>
  <c r="BM116" i="2"/>
  <c r="BM115" i="2"/>
  <c r="BM114" i="2"/>
  <c r="BM113" i="2"/>
  <c r="BM112" i="2"/>
  <c r="BM111" i="2"/>
  <c r="BM110" i="2"/>
  <c r="BM109" i="2"/>
  <c r="BM108" i="2"/>
  <c r="BM107" i="2"/>
  <c r="BM106" i="2"/>
  <c r="BM105" i="2"/>
  <c r="BM104" i="2"/>
  <c r="BM103" i="2"/>
  <c r="BM102" i="2"/>
  <c r="BM101" i="2"/>
  <c r="BM100" i="2"/>
  <c r="BM99" i="2"/>
  <c r="BM98" i="2"/>
  <c r="BM97" i="2"/>
  <c r="BM96" i="2"/>
  <c r="BM95" i="2"/>
  <c r="BM94" i="2"/>
  <c r="BM93" i="2"/>
  <c r="BM92" i="2"/>
  <c r="BM91" i="2"/>
  <c r="BM90" i="2"/>
  <c r="BM89" i="2"/>
  <c r="BM88" i="2"/>
  <c r="BM87" i="2"/>
  <c r="BM86" i="2"/>
  <c r="BM85" i="2"/>
  <c r="BM84" i="2"/>
  <c r="BM83" i="2"/>
  <c r="BM82" i="2"/>
  <c r="BM81" i="2"/>
  <c r="BM80" i="2"/>
  <c r="BM79" i="2"/>
  <c r="BM78" i="2"/>
  <c r="BM77" i="2"/>
  <c r="BM76" i="2"/>
  <c r="BM75" i="2"/>
  <c r="BM74" i="2"/>
  <c r="BM73" i="2"/>
  <c r="BM72" i="2"/>
  <c r="BM71" i="2"/>
  <c r="BM70" i="2"/>
  <c r="BM69" i="2"/>
  <c r="BM68" i="2"/>
  <c r="BM67" i="2"/>
  <c r="BM66" i="2"/>
  <c r="BM65" i="2"/>
  <c r="BM64" i="2"/>
  <c r="BM63" i="2"/>
  <c r="BM62" i="2"/>
  <c r="BM61" i="2"/>
  <c r="BM60" i="2"/>
  <c r="BM59" i="2"/>
  <c r="BM58" i="2"/>
  <c r="BM57" i="2"/>
  <c r="BM56" i="2"/>
  <c r="BM55" i="2"/>
  <c r="BM54" i="2"/>
  <c r="BM53" i="2"/>
  <c r="BM52" i="2"/>
  <c r="BM51" i="2"/>
  <c r="BM50" i="2"/>
  <c r="BM49" i="2"/>
  <c r="BM48" i="2"/>
  <c r="BM47" i="2"/>
  <c r="BM46" i="2"/>
  <c r="BM45" i="2"/>
  <c r="BM44" i="2"/>
  <c r="BM43" i="2"/>
  <c r="BM42" i="2"/>
  <c r="BM41" i="2"/>
  <c r="BM40" i="2"/>
  <c r="BM39" i="2"/>
  <c r="BM38" i="2"/>
  <c r="BM37" i="2"/>
  <c r="BM36" i="2"/>
  <c r="BM35" i="2"/>
  <c r="BM34" i="2"/>
  <c r="BM33" i="2"/>
  <c r="BM32" i="2"/>
  <c r="BM31" i="2"/>
  <c r="BM30" i="2"/>
  <c r="BM29" i="2"/>
  <c r="BM28" i="2"/>
  <c r="BM27" i="2"/>
  <c r="BM26" i="2"/>
  <c r="BM25" i="2"/>
  <c r="BM24" i="2"/>
  <c r="BM23" i="2"/>
  <c r="BM22" i="2"/>
  <c r="BM21" i="2"/>
  <c r="BM20" i="2"/>
  <c r="BM19" i="2"/>
  <c r="BM18" i="2"/>
  <c r="BM17" i="2"/>
  <c r="BM16" i="2"/>
  <c r="BM15" i="2"/>
  <c r="BM14" i="2"/>
  <c r="BM13" i="2"/>
  <c r="BM12" i="2"/>
  <c r="BM11" i="2"/>
  <c r="BM10" i="2"/>
  <c r="BM9" i="2"/>
  <c r="BM8" i="2"/>
  <c r="BM7" i="2"/>
  <c r="BM6" i="2"/>
  <c r="BM5" i="2"/>
  <c r="BM4" i="2"/>
  <c r="BJ127" i="2"/>
  <c r="BJ126" i="2"/>
  <c r="BJ125" i="2"/>
  <c r="BJ124" i="2"/>
  <c r="BJ123" i="2"/>
  <c r="BJ122" i="2"/>
  <c r="BJ121" i="2"/>
  <c r="BJ120" i="2"/>
  <c r="BJ119" i="2"/>
  <c r="BJ118" i="2"/>
  <c r="BJ117" i="2"/>
  <c r="BJ116" i="2"/>
  <c r="BJ115" i="2"/>
  <c r="BJ114" i="2"/>
  <c r="BJ113" i="2"/>
  <c r="BJ112" i="2"/>
  <c r="BJ111" i="2"/>
  <c r="BJ110" i="2"/>
  <c r="BJ109" i="2"/>
  <c r="BJ108" i="2"/>
  <c r="BJ107" i="2"/>
  <c r="BJ106" i="2"/>
  <c r="BJ105" i="2"/>
  <c r="BJ104" i="2"/>
  <c r="BJ103" i="2"/>
  <c r="BJ102" i="2"/>
  <c r="BJ101" i="2"/>
  <c r="BJ100" i="2"/>
  <c r="BJ99" i="2"/>
  <c r="BJ98" i="2"/>
  <c r="BJ97" i="2"/>
  <c r="BJ96" i="2"/>
  <c r="BJ95" i="2"/>
  <c r="BJ94" i="2"/>
  <c r="BJ93" i="2"/>
  <c r="BJ92" i="2"/>
  <c r="BJ91" i="2"/>
  <c r="BJ90" i="2"/>
  <c r="BJ89" i="2"/>
  <c r="BJ88" i="2"/>
  <c r="BJ87" i="2"/>
  <c r="BJ86" i="2"/>
  <c r="BJ85" i="2"/>
  <c r="BJ84" i="2"/>
  <c r="BJ83" i="2"/>
  <c r="BJ82" i="2"/>
  <c r="BJ81" i="2"/>
  <c r="BJ80" i="2"/>
  <c r="BJ79" i="2"/>
  <c r="BJ78" i="2"/>
  <c r="BJ77" i="2"/>
  <c r="BJ76" i="2"/>
  <c r="BJ75" i="2"/>
  <c r="BJ74" i="2"/>
  <c r="BJ73" i="2"/>
  <c r="BJ72" i="2"/>
  <c r="BJ71" i="2"/>
  <c r="BJ70" i="2"/>
  <c r="BJ69" i="2"/>
  <c r="BJ68" i="2"/>
  <c r="BJ67" i="2"/>
  <c r="BJ66" i="2"/>
  <c r="BJ65" i="2"/>
  <c r="BJ64" i="2"/>
  <c r="BJ63" i="2"/>
  <c r="BJ62" i="2"/>
  <c r="BJ61" i="2"/>
  <c r="BJ60" i="2"/>
  <c r="BJ59" i="2"/>
  <c r="BJ58" i="2"/>
  <c r="BJ57" i="2"/>
  <c r="BJ56" i="2"/>
  <c r="BJ55" i="2"/>
  <c r="BJ54" i="2"/>
  <c r="BJ53" i="2"/>
  <c r="BJ52" i="2"/>
  <c r="BJ51" i="2"/>
  <c r="BJ50" i="2"/>
  <c r="BJ49" i="2"/>
  <c r="BJ48" i="2"/>
  <c r="BJ47" i="2"/>
  <c r="BJ46" i="2"/>
  <c r="BJ45" i="2"/>
  <c r="BJ44" i="2"/>
  <c r="BJ43" i="2"/>
  <c r="BJ42" i="2"/>
  <c r="BJ41" i="2"/>
  <c r="BJ40" i="2"/>
  <c r="BJ39" i="2"/>
  <c r="BJ38" i="2"/>
  <c r="BJ37" i="2"/>
  <c r="BJ36" i="2"/>
  <c r="BJ35" i="2"/>
  <c r="BJ34" i="2"/>
  <c r="BJ33" i="2"/>
  <c r="BJ32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8" i="2"/>
  <c r="BJ17" i="2"/>
  <c r="BJ16" i="2"/>
  <c r="BJ15" i="2"/>
  <c r="BJ14" i="2"/>
  <c r="BJ13" i="2"/>
  <c r="BJ12" i="2"/>
  <c r="BJ11" i="2"/>
  <c r="BJ10" i="2"/>
  <c r="BJ9" i="2"/>
  <c r="BJ8" i="2"/>
  <c r="BJ7" i="2"/>
  <c r="BJ6" i="2"/>
  <c r="BJ5" i="2"/>
  <c r="BJ4" i="2"/>
  <c r="BF127" i="2"/>
  <c r="BF126" i="2"/>
  <c r="BF125" i="2"/>
  <c r="BF124" i="2"/>
  <c r="BF123" i="2"/>
  <c r="BF122" i="2"/>
  <c r="BF121" i="2"/>
  <c r="BF120" i="2"/>
  <c r="BF119" i="2"/>
  <c r="BF118" i="2"/>
  <c r="BF117" i="2"/>
  <c r="BF116" i="2"/>
  <c r="BF115" i="2"/>
  <c r="BF114" i="2"/>
  <c r="BF113" i="2"/>
  <c r="BF112" i="2"/>
  <c r="BF111" i="2"/>
  <c r="BF110" i="2"/>
  <c r="BF109" i="2"/>
  <c r="BF108" i="2"/>
  <c r="BF107" i="2"/>
  <c r="BF106" i="2"/>
  <c r="BF105" i="2"/>
  <c r="BF104" i="2"/>
  <c r="BF103" i="2"/>
  <c r="BF102" i="2"/>
  <c r="BF101" i="2"/>
  <c r="BF100" i="2"/>
  <c r="BF99" i="2"/>
  <c r="BF98" i="2"/>
  <c r="BF97" i="2"/>
  <c r="BF96" i="2"/>
  <c r="BF95" i="2"/>
  <c r="BF94" i="2"/>
  <c r="BF93" i="2"/>
  <c r="BF92" i="2"/>
  <c r="BF91" i="2"/>
  <c r="BF90" i="2"/>
  <c r="BF89" i="2"/>
  <c r="BF88" i="2"/>
  <c r="BF87" i="2"/>
  <c r="BF86" i="2"/>
  <c r="BF85" i="2"/>
  <c r="BF84" i="2"/>
  <c r="BF83" i="2"/>
  <c r="BF82" i="2"/>
  <c r="BF81" i="2"/>
  <c r="BF80" i="2"/>
  <c r="BF79" i="2"/>
  <c r="BF78" i="2"/>
  <c r="BF77" i="2"/>
  <c r="BF76" i="2"/>
  <c r="BF75" i="2"/>
  <c r="BF74" i="2"/>
  <c r="BF73" i="2"/>
  <c r="BF72" i="2"/>
  <c r="BF71" i="2"/>
  <c r="BF70" i="2"/>
  <c r="BF69" i="2"/>
  <c r="BF68" i="2"/>
  <c r="BF67" i="2"/>
  <c r="BF66" i="2"/>
  <c r="BF65" i="2"/>
  <c r="BF64" i="2"/>
  <c r="BF63" i="2"/>
  <c r="BF62" i="2"/>
  <c r="BF61" i="2"/>
  <c r="BF60" i="2"/>
  <c r="BF59" i="2"/>
  <c r="BF58" i="2"/>
  <c r="BF57" i="2"/>
  <c r="BF56" i="2"/>
  <c r="BF55" i="2"/>
  <c r="BF54" i="2"/>
  <c r="BF53" i="2"/>
  <c r="BF52" i="2"/>
  <c r="BF51" i="2"/>
  <c r="BF50" i="2"/>
  <c r="BF49" i="2"/>
  <c r="BF48" i="2"/>
  <c r="BF47" i="2"/>
  <c r="BF46" i="2"/>
  <c r="BF45" i="2"/>
  <c r="BF44" i="2"/>
  <c r="BF43" i="2"/>
  <c r="BF42" i="2"/>
  <c r="BF41" i="2"/>
  <c r="BF40" i="2"/>
  <c r="BF39" i="2"/>
  <c r="BF38" i="2"/>
  <c r="BF37" i="2"/>
  <c r="BF36" i="2"/>
  <c r="BF35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BF6" i="2"/>
  <c r="BF5" i="2"/>
  <c r="BF4" i="2"/>
  <c r="BC127" i="2"/>
  <c r="BC126" i="2"/>
  <c r="BC125" i="2"/>
  <c r="BC124" i="2"/>
  <c r="BC123" i="2"/>
  <c r="BC122" i="2"/>
  <c r="BC121" i="2"/>
  <c r="BC120" i="2"/>
  <c r="BC119" i="2"/>
  <c r="BC118" i="2"/>
  <c r="BC117" i="2"/>
  <c r="BC116" i="2"/>
  <c r="BC115" i="2"/>
  <c r="BC114" i="2"/>
  <c r="BC113" i="2"/>
  <c r="BC112" i="2"/>
  <c r="BC111" i="2"/>
  <c r="BC110" i="2"/>
  <c r="BC109" i="2"/>
  <c r="BC108" i="2"/>
  <c r="BC107" i="2"/>
  <c r="BC106" i="2"/>
  <c r="BC105" i="2"/>
  <c r="BC104" i="2"/>
  <c r="BC103" i="2"/>
  <c r="BC102" i="2"/>
  <c r="BC101" i="2"/>
  <c r="BC100" i="2"/>
  <c r="BC99" i="2"/>
  <c r="BC98" i="2"/>
  <c r="BC97" i="2"/>
  <c r="BC96" i="2"/>
  <c r="BC95" i="2"/>
  <c r="BC94" i="2"/>
  <c r="BC93" i="2"/>
  <c r="BC92" i="2"/>
  <c r="BC91" i="2"/>
  <c r="BC90" i="2"/>
  <c r="BC89" i="2"/>
  <c r="BC88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75" i="2"/>
  <c r="BC74" i="2"/>
  <c r="BC73" i="2"/>
  <c r="BC72" i="2"/>
  <c r="BC71" i="2"/>
  <c r="BC70" i="2"/>
  <c r="BC69" i="2"/>
  <c r="BC68" i="2"/>
  <c r="BC67" i="2"/>
  <c r="BC66" i="2"/>
  <c r="BC65" i="2"/>
  <c r="BC64" i="2"/>
  <c r="BC63" i="2"/>
  <c r="BC62" i="2"/>
  <c r="BC61" i="2"/>
  <c r="BC60" i="2"/>
  <c r="BC59" i="2"/>
  <c r="BC58" i="2"/>
  <c r="BC57" i="2"/>
  <c r="BC56" i="2"/>
  <c r="BC55" i="2"/>
  <c r="BC54" i="2"/>
  <c r="BC53" i="2"/>
  <c r="BC52" i="2"/>
  <c r="BC51" i="2"/>
  <c r="BC50" i="2"/>
  <c r="BC49" i="2"/>
  <c r="BC48" i="2"/>
  <c r="BC47" i="2"/>
  <c r="BC46" i="2"/>
  <c r="BC45" i="2"/>
  <c r="BC44" i="2"/>
  <c r="BC43" i="2"/>
  <c r="BC42" i="2"/>
  <c r="BC41" i="2"/>
  <c r="BC40" i="2"/>
  <c r="BC39" i="2"/>
  <c r="BC38" i="2"/>
  <c r="BC37" i="2"/>
  <c r="BC36" i="2"/>
  <c r="BC35" i="2"/>
  <c r="BC34" i="2"/>
  <c r="BC33" i="2"/>
  <c r="BC32" i="2"/>
  <c r="BC31" i="2"/>
  <c r="BC30" i="2"/>
  <c r="BC29" i="2"/>
  <c r="BC28" i="2"/>
  <c r="BC27" i="2"/>
  <c r="BC26" i="2"/>
  <c r="BC25" i="2"/>
  <c r="BC24" i="2"/>
  <c r="BC23" i="2"/>
  <c r="BC22" i="2"/>
  <c r="BC21" i="2"/>
  <c r="BC20" i="2"/>
  <c r="BC19" i="2"/>
  <c r="BC18" i="2"/>
  <c r="BC17" i="2"/>
  <c r="BC16" i="2"/>
  <c r="BC15" i="2"/>
  <c r="BC14" i="2"/>
  <c r="BC13" i="2"/>
  <c r="BC12" i="2"/>
  <c r="BC11" i="2"/>
  <c r="BC10" i="2"/>
  <c r="BC9" i="2"/>
  <c r="BC8" i="2"/>
  <c r="BC7" i="2"/>
  <c r="BC6" i="2"/>
  <c r="BC5" i="2"/>
  <c r="BC4" i="2"/>
  <c r="AY127" i="2"/>
  <c r="AY126" i="2"/>
  <c r="AY125" i="2"/>
  <c r="AY124" i="2"/>
  <c r="AY123" i="2"/>
  <c r="AY122" i="2"/>
  <c r="AY121" i="2"/>
  <c r="AY120" i="2"/>
  <c r="AY119" i="2"/>
  <c r="AY118" i="2"/>
  <c r="AY117" i="2"/>
  <c r="AY116" i="2"/>
  <c r="AY115" i="2"/>
  <c r="AY114" i="2"/>
  <c r="AY113" i="2"/>
  <c r="AY112" i="2"/>
  <c r="AY111" i="2"/>
  <c r="AY110" i="2"/>
  <c r="AY109" i="2"/>
  <c r="AY108" i="2"/>
  <c r="AY107" i="2"/>
  <c r="AY106" i="2"/>
  <c r="AY105" i="2"/>
  <c r="AY104" i="2"/>
  <c r="AY103" i="2"/>
  <c r="AY102" i="2"/>
  <c r="AY101" i="2"/>
  <c r="AY100" i="2"/>
  <c r="AY99" i="2"/>
  <c r="AY98" i="2"/>
  <c r="AY97" i="2"/>
  <c r="AY96" i="2"/>
  <c r="AY95" i="2"/>
  <c r="AY94" i="2"/>
  <c r="AY93" i="2"/>
  <c r="AY92" i="2"/>
  <c r="AY91" i="2"/>
  <c r="AY90" i="2"/>
  <c r="AY89" i="2"/>
  <c r="AY88" i="2"/>
  <c r="AY87" i="2"/>
  <c r="AY86" i="2"/>
  <c r="AY85" i="2"/>
  <c r="AY84" i="2"/>
  <c r="AY83" i="2"/>
  <c r="AY82" i="2"/>
  <c r="AY81" i="2"/>
  <c r="AY80" i="2"/>
  <c r="AY79" i="2"/>
  <c r="AY78" i="2"/>
  <c r="AY77" i="2"/>
  <c r="AY76" i="2"/>
  <c r="AY75" i="2"/>
  <c r="AY74" i="2"/>
  <c r="AY73" i="2"/>
  <c r="AY72" i="2"/>
  <c r="AY71" i="2"/>
  <c r="AY70" i="2"/>
  <c r="AY69" i="2"/>
  <c r="AY68" i="2"/>
  <c r="AY67" i="2"/>
  <c r="AY66" i="2"/>
  <c r="AY65" i="2"/>
  <c r="AY64" i="2"/>
  <c r="AY63" i="2"/>
  <c r="AY62" i="2"/>
  <c r="AY61" i="2"/>
  <c r="AY60" i="2"/>
  <c r="AY59" i="2"/>
  <c r="AY58" i="2"/>
  <c r="AY57" i="2"/>
  <c r="AY56" i="2"/>
  <c r="AY55" i="2"/>
  <c r="AY54" i="2"/>
  <c r="AY53" i="2"/>
  <c r="AY52" i="2"/>
  <c r="AY51" i="2"/>
  <c r="AY50" i="2"/>
  <c r="AY49" i="2"/>
  <c r="AY48" i="2"/>
  <c r="AY47" i="2"/>
  <c r="AY46" i="2"/>
  <c r="AY45" i="2"/>
  <c r="AY44" i="2"/>
  <c r="AY43" i="2"/>
  <c r="AY42" i="2"/>
  <c r="AY41" i="2"/>
  <c r="AY40" i="2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Y8" i="2"/>
  <c r="AY7" i="2"/>
  <c r="AY6" i="2"/>
  <c r="AY5" i="2"/>
  <c r="AY4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83" i="2"/>
  <c r="AV82" i="2"/>
  <c r="AV81" i="2"/>
  <c r="AV80" i="2"/>
  <c r="AV79" i="2"/>
  <c r="AV78" i="2"/>
  <c r="AV77" i="2"/>
  <c r="AV76" i="2"/>
  <c r="AV75" i="2"/>
  <c r="AV74" i="2"/>
  <c r="AV73" i="2"/>
  <c r="AV72" i="2"/>
  <c r="AV71" i="2"/>
  <c r="AV70" i="2"/>
  <c r="AV69" i="2"/>
  <c r="AV68" i="2"/>
  <c r="AV67" i="2"/>
  <c r="AV66" i="2"/>
  <c r="AV65" i="2"/>
  <c r="AV64" i="2"/>
  <c r="AV63" i="2"/>
  <c r="AV62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AV8" i="2"/>
  <c r="AV7" i="2"/>
  <c r="AV6" i="2"/>
  <c r="AV5" i="2"/>
  <c r="AV4" i="2"/>
  <c r="AR127" i="2"/>
  <c r="AR126" i="2"/>
  <c r="AR125" i="2"/>
  <c r="AR124" i="2"/>
  <c r="AR123" i="2"/>
  <c r="AR122" i="2"/>
  <c r="AR121" i="2"/>
  <c r="AR120" i="2"/>
  <c r="AR119" i="2"/>
  <c r="AR118" i="2"/>
  <c r="AR117" i="2"/>
  <c r="AR116" i="2"/>
  <c r="AR115" i="2"/>
  <c r="AR114" i="2"/>
  <c r="AR113" i="2"/>
  <c r="AR112" i="2"/>
  <c r="AR111" i="2"/>
  <c r="AR110" i="2"/>
  <c r="AR109" i="2"/>
  <c r="AR108" i="2"/>
  <c r="AR107" i="2"/>
  <c r="AR106" i="2"/>
  <c r="AR105" i="2"/>
  <c r="AR104" i="2"/>
  <c r="AR103" i="2"/>
  <c r="AR102" i="2"/>
  <c r="AR101" i="2"/>
  <c r="AR100" i="2"/>
  <c r="AR99" i="2"/>
  <c r="AR98" i="2"/>
  <c r="AR97" i="2"/>
  <c r="AR96" i="2"/>
  <c r="AR95" i="2"/>
  <c r="AR94" i="2"/>
  <c r="AR93" i="2"/>
  <c r="AR92" i="2"/>
  <c r="AR91" i="2"/>
  <c r="AR90" i="2"/>
  <c r="AR89" i="2"/>
  <c r="AR88" i="2"/>
  <c r="AR87" i="2"/>
  <c r="AR86" i="2"/>
  <c r="AR85" i="2"/>
  <c r="AR84" i="2"/>
  <c r="AR83" i="2"/>
  <c r="AR82" i="2"/>
  <c r="AR81" i="2"/>
  <c r="AR80" i="2"/>
  <c r="AR79" i="2"/>
  <c r="AR78" i="2"/>
  <c r="AR77" i="2"/>
  <c r="AR76" i="2"/>
  <c r="AR75" i="2"/>
  <c r="AR74" i="2"/>
  <c r="AR73" i="2"/>
  <c r="AR72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R7" i="2"/>
  <c r="AR6" i="2"/>
  <c r="AR5" i="2"/>
  <c r="AR4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82" i="2"/>
  <c r="AN81" i="2"/>
  <c r="AN80" i="2"/>
  <c r="AN79" i="2"/>
  <c r="AN78" i="2"/>
  <c r="AN77" i="2"/>
  <c r="AN76" i="2"/>
  <c r="AN75" i="2"/>
  <c r="AN74" i="2"/>
  <c r="AN7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N8" i="2"/>
  <c r="AN7" i="2"/>
  <c r="AN6" i="2"/>
  <c r="AN5" i="2"/>
  <c r="AN4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G127" i="2"/>
  <c r="AG126" i="2"/>
  <c r="AG125" i="2"/>
  <c r="AG124" i="2"/>
  <c r="AG123" i="2"/>
  <c r="AG122" i="2"/>
  <c r="AG121" i="2"/>
  <c r="AG120" i="2"/>
  <c r="AG119" i="2"/>
  <c r="AG118" i="2"/>
  <c r="AG117" i="2"/>
  <c r="AG116" i="2"/>
  <c r="AG115" i="2"/>
  <c r="AG114" i="2"/>
  <c r="AG113" i="2"/>
  <c r="AG112" i="2"/>
  <c r="AG111" i="2"/>
  <c r="AG110" i="2"/>
  <c r="AG109" i="2"/>
  <c r="AG108" i="2"/>
  <c r="AG107" i="2"/>
  <c r="AG106" i="2"/>
  <c r="AG105" i="2"/>
  <c r="AG104" i="2"/>
  <c r="AG103" i="2"/>
  <c r="AG102" i="2"/>
  <c r="AG101" i="2"/>
  <c r="AG100" i="2"/>
  <c r="AG99" i="2"/>
  <c r="AG98" i="2"/>
  <c r="AG97" i="2"/>
  <c r="AG96" i="2"/>
  <c r="AG95" i="2"/>
  <c r="AG94" i="2"/>
  <c r="AG93" i="2"/>
  <c r="AG92" i="2"/>
  <c r="AG91" i="2"/>
  <c r="AG90" i="2"/>
  <c r="AG89" i="2"/>
  <c r="AG88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75" i="2"/>
  <c r="AG74" i="2"/>
  <c r="AG73" i="2"/>
  <c r="AG72" i="2"/>
  <c r="AG71" i="2"/>
  <c r="AG70" i="2"/>
  <c r="AG69" i="2"/>
  <c r="AG68" i="2"/>
  <c r="AG67" i="2"/>
  <c r="AG66" i="2"/>
  <c r="AG65" i="2"/>
  <c r="AG64" i="2"/>
  <c r="AG63" i="2"/>
  <c r="AG62" i="2"/>
  <c r="AG61" i="2"/>
  <c r="AG60" i="2"/>
  <c r="AG59" i="2"/>
  <c r="AG58" i="2"/>
  <c r="AG57" i="2"/>
  <c r="AG56" i="2"/>
  <c r="AG55" i="2"/>
  <c r="AG54" i="2"/>
  <c r="AG53" i="2"/>
  <c r="AG52" i="2"/>
  <c r="AG51" i="2"/>
  <c r="AG50" i="2"/>
  <c r="AG49" i="2"/>
  <c r="AG48" i="2"/>
  <c r="AG47" i="2"/>
  <c r="AG46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7" i="2"/>
  <c r="AG26" i="2"/>
  <c r="AG25" i="2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G4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Z127" i="2"/>
  <c r="Z126" i="2"/>
  <c r="Z125" i="2"/>
  <c r="Z124" i="2"/>
  <c r="Z123" i="2"/>
  <c r="Z122" i="2"/>
  <c r="Z121" i="2"/>
  <c r="Z120" i="2"/>
  <c r="Z119" i="2"/>
  <c r="Z118" i="2"/>
  <c r="Z117" i="2"/>
  <c r="Z116" i="2"/>
  <c r="Z115" i="2"/>
  <c r="Z114" i="2"/>
  <c r="Z113" i="2"/>
  <c r="Z112" i="2"/>
  <c r="Z111" i="2"/>
  <c r="Z110" i="2"/>
  <c r="Z109" i="2"/>
  <c r="Z108" i="2"/>
  <c r="Z107" i="2"/>
  <c r="Z106" i="2"/>
  <c r="Z105" i="2"/>
  <c r="Z104" i="2"/>
  <c r="Z103" i="2"/>
  <c r="Z102" i="2"/>
  <c r="Z101" i="2"/>
  <c r="Z100" i="2"/>
  <c r="Z99" i="2"/>
  <c r="Z98" i="2"/>
  <c r="Z97" i="2"/>
  <c r="Z96" i="2"/>
  <c r="Z95" i="2"/>
  <c r="Z94" i="2"/>
  <c r="Z93" i="2"/>
  <c r="Z92" i="2"/>
  <c r="Z91" i="2"/>
  <c r="Z90" i="2"/>
  <c r="Z89" i="2"/>
  <c r="Z88" i="2"/>
  <c r="Z87" i="2"/>
  <c r="Z86" i="2"/>
  <c r="Z85" i="2"/>
  <c r="Z84" i="2"/>
  <c r="Z83" i="2"/>
  <c r="Z82" i="2"/>
  <c r="Z81" i="2"/>
  <c r="Z80" i="2"/>
  <c r="Z79" i="2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R127" i="2"/>
  <c r="R126" i="2"/>
  <c r="R125" i="2"/>
  <c r="R124" i="2"/>
  <c r="R123" i="2"/>
  <c r="R122" i="2"/>
  <c r="R121" i="2"/>
  <c r="R120" i="2"/>
  <c r="R119" i="2"/>
  <c r="R118" i="2"/>
  <c r="R117" i="2"/>
  <c r="R116" i="2"/>
  <c r="R115" i="2"/>
  <c r="R114" i="2"/>
  <c r="R113" i="2"/>
  <c r="R112" i="2"/>
  <c r="R111" i="2"/>
  <c r="R110" i="2"/>
  <c r="R109" i="2"/>
  <c r="R108" i="2"/>
  <c r="R107" i="2"/>
  <c r="R106" i="2"/>
  <c r="R105" i="2"/>
  <c r="R104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4" i="2"/>
  <c r="H146" i="8" l="1"/>
  <c r="AP122" i="7"/>
  <c r="AR122" i="7" s="1"/>
  <c r="AL122" i="7"/>
  <c r="AN122" i="7" s="1"/>
  <c r="AH121" i="7"/>
  <c r="AJ121" i="7" s="1"/>
  <c r="T121" i="7"/>
  <c r="V121" i="7" s="1"/>
  <c r="D121" i="7"/>
  <c r="F121" i="7" s="1"/>
  <c r="P121" i="7"/>
  <c r="R121" i="7" s="1"/>
  <c r="L121" i="7"/>
  <c r="N121" i="7" s="1"/>
  <c r="X121" i="7"/>
  <c r="Z121" i="7" s="1"/>
  <c r="H121" i="7"/>
  <c r="J121" i="7" s="1"/>
  <c r="AE121" i="7"/>
  <c r="AG121" i="7" s="1"/>
  <c r="AA121" i="7"/>
  <c r="AC121" i="7" s="1"/>
  <c r="D62" i="7"/>
  <c r="F62" i="7" s="1"/>
  <c r="H62" i="7"/>
  <c r="J62" i="7" s="1"/>
  <c r="AP62" i="7"/>
  <c r="AR62" i="7" s="1"/>
  <c r="AL62" i="7"/>
  <c r="AN62" i="7" s="1"/>
  <c r="AE23" i="7"/>
  <c r="AG23" i="7" s="1"/>
  <c r="AW27" i="7"/>
  <c r="AY27" i="7" s="1"/>
  <c r="AT27" i="7"/>
  <c r="AV27" i="7" s="1"/>
  <c r="AP27" i="7"/>
  <c r="AR27" i="7" s="1"/>
  <c r="AL27" i="7"/>
  <c r="AN27" i="7" s="1"/>
  <c r="BD23" i="7"/>
  <c r="BF23" i="7" s="1"/>
  <c r="AA23" i="7"/>
  <c r="AC23" i="7" s="1"/>
  <c r="AW26" i="7"/>
  <c r="AY26" i="7" s="1"/>
  <c r="AT26" i="7"/>
  <c r="AV26" i="7" s="1"/>
  <c r="AP26" i="7"/>
  <c r="AR26" i="7" s="1"/>
  <c r="AL26" i="7"/>
  <c r="AN26" i="7" s="1"/>
  <c r="BA23" i="7"/>
  <c r="BC23" i="7" s="1"/>
  <c r="X23" i="7"/>
  <c r="Z23" i="7" s="1"/>
  <c r="AW25" i="7"/>
  <c r="AY25" i="7" s="1"/>
  <c r="AT25" i="7"/>
  <c r="AV25" i="7" s="1"/>
  <c r="AP25" i="7"/>
  <c r="AR25" i="7" s="1"/>
  <c r="AL25" i="7"/>
  <c r="AN25" i="7" s="1"/>
  <c r="AH23" i="7"/>
  <c r="AJ23" i="7" s="1"/>
  <c r="T23" i="7"/>
  <c r="V23" i="7" s="1"/>
  <c r="AW24" i="7"/>
  <c r="AY24" i="7" s="1"/>
  <c r="AT24" i="7"/>
  <c r="AV24" i="7" s="1"/>
  <c r="AP24" i="7"/>
  <c r="AR24" i="7" s="1"/>
  <c r="AL24" i="7"/>
  <c r="AN24" i="7" s="1"/>
  <c r="F148" i="8"/>
  <c r="F149" i="8" s="1"/>
  <c r="H149" i="8" s="1"/>
  <c r="D143" i="7"/>
  <c r="H139" i="7"/>
  <c r="F213" i="2"/>
  <c r="F212" i="2"/>
  <c r="F211" i="2"/>
  <c r="F210" i="2"/>
  <c r="D209" i="2"/>
  <c r="F209" i="2" s="1"/>
  <c r="D208" i="2"/>
  <c r="F208" i="2" s="1"/>
  <c r="F207" i="2" s="1"/>
  <c r="F206" i="2"/>
  <c r="D205" i="2"/>
  <c r="D204" i="2"/>
  <c r="D203" i="2"/>
  <c r="D202" i="2"/>
  <c r="F200" i="2"/>
  <c r="F198" i="2"/>
  <c r="F197" i="2"/>
  <c r="F195" i="2"/>
  <c r="F194" i="2"/>
  <c r="F193" i="2"/>
  <c r="F192" i="2"/>
  <c r="F191" i="2"/>
  <c r="F190" i="2"/>
  <c r="F188" i="2"/>
  <c r="F187" i="2"/>
  <c r="F185" i="2"/>
  <c r="F183" i="2"/>
  <c r="F184" i="2" s="1"/>
  <c r="D182" i="2"/>
  <c r="F182" i="2" s="1"/>
  <c r="F181" i="2" s="1"/>
  <c r="F179" i="2"/>
  <c r="F178" i="2"/>
  <c r="F176" i="2"/>
  <c r="F169" i="2"/>
  <c r="F168" i="2"/>
  <c r="D163" i="2"/>
  <c r="F156" i="2"/>
  <c r="D154" i="2"/>
  <c r="D153" i="2"/>
  <c r="D143" i="2"/>
  <c r="F143" i="2" s="1"/>
  <c r="F144" i="2" s="1"/>
  <c r="H144" i="2" s="1"/>
  <c r="F142" i="2"/>
  <c r="F141" i="2"/>
  <c r="J141" i="2" s="1"/>
  <c r="D140" i="2"/>
  <c r="D139" i="2"/>
  <c r="D135" i="2"/>
  <c r="F218" i="1"/>
  <c r="F217" i="1"/>
  <c r="F216" i="1"/>
  <c r="F215" i="1"/>
  <c r="D214" i="1"/>
  <c r="F214" i="1" s="1"/>
  <c r="D213" i="1"/>
  <c r="F213" i="1" s="1"/>
  <c r="F212" i="1" s="1"/>
  <c r="F211" i="1"/>
  <c r="D210" i="1"/>
  <c r="D209" i="1"/>
  <c r="D208" i="1"/>
  <c r="D207" i="1"/>
  <c r="F205" i="1"/>
  <c r="F203" i="1"/>
  <c r="F202" i="1"/>
  <c r="F200" i="1"/>
  <c r="F199" i="1"/>
  <c r="F198" i="1"/>
  <c r="F197" i="1"/>
  <c r="F196" i="1"/>
  <c r="F195" i="1"/>
  <c r="F193" i="1"/>
  <c r="F192" i="1"/>
  <c r="F190" i="1"/>
  <c r="F188" i="1"/>
  <c r="F189" i="1" s="1"/>
  <c r="D187" i="1"/>
  <c r="F187" i="1" s="1"/>
  <c r="F186" i="1" s="1"/>
  <c r="F184" i="1"/>
  <c r="F183" i="1"/>
  <c r="F181" i="1"/>
  <c r="F174" i="1"/>
  <c r="F173" i="1"/>
  <c r="D168" i="1"/>
  <c r="F161" i="1"/>
  <c r="D159" i="1"/>
  <c r="D158" i="1"/>
  <c r="D148" i="1"/>
  <c r="F148" i="1" s="1"/>
  <c r="F149" i="1" s="1"/>
  <c r="H149" i="1" s="1"/>
  <c r="F147" i="1"/>
  <c r="F146" i="1"/>
  <c r="D145" i="1"/>
  <c r="D144" i="1"/>
  <c r="D140" i="1"/>
  <c r="D19" i="1" l="1"/>
  <c r="H146" i="1"/>
  <c r="J146" i="1"/>
  <c r="D145" i="2"/>
  <c r="H141" i="2"/>
  <c r="D150" i="1"/>
</calcChain>
</file>

<file path=xl/comments1.xml><?xml version="1.0" encoding="utf-8"?>
<comments xmlns="http://schemas.openxmlformats.org/spreadsheetml/2006/main">
  <authors>
    <author>Rai Ghulam Mustafa</author>
  </authors>
  <commentList>
    <comment ref="J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Apparel, wearing in the reports.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Apparel, wearing in the reports.</t>
        </r>
      </text>
    </comment>
    <comment ref="AA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Yarn and twist in the reports.</t>
        </r>
      </text>
    </comment>
    <comment ref="CH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DH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Thread, silver in the reports.</t>
        </r>
      </text>
    </comment>
    <comment ref="DR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sweets from 1906-07 till 1912-13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AF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Drugs from 1897-98 to 1899-00. </t>
        </r>
      </text>
    </comment>
    <comment ref="BX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DQ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Apparel, wearing in the reports.</t>
        </r>
      </text>
    </comment>
    <comment ref="AC2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Value equals only 1 sterling, hence can be ignored.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D20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4.xml><?xml version="1.0" encoding="utf-8"?>
<comments xmlns="http://schemas.openxmlformats.org/spreadsheetml/2006/main">
  <authors>
    <author>Rai Ghulam Mustafa</author>
    <author>Author</author>
  </authors>
  <commentList>
    <comment ref="BN1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was mentioned as Cwts, however if converted, values fail to sync.</t>
        </r>
      </text>
    </comment>
    <comment ref="BX1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was mentioned as Cwts, however if converted, values fail to sync.</t>
        </r>
      </text>
    </comment>
    <comment ref="D207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8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9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10" authorId="1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D20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D20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  <comment ref="D20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Sourced from 1912-13 where both units and equivalent cwts. are listed.</t>
        </r>
      </text>
    </comment>
  </commentList>
</comments>
</file>

<file path=xl/sharedStrings.xml><?xml version="1.0" encoding="utf-8"?>
<sst xmlns="http://schemas.openxmlformats.org/spreadsheetml/2006/main" count="9542" uniqueCount="355">
  <si>
    <t>Articles</t>
  </si>
  <si>
    <t>Dates</t>
  </si>
  <si>
    <t>Tobacco</t>
  </si>
  <si>
    <t>Units</t>
  </si>
  <si>
    <t>Quantity</t>
  </si>
  <si>
    <t>Animals, living</t>
  </si>
  <si>
    <t>Arms and ammunition</t>
  </si>
  <si>
    <t>Books and printed matter</t>
  </si>
  <si>
    <t>Building materials</t>
  </si>
  <si>
    <t>Candles</t>
  </si>
  <si>
    <t>Coffee</t>
  </si>
  <si>
    <t>Cotton, raw</t>
  </si>
  <si>
    <t>Drugs and medicines</t>
  </si>
  <si>
    <t>Earthenware</t>
  </si>
  <si>
    <t>Fruits and vegetables</t>
  </si>
  <si>
    <t>Fuel</t>
  </si>
  <si>
    <t>Furniture</t>
  </si>
  <si>
    <t>Grain and pulse</t>
  </si>
  <si>
    <t>Hardware and cutlery</t>
  </si>
  <si>
    <t>Jute, raw</t>
  </si>
  <si>
    <t>Metals</t>
  </si>
  <si>
    <t>Oil</t>
  </si>
  <si>
    <t>Pearls</t>
  </si>
  <si>
    <t>Perfumery</t>
  </si>
  <si>
    <t>Porcelain and chinaware</t>
  </si>
  <si>
    <t>Provisions and oilman's stores</t>
  </si>
  <si>
    <t>Salt</t>
  </si>
  <si>
    <t>Seeds</t>
  </si>
  <si>
    <t>Shells, mother of pearl</t>
  </si>
  <si>
    <t>Silk, raw</t>
  </si>
  <si>
    <t>Spices</t>
  </si>
  <si>
    <t>Tallow</t>
  </si>
  <si>
    <t>Tea</t>
  </si>
  <si>
    <t>Timber and wood</t>
  </si>
  <si>
    <t>Number</t>
  </si>
  <si>
    <t>Pieces</t>
  </si>
  <si>
    <t>Tons</t>
  </si>
  <si>
    <t>Cases</t>
  </si>
  <si>
    <t>Cwts</t>
  </si>
  <si>
    <t>Head</t>
  </si>
  <si>
    <t>Bales</t>
  </si>
  <si>
    <t>Chests</t>
  </si>
  <si>
    <t>Lbs</t>
  </si>
  <si>
    <t>Bundles</t>
  </si>
  <si>
    <t>Haberdashery</t>
  </si>
  <si>
    <t>Matches</t>
  </si>
  <si>
    <t>Animal substances</t>
  </si>
  <si>
    <t>Gum</t>
  </si>
  <si>
    <t>Mats and mat bags</t>
  </si>
  <si>
    <t>Salts and chemicals</t>
  </si>
  <si>
    <t>Soap</t>
  </si>
  <si>
    <t>Stationery</t>
  </si>
  <si>
    <t>Sweets</t>
  </si>
  <si>
    <t>Watches and clocks</t>
  </si>
  <si>
    <t>Wool, raw</t>
  </si>
  <si>
    <t>Vegetable substances</t>
  </si>
  <si>
    <t>Lingah, 1910-11</t>
  </si>
  <si>
    <t>Lingah, 1911-12</t>
  </si>
  <si>
    <t>Lingah, 1912-13</t>
  </si>
  <si>
    <t>Enamelware</t>
  </si>
  <si>
    <t>Fodder</t>
  </si>
  <si>
    <t>Musical instruments</t>
  </si>
  <si>
    <t>Resins and bitumen</t>
  </si>
  <si>
    <t>Other articles (not specified above)</t>
  </si>
  <si>
    <t>Packages</t>
  </si>
  <si>
    <t>Bags</t>
  </si>
  <si>
    <t>Coconuts</t>
  </si>
  <si>
    <t>Canvas, sail-cloth</t>
  </si>
  <si>
    <t>Shark fins</t>
  </si>
  <si>
    <t>Date juice</t>
  </si>
  <si>
    <t>Gum, mastic</t>
  </si>
  <si>
    <t>Tolas</t>
  </si>
  <si>
    <t>Beverages</t>
  </si>
  <si>
    <t>Ships and boats</t>
  </si>
  <si>
    <t>Sugar, loaf and soft</t>
  </si>
  <si>
    <t>Wines and spirits</t>
  </si>
  <si>
    <t>Woods</t>
  </si>
  <si>
    <t>Fruits, dry</t>
  </si>
  <si>
    <t>Fruits, preserved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</si>
  <si>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</si>
  <si>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</si>
  <si>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</si>
  <si>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</si>
  <si>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</si>
  <si>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</si>
  <si>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</si>
  <si>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</si>
  <si>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Imports - Data (Raw)</t>
  </si>
  <si>
    <t>- contains the raw units for commodities and currencies of prices, quantities and values of imports taken from the sources described below..</t>
  </si>
  <si>
    <t>Exports - Data (Raw)</t>
  </si>
  <si>
    <t>- contains the raw units for commodities and currencies of prices, quantities and values of exports taken from the sources described below..</t>
  </si>
  <si>
    <t>Imports - Data (Adjusted)</t>
  </si>
  <si>
    <t>- contains the adjusted units for commodities and currencies of prices, quantities and values of imports taken from the sources described below..</t>
  </si>
  <si>
    <t>Exports - Data (Adjusted)</t>
  </si>
  <si>
    <t>- contains the adjusted units for commodities and currencies of prices, quantities and values of exports taken from the sources described below..</t>
  </si>
  <si>
    <t>Color Legend</t>
  </si>
  <si>
    <t>- mentions reason for colors of highlighted cells.</t>
  </si>
  <si>
    <t>Sources:</t>
  </si>
  <si>
    <t>Robert White Stevens, On the Stowage of Ships and their Cargoes, London, Longmans, Green, &amp; Co., 7th edition, 1894.</t>
  </si>
  <si>
    <t xml:space="preserve"> </t>
  </si>
  <si>
    <t>Prices and Wages in London &amp; Southern England, 1259-1914</t>
  </si>
  <si>
    <t>A1) Original Prices</t>
  </si>
  <si>
    <t>Source</t>
  </si>
  <si>
    <t>Currency/units</t>
  </si>
  <si>
    <t>£/Cwts</t>
  </si>
  <si>
    <t>£/Bundle</t>
  </si>
  <si>
    <t>£/Lbs</t>
  </si>
  <si>
    <t>£/Piece</t>
  </si>
  <si>
    <t>£/Case</t>
  </si>
  <si>
    <t>£/Ton</t>
  </si>
  <si>
    <t>£/Package</t>
  </si>
  <si>
    <t>£/Bag</t>
  </si>
  <si>
    <t>£/Number</t>
  </si>
  <si>
    <t>Comment</t>
  </si>
  <si>
    <t>Place of Origin</t>
  </si>
  <si>
    <t>Good</t>
  </si>
  <si>
    <t>Cloth</t>
  </si>
  <si>
    <t>Indigo</t>
  </si>
  <si>
    <t>Rice</t>
  </si>
  <si>
    <t>Sugar</t>
  </si>
  <si>
    <t>Pepper</t>
  </si>
  <si>
    <t>Cheese</t>
  </si>
  <si>
    <t>Iron</t>
  </si>
  <si>
    <t>Copper</t>
  </si>
  <si>
    <t>Brass</t>
  </si>
  <si>
    <t>Tin</t>
  </si>
  <si>
    <t>Leather</t>
  </si>
  <si>
    <t>Hardware</t>
  </si>
  <si>
    <t>Lead</t>
  </si>
  <si>
    <t>Drugs</t>
  </si>
  <si>
    <t>Skins</t>
  </si>
  <si>
    <t>Paper</t>
  </si>
  <si>
    <t>Coal</t>
  </si>
  <si>
    <t>Year</t>
  </si>
  <si>
    <t>£/Tons</t>
  </si>
  <si>
    <t>Flour</t>
  </si>
  <si>
    <t>Barley</t>
  </si>
  <si>
    <t>Ghee</t>
  </si>
  <si>
    <t>Units of conversion</t>
  </si>
  <si>
    <t>box</t>
  </si>
  <si>
    <t>lbs.</t>
  </si>
  <si>
    <t>tin</t>
  </si>
  <si>
    <t>man</t>
  </si>
  <si>
    <t>cwt</t>
  </si>
  <si>
    <t>lbs</t>
  </si>
  <si>
    <t>box, bale, halfload</t>
  </si>
  <si>
    <t>load</t>
  </si>
  <si>
    <t>cwts.</t>
  </si>
  <si>
    <t>ton</t>
  </si>
  <si>
    <t>rotols</t>
  </si>
  <si>
    <t>kilos</t>
  </si>
  <si>
    <t>kilo</t>
  </si>
  <si>
    <t>rotol</t>
  </si>
  <si>
    <t>cantar</t>
  </si>
  <si>
    <t>tons</t>
  </si>
  <si>
    <t>cwt.</t>
  </si>
  <si>
    <t>case</t>
  </si>
  <si>
    <t>Almonds</t>
  </si>
  <si>
    <t>bag</t>
  </si>
  <si>
    <t>Wheat</t>
  </si>
  <si>
    <t>Date</t>
  </si>
  <si>
    <t>Opium</t>
  </si>
  <si>
    <t>bahr</t>
  </si>
  <si>
    <t>Carpets</t>
  </si>
  <si>
    <t>bale</t>
  </si>
  <si>
    <t>Cotton</t>
  </si>
  <si>
    <t>Box/Dubba/Tin</t>
  </si>
  <si>
    <t>gallon</t>
  </si>
  <si>
    <t>Oil of all kinds</t>
  </si>
  <si>
    <t>Box/Dubba</t>
  </si>
  <si>
    <t>Gunpowder</t>
  </si>
  <si>
    <t>Maund</t>
  </si>
  <si>
    <t>Grain, Flour</t>
  </si>
  <si>
    <t>Oil seeds</t>
  </si>
  <si>
    <t>Wine</t>
  </si>
  <si>
    <t>Case/Cask</t>
  </si>
  <si>
    <t>Case</t>
  </si>
  <si>
    <t>Twist and yarn</t>
  </si>
  <si>
    <t>Bale</t>
  </si>
  <si>
    <t>Package</t>
  </si>
  <si>
    <t>Bundle</t>
  </si>
  <si>
    <t>bundle</t>
  </si>
  <si>
    <t>chest</t>
  </si>
  <si>
    <t>Silk (all relevant)</t>
  </si>
  <si>
    <t>Silk, goods</t>
  </si>
  <si>
    <t>package</t>
  </si>
  <si>
    <t>Wool</t>
  </si>
  <si>
    <t>Glass and wares</t>
  </si>
  <si>
    <t>Cotton, piece-goods</t>
  </si>
  <si>
    <r>
      <rPr>
        <sz val="11"/>
        <rFont val="Calibri"/>
        <family val="2"/>
        <scheme val="minor"/>
      </rPr>
      <t xml:space="preserve">Kerosene oil </t>
    </r>
  </si>
  <si>
    <t>drum / tin</t>
  </si>
  <si>
    <t>Wool. cloth</t>
  </si>
  <si>
    <t>Tin plates</t>
  </si>
  <si>
    <t>piece</t>
  </si>
  <si>
    <t>Thread, cotton</t>
  </si>
  <si>
    <t>barrel</t>
  </si>
  <si>
    <t>bag/sack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</si>
  <si>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</t>
    </r>
    <r>
      <rPr>
        <b/>
        <i/>
        <sz val="10"/>
        <rFont val="Arial"/>
        <family val="2"/>
      </rPr>
      <t xml:space="preserve"> Lingah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1880 to 1911</t>
    </r>
    <r>
      <rPr>
        <sz val="10"/>
        <rFont val="Arial"/>
        <family val="2"/>
      </rPr>
      <t>.  The data were compiled by British consuls.</t>
    </r>
  </si>
  <si>
    <t xml:space="preserve">Lingah - Prices (Imports) </t>
  </si>
  <si>
    <t xml:space="preserve">Lingah - Prices (Exports) </t>
  </si>
  <si>
    <t>From previous year's report, primarily for quantities</t>
  </si>
  <si>
    <t>Value (Sterling)</t>
  </si>
  <si>
    <t>Animals, Horses</t>
  </si>
  <si>
    <t>Animals, Donkeys</t>
  </si>
  <si>
    <t>Animals, Camels</t>
  </si>
  <si>
    <t>Other animals</t>
  </si>
  <si>
    <t>Guns</t>
  </si>
  <si>
    <t>Bushire, 1887-88</t>
  </si>
  <si>
    <t>Bushire, 1888-89</t>
  </si>
  <si>
    <t>Bushire, 1889-90</t>
  </si>
  <si>
    <t>Bushire, 1890-91</t>
  </si>
  <si>
    <t>Bushire, 1891-92</t>
  </si>
  <si>
    <t>Bushire, 1892-93</t>
  </si>
  <si>
    <t>Bushire, 1893-94</t>
  </si>
  <si>
    <t>Bushire, 1894-95</t>
  </si>
  <si>
    <t>Bushire, 1895-96</t>
  </si>
  <si>
    <t>Bushire, 1896-97</t>
  </si>
  <si>
    <t>Persian Gulf, 1897-98</t>
  </si>
  <si>
    <t>Persian Gulf, 1898-99</t>
  </si>
  <si>
    <t>Persian Gulf, 1899-00</t>
  </si>
  <si>
    <t>Persian Gulf, 1900-01</t>
  </si>
  <si>
    <t>Persian Gulf, 1901-02</t>
  </si>
  <si>
    <t>Bunder Abbas and Lingah, 1906-07</t>
  </si>
  <si>
    <t>Bunder Abbas and Lingah, 1907-08</t>
  </si>
  <si>
    <t>Lingah, 1908-09</t>
  </si>
  <si>
    <t>Lingah, 1909-10</t>
  </si>
  <si>
    <t>Canvas, country</t>
  </si>
  <si>
    <t>Animals, Cattle</t>
  </si>
  <si>
    <t>Coir and rope</t>
  </si>
  <si>
    <t>Cotton, goods</t>
  </si>
  <si>
    <t>Cotton, white and grey shirtings</t>
  </si>
  <si>
    <t>Cotton, prints</t>
  </si>
  <si>
    <t>Cotton, Turkey red twills</t>
  </si>
  <si>
    <t>Cotton, dyed shirtings</t>
  </si>
  <si>
    <t>Cotton, mulls</t>
  </si>
  <si>
    <t>Other cotton goods</t>
  </si>
  <si>
    <t>Raisins and currants</t>
  </si>
  <si>
    <t>Other fruits and vegetables</t>
  </si>
  <si>
    <t>Coal and charcoal</t>
  </si>
  <si>
    <t>Firewood</t>
  </si>
  <si>
    <t>Other glass and wares</t>
  </si>
  <si>
    <t>Lace, gold and Thread, gold</t>
  </si>
  <si>
    <t>Lace, gold</t>
  </si>
  <si>
    <t>Thread, gold</t>
  </si>
  <si>
    <t>Cloth, gold embroidered</t>
  </si>
  <si>
    <t>Other grain and pulse</t>
  </si>
  <si>
    <t>Cutlery</t>
  </si>
  <si>
    <t>Gunnies</t>
  </si>
  <si>
    <t>Beer</t>
  </si>
  <si>
    <t>Other beverages</t>
  </si>
  <si>
    <t>Other metals</t>
  </si>
  <si>
    <t>Metals, manufactured</t>
  </si>
  <si>
    <t>Rosewater</t>
  </si>
  <si>
    <t>Other perfumery</t>
  </si>
  <si>
    <t>Tamarind</t>
  </si>
  <si>
    <t>Fish, fresh and salted</t>
  </si>
  <si>
    <t>Lemons, dried</t>
  </si>
  <si>
    <t>Meats, tinned or salted</t>
  </si>
  <si>
    <t>Other provisions</t>
  </si>
  <si>
    <t>Other oil</t>
  </si>
  <si>
    <t>Linseed</t>
  </si>
  <si>
    <t>Seed, sim-sim</t>
  </si>
  <si>
    <t>Other seeds</t>
  </si>
  <si>
    <t>Turmeric</t>
  </si>
  <si>
    <t>Ginger</t>
  </si>
  <si>
    <t>Other spices</t>
  </si>
  <si>
    <t>Sugar, loaf</t>
  </si>
  <si>
    <t>Sugar, soft and crushed</t>
  </si>
  <si>
    <t>Sugar, candy</t>
  </si>
  <si>
    <t>Tobacco, manufactured</t>
  </si>
  <si>
    <t>Wool, goods</t>
  </si>
  <si>
    <t>Cloth, wool</t>
  </si>
  <si>
    <t>Other wool products</t>
  </si>
  <si>
    <t>Tobacco, raw and manufactured</t>
  </si>
  <si>
    <t>Tobacco, raw</t>
  </si>
  <si>
    <t>Cartridges</t>
  </si>
  <si>
    <t>Vinegar</t>
  </si>
  <si>
    <t>Rosebuds</t>
  </si>
  <si>
    <t>Assafaetida</t>
  </si>
  <si>
    <t>Other drugs and medicines</t>
  </si>
  <si>
    <t>Anchors</t>
  </si>
  <si>
    <t>Rosewater and rosebuds, dried</t>
  </si>
  <si>
    <t>Carpets, wool</t>
  </si>
  <si>
    <t>Price (Units)</t>
  </si>
  <si>
    <t>£/</t>
  </si>
  <si>
    <t>Price (Sterling)</t>
  </si>
  <si>
    <t>long ton</t>
  </si>
  <si>
    <t>kg</t>
  </si>
  <si>
    <t>kgs</t>
  </si>
  <si>
    <t>Corrected based on suspicion or invalid / unavailable conversion units</t>
  </si>
  <si>
    <t>case/chest</t>
  </si>
  <si>
    <t>£/Head</t>
  </si>
  <si>
    <t>£/Pieces</t>
  </si>
  <si>
    <t>£/Cases</t>
  </si>
  <si>
    <t>£/Packages</t>
  </si>
  <si>
    <t>£/Bundles</t>
  </si>
  <si>
    <t>£/Tolas</t>
  </si>
  <si>
    <t/>
  </si>
  <si>
    <t>1888-89</t>
  </si>
  <si>
    <t>1889-90</t>
  </si>
  <si>
    <t>1891-92</t>
  </si>
  <si>
    <t>1892-93</t>
  </si>
  <si>
    <t>1893-94</t>
  </si>
  <si>
    <t>1894-95</t>
  </si>
  <si>
    <t>1895-96</t>
  </si>
  <si>
    <t>1896-97</t>
  </si>
  <si>
    <t>1897-98</t>
  </si>
  <si>
    <t>1898-99</t>
  </si>
  <si>
    <t>1899-00</t>
  </si>
  <si>
    <t>1900-01</t>
  </si>
  <si>
    <t>1901-02</t>
  </si>
  <si>
    <t>1906-07</t>
  </si>
  <si>
    <t>1907-08</t>
  </si>
  <si>
    <t>1908-09</t>
  </si>
  <si>
    <t>1909-10</t>
  </si>
  <si>
    <t>1910-11</t>
  </si>
  <si>
    <t>1911-12</t>
  </si>
  <si>
    <t>1912-13</t>
  </si>
  <si>
    <t>1887-88</t>
  </si>
  <si>
    <t>1890-91</t>
  </si>
  <si>
    <t>£/Tola</t>
  </si>
  <si>
    <t>Reports of British consuls published in: the British House of Commons papers in the diplomatic &amp; consular reports on trade and finance and in the administration reports on the Persian Gulf Political Residency.</t>
  </si>
  <si>
    <t>£/Bales</t>
  </si>
  <si>
    <t>Lingah, 1887-88</t>
  </si>
  <si>
    <t>Lingah, 1888-89</t>
  </si>
  <si>
    <t>Lingah, 1889-90</t>
  </si>
  <si>
    <t>Lingah, 1890-91</t>
  </si>
  <si>
    <t>Lingah, 1891-92</t>
  </si>
  <si>
    <t>Lingah, 1892-93</t>
  </si>
  <si>
    <t>Lingah, 1893-94</t>
  </si>
  <si>
    <t>Lingah, 1894-95</t>
  </si>
  <si>
    <t>Lingah, 1895-96</t>
  </si>
  <si>
    <t>Lingah, 1896-97</t>
  </si>
  <si>
    <t>Lingah, 1897-98</t>
  </si>
  <si>
    <t>Lingah, 1898-99</t>
  </si>
  <si>
    <t>Lingah, 1899-00</t>
  </si>
  <si>
    <t>Lingah, 1900-01</t>
  </si>
  <si>
    <t>Lingah, 1901-02</t>
  </si>
  <si>
    <t>Clothing, apparel</t>
  </si>
  <si>
    <t>Cotton, yarns</t>
  </si>
  <si>
    <t>Colours, dyes and varnishes</t>
  </si>
  <si>
    <t>Skins and hides</t>
  </si>
  <si>
    <t>Jute, goods</t>
  </si>
  <si>
    <t>Other jute, goods</t>
  </si>
  <si>
    <t>Leatherwares</t>
  </si>
  <si>
    <t>Wines, liquors and spirits</t>
  </si>
  <si>
    <t>Wines and liquors</t>
  </si>
  <si>
    <t>Kerosene oil</t>
  </si>
  <si>
    <t>Piece-goods, silk</t>
  </si>
  <si>
    <t>Silver, yarns</t>
  </si>
  <si>
    <t>Piece-goods, wool</t>
  </si>
  <si>
    <t>Jute, raw and goods</t>
  </si>
  <si>
    <t>Clothing, wearing</t>
  </si>
  <si>
    <t>Other piece-goods, wool</t>
  </si>
  <si>
    <t>half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</si>
</sst>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_ * #,##0_ ;_ * \-#,##0_ ;_ * &quot;-&quot;_ ;_ @_ 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indexed="5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>
      <alignment vertical="top"/>
    </xf>
    <xf numFmtId="0" fontId="6" fillId="0" borderId="0">
      <alignment vertical="top"/>
    </xf>
    <xf numFmtId="0" fontId="1" fillId="0" borderId="0"/>
  </cellStyleXfs>
  <cellXfs count="92">
    <xf numFmtId="0" fontId="0" fillId="0" borderId="0" xfId="0"/>
    <xf numFmtId="0" fontId="0" fillId="2" borderId="0" xfId="0" applyFill="1"/>
    <xf numFmtId="0" fontId="3" fillId="0" borderId="0" xfId="2" applyFont="1" applyAlignment="1"/>
    <xf numFmtId="0" fontId="3" fillId="0" borderId="0" xfId="2" applyAlignment="1"/>
    <xf numFmtId="0" fontId="3" fillId="0" borderId="0" xfId="2" applyFont="1" applyBorder="1" applyAlignment="1"/>
    <xf numFmtId="0" fontId="3" fillId="0" borderId="0" xfId="2" applyBorder="1" applyAlignment="1"/>
    <xf numFmtId="0" fontId="5" fillId="0" borderId="0" xfId="2" applyFont="1" applyAlignment="1"/>
    <xf numFmtId="0" fontId="3" fillId="0" borderId="0" xfId="2" quotePrefix="1" applyFont="1" applyAlignment="1"/>
    <xf numFmtId="0" fontId="3" fillId="0" borderId="0" xfId="2" applyFont="1" applyAlignment="1">
      <alignment horizontal="left"/>
    </xf>
    <xf numFmtId="0" fontId="7" fillId="0" borderId="0" xfId="3" applyFont="1" applyBorder="1" applyAlignment="1">
      <alignment horizontal="left" vertical="center"/>
    </xf>
    <xf numFmtId="0" fontId="6" fillId="0" borderId="0" xfId="3" applyAlignment="1"/>
    <xf numFmtId="0" fontId="8" fillId="0" borderId="0" xfId="3" applyFont="1" applyAlignment="1"/>
    <xf numFmtId="0" fontId="9" fillId="0" borderId="0" xfId="3" applyFont="1" applyFill="1" applyBorder="1" applyAlignment="1">
      <alignment horizontal="left" vertical="center"/>
    </xf>
    <xf numFmtId="0" fontId="10" fillId="0" borderId="0" xfId="3" applyFont="1" applyBorder="1" applyAlignment="1">
      <alignment horizontal="right"/>
    </xf>
    <xf numFmtId="0" fontId="11" fillId="3" borderId="0" xfId="3" applyFont="1" applyFill="1" applyBorder="1" applyAlignment="1">
      <alignment horizontal="left"/>
    </xf>
    <xf numFmtId="0" fontId="10" fillId="3" borderId="0" xfId="3" applyFont="1" applyFill="1" applyBorder="1" applyAlignment="1">
      <alignment horizontal="center"/>
    </xf>
    <xf numFmtId="0" fontId="11" fillId="3" borderId="0" xfId="3" applyFont="1" applyFill="1" applyBorder="1" applyAlignment="1">
      <alignment horizontal="left" wrapText="1"/>
    </xf>
    <xf numFmtId="0" fontId="10" fillId="0" borderId="0" xfId="3" applyFont="1" applyBorder="1" applyAlignment="1">
      <alignment horizontal="left"/>
    </xf>
    <xf numFmtId="0" fontId="10" fillId="3" borderId="0" xfId="3" applyFont="1" applyFill="1" applyBorder="1" applyAlignment="1">
      <alignment horizontal="left"/>
    </xf>
    <xf numFmtId="0" fontId="8" fillId="0" borderId="0" xfId="3" applyFont="1" applyAlignment="1">
      <alignment horizontal="left"/>
    </xf>
    <xf numFmtId="0" fontId="11" fillId="0" borderId="0" xfId="3" applyFont="1" applyBorder="1" applyAlignment="1">
      <alignment horizontal="right" vertical="center" wrapText="1"/>
    </xf>
    <xf numFmtId="0" fontId="11" fillId="3" borderId="0" xfId="3" applyFont="1" applyFill="1" applyBorder="1" applyAlignment="1">
      <alignment horizontal="left" vertical="center" wrapText="1"/>
    </xf>
    <xf numFmtId="0" fontId="11" fillId="0" borderId="0" xfId="3" applyFont="1" applyAlignment="1">
      <alignment vertical="center" wrapText="1"/>
    </xf>
    <xf numFmtId="0" fontId="11" fillId="3" borderId="0" xfId="3" applyFont="1" applyFill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10" fillId="3" borderId="0" xfId="3" applyFont="1" applyFill="1" applyBorder="1" applyAlignment="1" applyProtection="1">
      <alignment horizontal="right"/>
    </xf>
    <xf numFmtId="164" fontId="13" fillId="0" borderId="0" xfId="3" applyNumberFormat="1" applyFont="1" applyBorder="1" applyAlignment="1" applyProtection="1">
      <alignment horizontal="center"/>
    </xf>
    <xf numFmtId="164" fontId="6" fillId="0" borderId="0" xfId="3" applyNumberFormat="1" applyAlignment="1"/>
    <xf numFmtId="0" fontId="11" fillId="0" borderId="0" xfId="3" applyFont="1" applyBorder="1" applyAlignment="1">
      <alignment horizontal="right"/>
    </xf>
    <xf numFmtId="0" fontId="11" fillId="0" borderId="0" xfId="3" applyFont="1" applyAlignment="1"/>
    <xf numFmtId="0" fontId="13" fillId="0" borderId="0" xfId="3" applyFont="1" applyBorder="1" applyAlignment="1">
      <alignment horizontal="center"/>
    </xf>
    <xf numFmtId="165" fontId="14" fillId="0" borderId="0" xfId="1" applyNumberFormat="1" applyFont="1" applyFill="1" applyAlignment="1">
      <alignment horizontal="left"/>
    </xf>
    <xf numFmtId="0" fontId="0" fillId="0" borderId="0" xfId="0" applyFont="1" applyFill="1"/>
    <xf numFmtId="0" fontId="15" fillId="0" borderId="0" xfId="0" applyFont="1"/>
    <xf numFmtId="0" fontId="15" fillId="0" borderId="0" xfId="0" applyFont="1" applyFill="1"/>
    <xf numFmtId="165" fontId="16" fillId="0" borderId="0" xfId="1" applyNumberFormat="1" applyFont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0" fillId="0" borderId="0" xfId="0" applyFont="1" applyFill="1" applyBorder="1"/>
    <xf numFmtId="0" fontId="1" fillId="0" borderId="0" xfId="0" applyFont="1" applyFill="1"/>
    <xf numFmtId="164" fontId="1" fillId="0" borderId="0" xfId="0" applyNumberFormat="1" applyFont="1" applyBorder="1"/>
    <xf numFmtId="166" fontId="1" fillId="0" borderId="0" xfId="0" applyNumberFormat="1" applyFont="1" applyBorder="1" applyAlignment="1">
      <alignment horizontal="left"/>
    </xf>
    <xf numFmtId="166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/>
    <xf numFmtId="0" fontId="15" fillId="0" borderId="0" xfId="4" applyFont="1"/>
    <xf numFmtId="0" fontId="19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0" fontId="19" fillId="0" borderId="0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19" fillId="0" borderId="1" xfId="0" applyFont="1" applyFill="1" applyBorder="1"/>
    <xf numFmtId="0" fontId="19" fillId="0" borderId="0" xfId="0" applyFont="1" applyFill="1" applyBorder="1" applyAlignment="1">
      <alignment horizontal="left"/>
    </xf>
    <xf numFmtId="0" fontId="0" fillId="2" borderId="0" xfId="0" applyFont="1" applyFill="1"/>
    <xf numFmtId="0" fontId="22" fillId="0" borderId="0" xfId="0" applyFont="1" applyBorder="1" applyAlignment="1">
      <alignment horizontal="left" vertical="top"/>
    </xf>
    <xf numFmtId="2" fontId="0" fillId="0" borderId="0" xfId="0" applyNumberFormat="1" applyFont="1"/>
    <xf numFmtId="1" fontId="22" fillId="0" borderId="0" xfId="0" applyNumberFormat="1" applyFont="1" applyBorder="1" applyAlignment="1">
      <alignment horizontal="left" vertical="top"/>
    </xf>
    <xf numFmtId="0" fontId="0" fillId="0" borderId="0" xfId="0" applyFont="1" applyFill="1" applyAlignment="1">
      <alignment horizontal="left"/>
    </xf>
    <xf numFmtId="0" fontId="1" fillId="0" borderId="0" xfId="0" applyFont="1" applyAlignment="1"/>
    <xf numFmtId="2" fontId="0" fillId="0" borderId="0" xfId="0" applyNumberFormat="1" applyFont="1" applyFill="1" applyAlignment="1">
      <alignment horizontal="right" vertical="center"/>
    </xf>
    <xf numFmtId="2" fontId="0" fillId="0" borderId="0" xfId="0" applyNumberFormat="1" applyFont="1" applyFill="1"/>
    <xf numFmtId="164" fontId="0" fillId="0" borderId="0" xfId="0" applyNumberFormat="1" applyFont="1"/>
    <xf numFmtId="164" fontId="0" fillId="0" borderId="0" xfId="0" applyNumberFormat="1" applyFont="1" applyFill="1"/>
    <xf numFmtId="0" fontId="0" fillId="0" borderId="0" xfId="0" applyFont="1" applyFill="1" applyAlignment="1">
      <alignment vertical="center"/>
    </xf>
    <xf numFmtId="3" fontId="0" fillId="0" borderId="0" xfId="0" applyNumberFormat="1" applyFont="1" applyFill="1"/>
    <xf numFmtId="4" fontId="0" fillId="0" borderId="0" xfId="0" applyNumberFormat="1" applyFont="1" applyFill="1"/>
    <xf numFmtId="0" fontId="15" fillId="0" borderId="0" xfId="0" applyFont="1" applyFill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Alignment="1">
      <alignment horizontal="left"/>
    </xf>
    <xf numFmtId="0" fontId="0" fillId="4" borderId="0" xfId="0" applyFill="1"/>
    <xf numFmtId="0" fontId="0" fillId="4" borderId="0" xfId="0" applyFont="1" applyFill="1"/>
    <xf numFmtId="0" fontId="1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0" fillId="3" borderId="0" xfId="3" applyFont="1" applyFill="1" applyBorder="1" applyAlignment="1">
      <alignment horizontal="right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horizontal="left"/>
    </xf>
    <xf numFmtId="0" fontId="0" fillId="0" borderId="0" xfId="0" applyFont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 wrapText="1"/>
    </xf>
    <xf numFmtId="2" fontId="0" fillId="0" borderId="0" xfId="0" applyNumberFormat="1" applyFont="1" applyFill="1" applyAlignment="1">
      <alignment horizontal="right"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5">
    <cellStyle name="Comma" xfId="1" builtinId="3"/>
    <cellStyle name="Normal" xfId="0" builtinId="0"/>
    <cellStyle name="Normal 2 2" xfId="4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B23" sqref="B23"/>
    </sheetView>
  </sheetViews>
  <sheetFormatPr defaultRowHeight="13.2" x14ac:dyDescent="0.25"/>
  <cols>
    <col min="1" max="2" width="8.88671875" style="3"/>
    <col min="3" max="3" width="11.77734375" style="3" customWidth="1"/>
    <col min="4" max="16384" width="8.88671875" style="3"/>
  </cols>
  <sheetData>
    <row r="1" spans="1:4" x14ac:dyDescent="0.25">
      <c r="A1" s="2" t="s">
        <v>79</v>
      </c>
    </row>
    <row r="2" spans="1:4" x14ac:dyDescent="0.25">
      <c r="A2" s="2" t="s">
        <v>80</v>
      </c>
    </row>
    <row r="4" spans="1:4" x14ac:dyDescent="0.25">
      <c r="A4" s="2" t="s">
        <v>197</v>
      </c>
    </row>
    <row r="5" spans="1:4" x14ac:dyDescent="0.25">
      <c r="A5" s="2" t="s">
        <v>81</v>
      </c>
    </row>
    <row r="6" spans="1:4" s="5" customFormat="1" x14ac:dyDescent="0.25">
      <c r="A6" s="4"/>
    </row>
    <row r="7" spans="1:4" x14ac:dyDescent="0.25">
      <c r="A7" s="2" t="s">
        <v>82</v>
      </c>
    </row>
    <row r="8" spans="1:4" x14ac:dyDescent="0.25">
      <c r="A8" s="2" t="s">
        <v>83</v>
      </c>
    </row>
    <row r="9" spans="1:4" x14ac:dyDescent="0.25">
      <c r="A9" s="2"/>
    </row>
    <row r="10" spans="1:4" x14ac:dyDescent="0.25">
      <c r="A10" s="6" t="s">
        <v>84</v>
      </c>
    </row>
    <row r="11" spans="1:4" x14ac:dyDescent="0.25">
      <c r="A11" s="82" t="s">
        <v>198</v>
      </c>
      <c r="B11" s="82"/>
      <c r="C11" s="82"/>
      <c r="D11" s="7" t="s">
        <v>85</v>
      </c>
    </row>
    <row r="12" spans="1:4" x14ac:dyDescent="0.25">
      <c r="A12" s="82" t="s">
        <v>199</v>
      </c>
      <c r="B12" s="82"/>
      <c r="C12" s="82"/>
      <c r="D12" s="7" t="s">
        <v>86</v>
      </c>
    </row>
    <row r="13" spans="1:4" x14ac:dyDescent="0.25">
      <c r="A13" s="82" t="s">
        <v>87</v>
      </c>
      <c r="B13" s="82"/>
      <c r="C13" s="82"/>
      <c r="D13" s="7" t="s">
        <v>88</v>
      </c>
    </row>
    <row r="14" spans="1:4" x14ac:dyDescent="0.25">
      <c r="A14" s="82" t="s">
        <v>89</v>
      </c>
      <c r="B14" s="82"/>
      <c r="C14" s="82"/>
      <c r="D14" s="7" t="s">
        <v>90</v>
      </c>
    </row>
    <row r="15" spans="1:4" x14ac:dyDescent="0.25">
      <c r="A15" s="82" t="s">
        <v>91</v>
      </c>
      <c r="B15" s="82"/>
      <c r="C15" s="82"/>
      <c r="D15" s="7" t="s">
        <v>92</v>
      </c>
    </row>
    <row r="16" spans="1:4" x14ac:dyDescent="0.25">
      <c r="A16" s="82" t="s">
        <v>93</v>
      </c>
      <c r="B16" s="82"/>
      <c r="C16" s="82"/>
      <c r="D16" s="7" t="s">
        <v>94</v>
      </c>
    </row>
    <row r="17" spans="1:16" x14ac:dyDescent="0.25">
      <c r="A17" s="8" t="s">
        <v>95</v>
      </c>
      <c r="B17" s="8"/>
      <c r="C17" s="8"/>
      <c r="D17" s="7" t="s">
        <v>96</v>
      </c>
    </row>
    <row r="19" spans="1:16" x14ac:dyDescent="0.25">
      <c r="A19" s="6" t="s">
        <v>97</v>
      </c>
    </row>
    <row r="20" spans="1:16" ht="25.8" customHeight="1" x14ac:dyDescent="0.25">
      <c r="A20" s="81" t="s">
        <v>321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</row>
    <row r="21" spans="1:16" x14ac:dyDescent="0.25">
      <c r="A21" s="3" t="s">
        <v>98</v>
      </c>
    </row>
    <row r="22" spans="1:16" x14ac:dyDescent="0.25">
      <c r="C22" s="2" t="s">
        <v>99</v>
      </c>
    </row>
  </sheetData>
  <mergeCells count="7">
    <mergeCell ref="A20:P20"/>
    <mergeCell ref="A11:C11"/>
    <mergeCell ref="A12:C12"/>
    <mergeCell ref="A13:C13"/>
    <mergeCell ref="A14:C14"/>
    <mergeCell ref="A15:C15"/>
    <mergeCell ref="A16:C16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V34"/>
  <sheetViews>
    <sheetView zoomScaleNormal="100" workbookViewId="0">
      <pane xSplit="2" ySplit="8" topLeftCell="DG9" activePane="bottomRight" state="frozenSplit"/>
      <selection activeCell="A5" sqref="A5"/>
      <selection pane="topRight" activeCell="A5" sqref="A5"/>
      <selection pane="bottomLeft" activeCell="A5" sqref="A5"/>
      <selection pane="bottomRight" activeCell="DS1" sqref="DS1:DS1048576"/>
    </sheetView>
  </sheetViews>
  <sheetFormatPr defaultColWidth="9.6640625" defaultRowHeight="12" x14ac:dyDescent="0.2"/>
  <cols>
    <col min="1" max="1" width="6.44140625" style="11" customWidth="1"/>
    <col min="2" max="2" width="13.88671875" style="10" customWidth="1"/>
    <col min="3" max="3" width="8.88671875" style="10" customWidth="1"/>
    <col min="4" max="4" width="15.109375" style="10" bestFit="1" customWidth="1"/>
    <col min="5" max="7" width="8.88671875" style="10" customWidth="1"/>
    <col min="8" max="8" width="10.109375" style="10" bestFit="1" customWidth="1"/>
    <col min="9" max="9" width="11.6640625" style="10" bestFit="1" customWidth="1"/>
    <col min="10" max="11" width="12.6640625" style="10" bestFit="1" customWidth="1"/>
    <col min="12" max="12" width="8.88671875" style="10" customWidth="1"/>
    <col min="13" max="13" width="11.21875" style="10" bestFit="1" customWidth="1"/>
    <col min="14" max="19" width="8.88671875" style="10" customWidth="1"/>
    <col min="20" max="20" width="13.33203125" style="10" bestFit="1" customWidth="1"/>
    <col min="21" max="21" width="11.6640625" style="10" bestFit="1" customWidth="1"/>
    <col min="22" max="22" width="8.88671875" style="10" customWidth="1"/>
    <col min="23" max="23" width="10.33203125" style="10" bestFit="1" customWidth="1"/>
    <col min="24" max="24" width="8.88671875" style="10" customWidth="1"/>
    <col min="25" max="25" width="10.109375" style="10" bestFit="1" customWidth="1"/>
    <col min="26" max="27" width="8.88671875" style="10" customWidth="1"/>
    <col min="28" max="28" width="11.6640625" style="10" customWidth="1"/>
    <col min="29" max="29" width="8.88671875" style="10" customWidth="1"/>
    <col min="30" max="30" width="14.5546875" style="10" bestFit="1" customWidth="1"/>
    <col min="31" max="31" width="10.33203125" style="10" bestFit="1" customWidth="1"/>
    <col min="32" max="32" width="10.21875" style="10" bestFit="1" customWidth="1"/>
    <col min="33" max="34" width="8.88671875" style="10" customWidth="1"/>
    <col min="35" max="35" width="13.88671875" style="10" bestFit="1" customWidth="1"/>
    <col min="36" max="36" width="11.21875" style="10" bestFit="1" customWidth="1"/>
    <col min="37" max="37" width="12.109375" style="10" bestFit="1" customWidth="1"/>
    <col min="38" max="44" width="8.88671875" style="10" customWidth="1"/>
    <col min="45" max="46" width="11.88671875" style="10" bestFit="1" customWidth="1"/>
    <col min="47" max="48" width="8.88671875" style="10" customWidth="1"/>
    <col min="49" max="49" width="10.44140625" style="10" bestFit="1" customWidth="1"/>
    <col min="50" max="55" width="8.88671875" style="10" customWidth="1"/>
    <col min="56" max="57" width="10.5546875" style="10" bestFit="1" customWidth="1"/>
    <col min="58" max="63" width="8.88671875" style="10" customWidth="1"/>
    <col min="64" max="64" width="11.33203125" style="10" bestFit="1" customWidth="1"/>
    <col min="65" max="66" width="8.88671875" style="10" customWidth="1"/>
    <col min="67" max="68" width="11.33203125" style="10" bestFit="1" customWidth="1"/>
    <col min="69" max="70" width="11.6640625" style="10" bestFit="1" customWidth="1"/>
    <col min="71" max="83" width="8.88671875" style="10" customWidth="1"/>
    <col min="84" max="84" width="11.33203125" style="10" bestFit="1" customWidth="1"/>
    <col min="85" max="85" width="10" style="10" bestFit="1" customWidth="1"/>
    <col min="86" max="89" width="8.88671875" style="10" customWidth="1"/>
    <col min="90" max="90" width="11.21875" style="10" bestFit="1" customWidth="1"/>
    <col min="91" max="97" width="8.88671875" style="10" customWidth="1"/>
    <col min="98" max="98" width="11" style="10" bestFit="1" customWidth="1"/>
    <col min="99" max="99" width="10.77734375" style="10" bestFit="1" customWidth="1"/>
    <col min="100" max="100" width="9.6640625" style="10" bestFit="1" customWidth="1"/>
    <col min="101" max="101" width="8.88671875" style="10" customWidth="1"/>
    <col min="102" max="102" width="10.21875" style="10" bestFit="1" customWidth="1"/>
    <col min="103" max="106" width="9" style="10" customWidth="1"/>
    <col min="107" max="107" width="11.5546875" style="10" bestFit="1" customWidth="1"/>
    <col min="108" max="108" width="9" style="10" customWidth="1"/>
    <col min="109" max="109" width="11.33203125" style="10" bestFit="1" customWidth="1"/>
    <col min="110" max="111" width="10" style="10" bestFit="1" customWidth="1"/>
    <col min="112" max="112" width="9" style="10" customWidth="1"/>
    <col min="113" max="113" width="11.44140625" style="10" customWidth="1"/>
    <col min="114" max="114" width="10.88671875" style="10" customWidth="1"/>
    <col min="115" max="119" width="9" style="10" customWidth="1"/>
    <col min="120" max="120" width="10.5546875" style="10" customWidth="1"/>
    <col min="121" max="121" width="10.44140625" style="10" bestFit="1" customWidth="1"/>
    <col min="122" max="126" width="9" style="10" customWidth="1"/>
    <col min="127" max="127" width="11.33203125" style="10" bestFit="1" customWidth="1"/>
    <col min="128" max="128" width="9" style="10" customWidth="1"/>
    <col min="129" max="129" width="12.88671875" style="10" bestFit="1" customWidth="1"/>
    <col min="130" max="134" width="9" style="10" customWidth="1"/>
    <col min="135" max="135" width="10.21875" style="10" bestFit="1" customWidth="1"/>
    <col min="136" max="139" width="9" style="10" customWidth="1"/>
    <col min="140" max="140" width="11.6640625" style="10" bestFit="1" customWidth="1"/>
    <col min="141" max="225" width="9.6640625" style="10"/>
    <col min="226" max="226" width="6.44140625" style="10" customWidth="1"/>
    <col min="227" max="227" width="13.88671875" style="10" customWidth="1"/>
    <col min="228" max="228" width="14.33203125" style="10" customWidth="1"/>
    <col min="229" max="245" width="9.6640625" style="10"/>
    <col min="246" max="246" width="12" style="10" customWidth="1"/>
    <col min="247" max="247" width="12.77734375" style="10" customWidth="1"/>
    <col min="248" max="248" width="11.109375" style="10" customWidth="1"/>
    <col min="249" max="249" width="12" style="10" customWidth="1"/>
    <col min="250" max="250" width="9.6640625" style="10"/>
    <col min="251" max="251" width="15.33203125" style="10" customWidth="1"/>
    <col min="252" max="252" width="15.21875" style="10" customWidth="1"/>
    <col min="253" max="253" width="21.44140625" style="10" customWidth="1"/>
    <col min="254" max="269" width="9.6640625" style="10"/>
    <col min="270" max="271" width="13.44140625" style="10" customWidth="1"/>
    <col min="272" max="272" width="9.6640625" style="10"/>
    <col min="273" max="273" width="13.88671875" style="10" customWidth="1"/>
    <col min="274" max="274" width="10.6640625" style="10" customWidth="1"/>
    <col min="275" max="275" width="17.33203125" style="10" customWidth="1"/>
    <col min="276" max="277" width="12.6640625" style="10" customWidth="1"/>
    <col min="278" max="278" width="11.21875" style="10" customWidth="1"/>
    <col min="279" max="279" width="18.33203125" style="10" customWidth="1"/>
    <col min="280" max="280" width="12.88671875" style="10" customWidth="1"/>
    <col min="281" max="282" width="13.21875" style="10" customWidth="1"/>
    <col min="283" max="283" width="10.88671875" style="10" customWidth="1"/>
    <col min="284" max="284" width="11.109375" style="10" customWidth="1"/>
    <col min="285" max="285" width="15.21875" style="10" customWidth="1"/>
    <col min="286" max="286" width="9.6640625" style="10"/>
    <col min="287" max="287" width="11" style="10" customWidth="1"/>
    <col min="288" max="288" width="10.77734375" style="10" customWidth="1"/>
    <col min="289" max="289" width="11.44140625" style="10" customWidth="1"/>
    <col min="290" max="290" width="4" style="10" customWidth="1"/>
    <col min="291" max="481" width="9.6640625" style="10"/>
    <col min="482" max="482" width="6.44140625" style="10" customWidth="1"/>
    <col min="483" max="483" width="13.88671875" style="10" customWidth="1"/>
    <col min="484" max="484" width="14.33203125" style="10" customWidth="1"/>
    <col min="485" max="501" width="9.6640625" style="10"/>
    <col min="502" max="502" width="12" style="10" customWidth="1"/>
    <col min="503" max="503" width="12.77734375" style="10" customWidth="1"/>
    <col min="504" max="504" width="11.109375" style="10" customWidth="1"/>
    <col min="505" max="505" width="12" style="10" customWidth="1"/>
    <col min="506" max="506" width="9.6640625" style="10"/>
    <col min="507" max="507" width="15.33203125" style="10" customWidth="1"/>
    <col min="508" max="508" width="15.21875" style="10" customWidth="1"/>
    <col min="509" max="509" width="21.44140625" style="10" customWidth="1"/>
    <col min="510" max="525" width="9.6640625" style="10"/>
    <col min="526" max="527" width="13.44140625" style="10" customWidth="1"/>
    <col min="528" max="528" width="9.6640625" style="10"/>
    <col min="529" max="529" width="13.88671875" style="10" customWidth="1"/>
    <col min="530" max="530" width="10.6640625" style="10" customWidth="1"/>
    <col min="531" max="531" width="17.33203125" style="10" customWidth="1"/>
    <col min="532" max="533" width="12.6640625" style="10" customWidth="1"/>
    <col min="534" max="534" width="11.21875" style="10" customWidth="1"/>
    <col min="535" max="535" width="18.33203125" style="10" customWidth="1"/>
    <col min="536" max="536" width="12.88671875" style="10" customWidth="1"/>
    <col min="537" max="538" width="13.21875" style="10" customWidth="1"/>
    <col min="539" max="539" width="10.88671875" style="10" customWidth="1"/>
    <col min="540" max="540" width="11.109375" style="10" customWidth="1"/>
    <col min="541" max="541" width="15.21875" style="10" customWidth="1"/>
    <col min="542" max="542" width="9.6640625" style="10"/>
    <col min="543" max="543" width="11" style="10" customWidth="1"/>
    <col min="544" max="544" width="10.77734375" style="10" customWidth="1"/>
    <col min="545" max="545" width="11.44140625" style="10" customWidth="1"/>
    <col min="546" max="546" width="4" style="10" customWidth="1"/>
    <col min="547" max="737" width="9.6640625" style="10"/>
    <col min="738" max="738" width="6.44140625" style="10" customWidth="1"/>
    <col min="739" max="739" width="13.88671875" style="10" customWidth="1"/>
    <col min="740" max="740" width="14.33203125" style="10" customWidth="1"/>
    <col min="741" max="757" width="9.6640625" style="10"/>
    <col min="758" max="758" width="12" style="10" customWidth="1"/>
    <col min="759" max="759" width="12.77734375" style="10" customWidth="1"/>
    <col min="760" max="760" width="11.109375" style="10" customWidth="1"/>
    <col min="761" max="761" width="12" style="10" customWidth="1"/>
    <col min="762" max="762" width="9.6640625" style="10"/>
    <col min="763" max="763" width="15.33203125" style="10" customWidth="1"/>
    <col min="764" max="764" width="15.21875" style="10" customWidth="1"/>
    <col min="765" max="765" width="21.44140625" style="10" customWidth="1"/>
    <col min="766" max="781" width="9.6640625" style="10"/>
    <col min="782" max="783" width="13.44140625" style="10" customWidth="1"/>
    <col min="784" max="784" width="9.6640625" style="10"/>
    <col min="785" max="785" width="13.88671875" style="10" customWidth="1"/>
    <col min="786" max="786" width="10.6640625" style="10" customWidth="1"/>
    <col min="787" max="787" width="17.33203125" style="10" customWidth="1"/>
    <col min="788" max="789" width="12.6640625" style="10" customWidth="1"/>
    <col min="790" max="790" width="11.21875" style="10" customWidth="1"/>
    <col min="791" max="791" width="18.33203125" style="10" customWidth="1"/>
    <col min="792" max="792" width="12.88671875" style="10" customWidth="1"/>
    <col min="793" max="794" width="13.21875" style="10" customWidth="1"/>
    <col min="795" max="795" width="10.88671875" style="10" customWidth="1"/>
    <col min="796" max="796" width="11.109375" style="10" customWidth="1"/>
    <col min="797" max="797" width="15.21875" style="10" customWidth="1"/>
    <col min="798" max="798" width="9.6640625" style="10"/>
    <col min="799" max="799" width="11" style="10" customWidth="1"/>
    <col min="800" max="800" width="10.77734375" style="10" customWidth="1"/>
    <col min="801" max="801" width="11.44140625" style="10" customWidth="1"/>
    <col min="802" max="802" width="4" style="10" customWidth="1"/>
    <col min="803" max="993" width="9.6640625" style="10"/>
    <col min="994" max="994" width="6.44140625" style="10" customWidth="1"/>
    <col min="995" max="995" width="13.88671875" style="10" customWidth="1"/>
    <col min="996" max="996" width="14.33203125" style="10" customWidth="1"/>
    <col min="997" max="1013" width="9.6640625" style="10"/>
    <col min="1014" max="1014" width="12" style="10" customWidth="1"/>
    <col min="1015" max="1015" width="12.77734375" style="10" customWidth="1"/>
    <col min="1016" max="1016" width="11.109375" style="10" customWidth="1"/>
    <col min="1017" max="1017" width="12" style="10" customWidth="1"/>
    <col min="1018" max="1018" width="9.6640625" style="10"/>
    <col min="1019" max="1019" width="15.33203125" style="10" customWidth="1"/>
    <col min="1020" max="1020" width="15.21875" style="10" customWidth="1"/>
    <col min="1021" max="1021" width="21.44140625" style="10" customWidth="1"/>
    <col min="1022" max="1037" width="9.6640625" style="10"/>
    <col min="1038" max="1039" width="13.44140625" style="10" customWidth="1"/>
    <col min="1040" max="1040" width="9.6640625" style="10"/>
    <col min="1041" max="1041" width="13.88671875" style="10" customWidth="1"/>
    <col min="1042" max="1042" width="10.6640625" style="10" customWidth="1"/>
    <col min="1043" max="1043" width="17.33203125" style="10" customWidth="1"/>
    <col min="1044" max="1045" width="12.6640625" style="10" customWidth="1"/>
    <col min="1046" max="1046" width="11.21875" style="10" customWidth="1"/>
    <col min="1047" max="1047" width="18.33203125" style="10" customWidth="1"/>
    <col min="1048" max="1048" width="12.88671875" style="10" customWidth="1"/>
    <col min="1049" max="1050" width="13.21875" style="10" customWidth="1"/>
    <col min="1051" max="1051" width="10.88671875" style="10" customWidth="1"/>
    <col min="1052" max="1052" width="11.109375" style="10" customWidth="1"/>
    <col min="1053" max="1053" width="15.21875" style="10" customWidth="1"/>
    <col min="1054" max="1054" width="9.6640625" style="10"/>
    <col min="1055" max="1055" width="11" style="10" customWidth="1"/>
    <col min="1056" max="1056" width="10.77734375" style="10" customWidth="1"/>
    <col min="1057" max="1057" width="11.44140625" style="10" customWidth="1"/>
    <col min="1058" max="1058" width="4" style="10" customWidth="1"/>
    <col min="1059" max="1249" width="9.6640625" style="10"/>
    <col min="1250" max="1250" width="6.44140625" style="10" customWidth="1"/>
    <col min="1251" max="1251" width="13.88671875" style="10" customWidth="1"/>
    <col min="1252" max="1252" width="14.33203125" style="10" customWidth="1"/>
    <col min="1253" max="1269" width="9.6640625" style="10"/>
    <col min="1270" max="1270" width="12" style="10" customWidth="1"/>
    <col min="1271" max="1271" width="12.77734375" style="10" customWidth="1"/>
    <col min="1272" max="1272" width="11.109375" style="10" customWidth="1"/>
    <col min="1273" max="1273" width="12" style="10" customWidth="1"/>
    <col min="1274" max="1274" width="9.6640625" style="10"/>
    <col min="1275" max="1275" width="15.33203125" style="10" customWidth="1"/>
    <col min="1276" max="1276" width="15.21875" style="10" customWidth="1"/>
    <col min="1277" max="1277" width="21.44140625" style="10" customWidth="1"/>
    <col min="1278" max="1293" width="9.6640625" style="10"/>
    <col min="1294" max="1295" width="13.44140625" style="10" customWidth="1"/>
    <col min="1296" max="1296" width="9.6640625" style="10"/>
    <col min="1297" max="1297" width="13.88671875" style="10" customWidth="1"/>
    <col min="1298" max="1298" width="10.6640625" style="10" customWidth="1"/>
    <col min="1299" max="1299" width="17.33203125" style="10" customWidth="1"/>
    <col min="1300" max="1301" width="12.6640625" style="10" customWidth="1"/>
    <col min="1302" max="1302" width="11.21875" style="10" customWidth="1"/>
    <col min="1303" max="1303" width="18.33203125" style="10" customWidth="1"/>
    <col min="1304" max="1304" width="12.88671875" style="10" customWidth="1"/>
    <col min="1305" max="1306" width="13.21875" style="10" customWidth="1"/>
    <col min="1307" max="1307" width="10.88671875" style="10" customWidth="1"/>
    <col min="1308" max="1308" width="11.109375" style="10" customWidth="1"/>
    <col min="1309" max="1309" width="15.21875" style="10" customWidth="1"/>
    <col min="1310" max="1310" width="9.6640625" style="10"/>
    <col min="1311" max="1311" width="11" style="10" customWidth="1"/>
    <col min="1312" max="1312" width="10.77734375" style="10" customWidth="1"/>
    <col min="1313" max="1313" width="11.44140625" style="10" customWidth="1"/>
    <col min="1314" max="1314" width="4" style="10" customWidth="1"/>
    <col min="1315" max="1505" width="9.6640625" style="10"/>
    <col min="1506" max="1506" width="6.44140625" style="10" customWidth="1"/>
    <col min="1507" max="1507" width="13.88671875" style="10" customWidth="1"/>
    <col min="1508" max="1508" width="14.33203125" style="10" customWidth="1"/>
    <col min="1509" max="1525" width="9.6640625" style="10"/>
    <col min="1526" max="1526" width="12" style="10" customWidth="1"/>
    <col min="1527" max="1527" width="12.77734375" style="10" customWidth="1"/>
    <col min="1528" max="1528" width="11.109375" style="10" customWidth="1"/>
    <col min="1529" max="1529" width="12" style="10" customWidth="1"/>
    <col min="1530" max="1530" width="9.6640625" style="10"/>
    <col min="1531" max="1531" width="15.33203125" style="10" customWidth="1"/>
    <col min="1532" max="1532" width="15.21875" style="10" customWidth="1"/>
    <col min="1533" max="1533" width="21.44140625" style="10" customWidth="1"/>
    <col min="1534" max="1549" width="9.6640625" style="10"/>
    <col min="1550" max="1551" width="13.44140625" style="10" customWidth="1"/>
    <col min="1552" max="1552" width="9.6640625" style="10"/>
    <col min="1553" max="1553" width="13.88671875" style="10" customWidth="1"/>
    <col min="1554" max="1554" width="10.6640625" style="10" customWidth="1"/>
    <col min="1555" max="1555" width="17.33203125" style="10" customWidth="1"/>
    <col min="1556" max="1557" width="12.6640625" style="10" customWidth="1"/>
    <col min="1558" max="1558" width="11.21875" style="10" customWidth="1"/>
    <col min="1559" max="1559" width="18.33203125" style="10" customWidth="1"/>
    <col min="1560" max="1560" width="12.88671875" style="10" customWidth="1"/>
    <col min="1561" max="1562" width="13.21875" style="10" customWidth="1"/>
    <col min="1563" max="1563" width="10.88671875" style="10" customWidth="1"/>
    <col min="1564" max="1564" width="11.109375" style="10" customWidth="1"/>
    <col min="1565" max="1565" width="15.21875" style="10" customWidth="1"/>
    <col min="1566" max="1566" width="9.6640625" style="10"/>
    <col min="1567" max="1567" width="11" style="10" customWidth="1"/>
    <col min="1568" max="1568" width="10.77734375" style="10" customWidth="1"/>
    <col min="1569" max="1569" width="11.44140625" style="10" customWidth="1"/>
    <col min="1570" max="1570" width="4" style="10" customWidth="1"/>
    <col min="1571" max="1761" width="9.6640625" style="10"/>
    <col min="1762" max="1762" width="6.44140625" style="10" customWidth="1"/>
    <col min="1763" max="1763" width="13.88671875" style="10" customWidth="1"/>
    <col min="1764" max="1764" width="14.33203125" style="10" customWidth="1"/>
    <col min="1765" max="1781" width="9.6640625" style="10"/>
    <col min="1782" max="1782" width="12" style="10" customWidth="1"/>
    <col min="1783" max="1783" width="12.77734375" style="10" customWidth="1"/>
    <col min="1784" max="1784" width="11.109375" style="10" customWidth="1"/>
    <col min="1785" max="1785" width="12" style="10" customWidth="1"/>
    <col min="1786" max="1786" width="9.6640625" style="10"/>
    <col min="1787" max="1787" width="15.33203125" style="10" customWidth="1"/>
    <col min="1788" max="1788" width="15.21875" style="10" customWidth="1"/>
    <col min="1789" max="1789" width="21.44140625" style="10" customWidth="1"/>
    <col min="1790" max="1805" width="9.6640625" style="10"/>
    <col min="1806" max="1807" width="13.44140625" style="10" customWidth="1"/>
    <col min="1808" max="1808" width="9.6640625" style="10"/>
    <col min="1809" max="1809" width="13.88671875" style="10" customWidth="1"/>
    <col min="1810" max="1810" width="10.6640625" style="10" customWidth="1"/>
    <col min="1811" max="1811" width="17.33203125" style="10" customWidth="1"/>
    <col min="1812" max="1813" width="12.6640625" style="10" customWidth="1"/>
    <col min="1814" max="1814" width="11.21875" style="10" customWidth="1"/>
    <col min="1815" max="1815" width="18.33203125" style="10" customWidth="1"/>
    <col min="1816" max="1816" width="12.88671875" style="10" customWidth="1"/>
    <col min="1817" max="1818" width="13.21875" style="10" customWidth="1"/>
    <col min="1819" max="1819" width="10.88671875" style="10" customWidth="1"/>
    <col min="1820" max="1820" width="11.109375" style="10" customWidth="1"/>
    <col min="1821" max="1821" width="15.21875" style="10" customWidth="1"/>
    <col min="1822" max="1822" width="9.6640625" style="10"/>
    <col min="1823" max="1823" width="11" style="10" customWidth="1"/>
    <col min="1824" max="1824" width="10.77734375" style="10" customWidth="1"/>
    <col min="1825" max="1825" width="11.44140625" style="10" customWidth="1"/>
    <col min="1826" max="1826" width="4" style="10" customWidth="1"/>
    <col min="1827" max="2017" width="9.6640625" style="10"/>
    <col min="2018" max="2018" width="6.44140625" style="10" customWidth="1"/>
    <col min="2019" max="2019" width="13.88671875" style="10" customWidth="1"/>
    <col min="2020" max="2020" width="14.33203125" style="10" customWidth="1"/>
    <col min="2021" max="2037" width="9.6640625" style="10"/>
    <col min="2038" max="2038" width="12" style="10" customWidth="1"/>
    <col min="2039" max="2039" width="12.77734375" style="10" customWidth="1"/>
    <col min="2040" max="2040" width="11.109375" style="10" customWidth="1"/>
    <col min="2041" max="2041" width="12" style="10" customWidth="1"/>
    <col min="2042" max="2042" width="9.6640625" style="10"/>
    <col min="2043" max="2043" width="15.33203125" style="10" customWidth="1"/>
    <col min="2044" max="2044" width="15.21875" style="10" customWidth="1"/>
    <col min="2045" max="2045" width="21.44140625" style="10" customWidth="1"/>
    <col min="2046" max="2061" width="9.6640625" style="10"/>
    <col min="2062" max="2063" width="13.44140625" style="10" customWidth="1"/>
    <col min="2064" max="2064" width="9.6640625" style="10"/>
    <col min="2065" max="2065" width="13.88671875" style="10" customWidth="1"/>
    <col min="2066" max="2066" width="10.6640625" style="10" customWidth="1"/>
    <col min="2067" max="2067" width="17.33203125" style="10" customWidth="1"/>
    <col min="2068" max="2069" width="12.6640625" style="10" customWidth="1"/>
    <col min="2070" max="2070" width="11.21875" style="10" customWidth="1"/>
    <col min="2071" max="2071" width="18.33203125" style="10" customWidth="1"/>
    <col min="2072" max="2072" width="12.88671875" style="10" customWidth="1"/>
    <col min="2073" max="2074" width="13.21875" style="10" customWidth="1"/>
    <col min="2075" max="2075" width="10.88671875" style="10" customWidth="1"/>
    <col min="2076" max="2076" width="11.109375" style="10" customWidth="1"/>
    <col min="2077" max="2077" width="15.21875" style="10" customWidth="1"/>
    <col min="2078" max="2078" width="9.6640625" style="10"/>
    <col min="2079" max="2079" width="11" style="10" customWidth="1"/>
    <col min="2080" max="2080" width="10.77734375" style="10" customWidth="1"/>
    <col min="2081" max="2081" width="11.44140625" style="10" customWidth="1"/>
    <col min="2082" max="2082" width="4" style="10" customWidth="1"/>
    <col min="2083" max="2273" width="9.6640625" style="10"/>
    <col min="2274" max="2274" width="6.44140625" style="10" customWidth="1"/>
    <col min="2275" max="2275" width="13.88671875" style="10" customWidth="1"/>
    <col min="2276" max="2276" width="14.33203125" style="10" customWidth="1"/>
    <col min="2277" max="2293" width="9.6640625" style="10"/>
    <col min="2294" max="2294" width="12" style="10" customWidth="1"/>
    <col min="2295" max="2295" width="12.77734375" style="10" customWidth="1"/>
    <col min="2296" max="2296" width="11.109375" style="10" customWidth="1"/>
    <col min="2297" max="2297" width="12" style="10" customWidth="1"/>
    <col min="2298" max="2298" width="9.6640625" style="10"/>
    <col min="2299" max="2299" width="15.33203125" style="10" customWidth="1"/>
    <col min="2300" max="2300" width="15.21875" style="10" customWidth="1"/>
    <col min="2301" max="2301" width="21.44140625" style="10" customWidth="1"/>
    <col min="2302" max="2317" width="9.6640625" style="10"/>
    <col min="2318" max="2319" width="13.44140625" style="10" customWidth="1"/>
    <col min="2320" max="2320" width="9.6640625" style="10"/>
    <col min="2321" max="2321" width="13.88671875" style="10" customWidth="1"/>
    <col min="2322" max="2322" width="10.6640625" style="10" customWidth="1"/>
    <col min="2323" max="2323" width="17.33203125" style="10" customWidth="1"/>
    <col min="2324" max="2325" width="12.6640625" style="10" customWidth="1"/>
    <col min="2326" max="2326" width="11.21875" style="10" customWidth="1"/>
    <col min="2327" max="2327" width="18.33203125" style="10" customWidth="1"/>
    <col min="2328" max="2328" width="12.88671875" style="10" customWidth="1"/>
    <col min="2329" max="2330" width="13.21875" style="10" customWidth="1"/>
    <col min="2331" max="2331" width="10.88671875" style="10" customWidth="1"/>
    <col min="2332" max="2332" width="11.109375" style="10" customWidth="1"/>
    <col min="2333" max="2333" width="15.21875" style="10" customWidth="1"/>
    <col min="2334" max="2334" width="9.6640625" style="10"/>
    <col min="2335" max="2335" width="11" style="10" customWidth="1"/>
    <col min="2336" max="2336" width="10.77734375" style="10" customWidth="1"/>
    <col min="2337" max="2337" width="11.44140625" style="10" customWidth="1"/>
    <col min="2338" max="2338" width="4" style="10" customWidth="1"/>
    <col min="2339" max="2529" width="9.6640625" style="10"/>
    <col min="2530" max="2530" width="6.44140625" style="10" customWidth="1"/>
    <col min="2531" max="2531" width="13.88671875" style="10" customWidth="1"/>
    <col min="2532" max="2532" width="14.33203125" style="10" customWidth="1"/>
    <col min="2533" max="2549" width="9.6640625" style="10"/>
    <col min="2550" max="2550" width="12" style="10" customWidth="1"/>
    <col min="2551" max="2551" width="12.77734375" style="10" customWidth="1"/>
    <col min="2552" max="2552" width="11.109375" style="10" customWidth="1"/>
    <col min="2553" max="2553" width="12" style="10" customWidth="1"/>
    <col min="2554" max="2554" width="9.6640625" style="10"/>
    <col min="2555" max="2555" width="15.33203125" style="10" customWidth="1"/>
    <col min="2556" max="2556" width="15.21875" style="10" customWidth="1"/>
    <col min="2557" max="2557" width="21.44140625" style="10" customWidth="1"/>
    <col min="2558" max="2573" width="9.6640625" style="10"/>
    <col min="2574" max="2575" width="13.44140625" style="10" customWidth="1"/>
    <col min="2576" max="2576" width="9.6640625" style="10"/>
    <col min="2577" max="2577" width="13.88671875" style="10" customWidth="1"/>
    <col min="2578" max="2578" width="10.6640625" style="10" customWidth="1"/>
    <col min="2579" max="2579" width="17.33203125" style="10" customWidth="1"/>
    <col min="2580" max="2581" width="12.6640625" style="10" customWidth="1"/>
    <col min="2582" max="2582" width="11.21875" style="10" customWidth="1"/>
    <col min="2583" max="2583" width="18.33203125" style="10" customWidth="1"/>
    <col min="2584" max="2584" width="12.88671875" style="10" customWidth="1"/>
    <col min="2585" max="2586" width="13.21875" style="10" customWidth="1"/>
    <col min="2587" max="2587" width="10.88671875" style="10" customWidth="1"/>
    <col min="2588" max="2588" width="11.109375" style="10" customWidth="1"/>
    <col min="2589" max="2589" width="15.21875" style="10" customWidth="1"/>
    <col min="2590" max="2590" width="9.6640625" style="10"/>
    <col min="2591" max="2591" width="11" style="10" customWidth="1"/>
    <col min="2592" max="2592" width="10.77734375" style="10" customWidth="1"/>
    <col min="2593" max="2593" width="11.44140625" style="10" customWidth="1"/>
    <col min="2594" max="2594" width="4" style="10" customWidth="1"/>
    <col min="2595" max="2785" width="9.6640625" style="10"/>
    <col min="2786" max="2786" width="6.44140625" style="10" customWidth="1"/>
    <col min="2787" max="2787" width="13.88671875" style="10" customWidth="1"/>
    <col min="2788" max="2788" width="14.33203125" style="10" customWidth="1"/>
    <col min="2789" max="2805" width="9.6640625" style="10"/>
    <col min="2806" max="2806" width="12" style="10" customWidth="1"/>
    <col min="2807" max="2807" width="12.77734375" style="10" customWidth="1"/>
    <col min="2808" max="2808" width="11.109375" style="10" customWidth="1"/>
    <col min="2809" max="2809" width="12" style="10" customWidth="1"/>
    <col min="2810" max="2810" width="9.6640625" style="10"/>
    <col min="2811" max="2811" width="15.33203125" style="10" customWidth="1"/>
    <col min="2812" max="2812" width="15.21875" style="10" customWidth="1"/>
    <col min="2813" max="2813" width="21.44140625" style="10" customWidth="1"/>
    <col min="2814" max="2829" width="9.6640625" style="10"/>
    <col min="2830" max="2831" width="13.44140625" style="10" customWidth="1"/>
    <col min="2832" max="2832" width="9.6640625" style="10"/>
    <col min="2833" max="2833" width="13.88671875" style="10" customWidth="1"/>
    <col min="2834" max="2834" width="10.6640625" style="10" customWidth="1"/>
    <col min="2835" max="2835" width="17.33203125" style="10" customWidth="1"/>
    <col min="2836" max="2837" width="12.6640625" style="10" customWidth="1"/>
    <col min="2838" max="2838" width="11.21875" style="10" customWidth="1"/>
    <col min="2839" max="2839" width="18.33203125" style="10" customWidth="1"/>
    <col min="2840" max="2840" width="12.88671875" style="10" customWidth="1"/>
    <col min="2841" max="2842" width="13.21875" style="10" customWidth="1"/>
    <col min="2843" max="2843" width="10.88671875" style="10" customWidth="1"/>
    <col min="2844" max="2844" width="11.109375" style="10" customWidth="1"/>
    <col min="2845" max="2845" width="15.21875" style="10" customWidth="1"/>
    <col min="2846" max="2846" width="9.6640625" style="10"/>
    <col min="2847" max="2847" width="11" style="10" customWidth="1"/>
    <col min="2848" max="2848" width="10.77734375" style="10" customWidth="1"/>
    <col min="2849" max="2849" width="11.44140625" style="10" customWidth="1"/>
    <col min="2850" max="2850" width="4" style="10" customWidth="1"/>
    <col min="2851" max="3041" width="9.6640625" style="10"/>
    <col min="3042" max="3042" width="6.44140625" style="10" customWidth="1"/>
    <col min="3043" max="3043" width="13.88671875" style="10" customWidth="1"/>
    <col min="3044" max="3044" width="14.33203125" style="10" customWidth="1"/>
    <col min="3045" max="3061" width="9.6640625" style="10"/>
    <col min="3062" max="3062" width="12" style="10" customWidth="1"/>
    <col min="3063" max="3063" width="12.77734375" style="10" customWidth="1"/>
    <col min="3064" max="3064" width="11.109375" style="10" customWidth="1"/>
    <col min="3065" max="3065" width="12" style="10" customWidth="1"/>
    <col min="3066" max="3066" width="9.6640625" style="10"/>
    <col min="3067" max="3067" width="15.33203125" style="10" customWidth="1"/>
    <col min="3068" max="3068" width="15.21875" style="10" customWidth="1"/>
    <col min="3069" max="3069" width="21.44140625" style="10" customWidth="1"/>
    <col min="3070" max="3085" width="9.6640625" style="10"/>
    <col min="3086" max="3087" width="13.44140625" style="10" customWidth="1"/>
    <col min="3088" max="3088" width="9.6640625" style="10"/>
    <col min="3089" max="3089" width="13.88671875" style="10" customWidth="1"/>
    <col min="3090" max="3090" width="10.6640625" style="10" customWidth="1"/>
    <col min="3091" max="3091" width="17.33203125" style="10" customWidth="1"/>
    <col min="3092" max="3093" width="12.6640625" style="10" customWidth="1"/>
    <col min="3094" max="3094" width="11.21875" style="10" customWidth="1"/>
    <col min="3095" max="3095" width="18.33203125" style="10" customWidth="1"/>
    <col min="3096" max="3096" width="12.88671875" style="10" customWidth="1"/>
    <col min="3097" max="3098" width="13.21875" style="10" customWidth="1"/>
    <col min="3099" max="3099" width="10.88671875" style="10" customWidth="1"/>
    <col min="3100" max="3100" width="11.109375" style="10" customWidth="1"/>
    <col min="3101" max="3101" width="15.21875" style="10" customWidth="1"/>
    <col min="3102" max="3102" width="9.6640625" style="10"/>
    <col min="3103" max="3103" width="11" style="10" customWidth="1"/>
    <col min="3104" max="3104" width="10.77734375" style="10" customWidth="1"/>
    <col min="3105" max="3105" width="11.44140625" style="10" customWidth="1"/>
    <col min="3106" max="3106" width="4" style="10" customWidth="1"/>
    <col min="3107" max="3297" width="9.6640625" style="10"/>
    <col min="3298" max="3298" width="6.44140625" style="10" customWidth="1"/>
    <col min="3299" max="3299" width="13.88671875" style="10" customWidth="1"/>
    <col min="3300" max="3300" width="14.33203125" style="10" customWidth="1"/>
    <col min="3301" max="3317" width="9.6640625" style="10"/>
    <col min="3318" max="3318" width="12" style="10" customWidth="1"/>
    <col min="3319" max="3319" width="12.77734375" style="10" customWidth="1"/>
    <col min="3320" max="3320" width="11.109375" style="10" customWidth="1"/>
    <col min="3321" max="3321" width="12" style="10" customWidth="1"/>
    <col min="3322" max="3322" width="9.6640625" style="10"/>
    <col min="3323" max="3323" width="15.33203125" style="10" customWidth="1"/>
    <col min="3324" max="3324" width="15.21875" style="10" customWidth="1"/>
    <col min="3325" max="3325" width="21.44140625" style="10" customWidth="1"/>
    <col min="3326" max="3341" width="9.6640625" style="10"/>
    <col min="3342" max="3343" width="13.44140625" style="10" customWidth="1"/>
    <col min="3344" max="3344" width="9.6640625" style="10"/>
    <col min="3345" max="3345" width="13.88671875" style="10" customWidth="1"/>
    <col min="3346" max="3346" width="10.6640625" style="10" customWidth="1"/>
    <col min="3347" max="3347" width="17.33203125" style="10" customWidth="1"/>
    <col min="3348" max="3349" width="12.6640625" style="10" customWidth="1"/>
    <col min="3350" max="3350" width="11.21875" style="10" customWidth="1"/>
    <col min="3351" max="3351" width="18.33203125" style="10" customWidth="1"/>
    <col min="3352" max="3352" width="12.88671875" style="10" customWidth="1"/>
    <col min="3353" max="3354" width="13.21875" style="10" customWidth="1"/>
    <col min="3355" max="3355" width="10.88671875" style="10" customWidth="1"/>
    <col min="3356" max="3356" width="11.109375" style="10" customWidth="1"/>
    <col min="3357" max="3357" width="15.21875" style="10" customWidth="1"/>
    <col min="3358" max="3358" width="9.6640625" style="10"/>
    <col min="3359" max="3359" width="11" style="10" customWidth="1"/>
    <col min="3360" max="3360" width="10.77734375" style="10" customWidth="1"/>
    <col min="3361" max="3361" width="11.44140625" style="10" customWidth="1"/>
    <col min="3362" max="3362" width="4" style="10" customWidth="1"/>
    <col min="3363" max="3553" width="9.6640625" style="10"/>
    <col min="3554" max="3554" width="6.44140625" style="10" customWidth="1"/>
    <col min="3555" max="3555" width="13.88671875" style="10" customWidth="1"/>
    <col min="3556" max="3556" width="14.33203125" style="10" customWidth="1"/>
    <col min="3557" max="3573" width="9.6640625" style="10"/>
    <col min="3574" max="3574" width="12" style="10" customWidth="1"/>
    <col min="3575" max="3575" width="12.77734375" style="10" customWidth="1"/>
    <col min="3576" max="3576" width="11.109375" style="10" customWidth="1"/>
    <col min="3577" max="3577" width="12" style="10" customWidth="1"/>
    <col min="3578" max="3578" width="9.6640625" style="10"/>
    <col min="3579" max="3579" width="15.33203125" style="10" customWidth="1"/>
    <col min="3580" max="3580" width="15.21875" style="10" customWidth="1"/>
    <col min="3581" max="3581" width="21.44140625" style="10" customWidth="1"/>
    <col min="3582" max="3597" width="9.6640625" style="10"/>
    <col min="3598" max="3599" width="13.44140625" style="10" customWidth="1"/>
    <col min="3600" max="3600" width="9.6640625" style="10"/>
    <col min="3601" max="3601" width="13.88671875" style="10" customWidth="1"/>
    <col min="3602" max="3602" width="10.6640625" style="10" customWidth="1"/>
    <col min="3603" max="3603" width="17.33203125" style="10" customWidth="1"/>
    <col min="3604" max="3605" width="12.6640625" style="10" customWidth="1"/>
    <col min="3606" max="3606" width="11.21875" style="10" customWidth="1"/>
    <col min="3607" max="3607" width="18.33203125" style="10" customWidth="1"/>
    <col min="3608" max="3608" width="12.88671875" style="10" customWidth="1"/>
    <col min="3609" max="3610" width="13.21875" style="10" customWidth="1"/>
    <col min="3611" max="3611" width="10.88671875" style="10" customWidth="1"/>
    <col min="3612" max="3612" width="11.109375" style="10" customWidth="1"/>
    <col min="3613" max="3613" width="15.21875" style="10" customWidth="1"/>
    <col min="3614" max="3614" width="9.6640625" style="10"/>
    <col min="3615" max="3615" width="11" style="10" customWidth="1"/>
    <col min="3616" max="3616" width="10.77734375" style="10" customWidth="1"/>
    <col min="3617" max="3617" width="11.44140625" style="10" customWidth="1"/>
    <col min="3618" max="3618" width="4" style="10" customWidth="1"/>
    <col min="3619" max="3809" width="9.6640625" style="10"/>
    <col min="3810" max="3810" width="6.44140625" style="10" customWidth="1"/>
    <col min="3811" max="3811" width="13.88671875" style="10" customWidth="1"/>
    <col min="3812" max="3812" width="14.33203125" style="10" customWidth="1"/>
    <col min="3813" max="3829" width="9.6640625" style="10"/>
    <col min="3830" max="3830" width="12" style="10" customWidth="1"/>
    <col min="3831" max="3831" width="12.77734375" style="10" customWidth="1"/>
    <col min="3832" max="3832" width="11.109375" style="10" customWidth="1"/>
    <col min="3833" max="3833" width="12" style="10" customWidth="1"/>
    <col min="3834" max="3834" width="9.6640625" style="10"/>
    <col min="3835" max="3835" width="15.33203125" style="10" customWidth="1"/>
    <col min="3836" max="3836" width="15.21875" style="10" customWidth="1"/>
    <col min="3837" max="3837" width="21.44140625" style="10" customWidth="1"/>
    <col min="3838" max="3853" width="9.6640625" style="10"/>
    <col min="3854" max="3855" width="13.44140625" style="10" customWidth="1"/>
    <col min="3856" max="3856" width="9.6640625" style="10"/>
    <col min="3857" max="3857" width="13.88671875" style="10" customWidth="1"/>
    <col min="3858" max="3858" width="10.6640625" style="10" customWidth="1"/>
    <col min="3859" max="3859" width="17.33203125" style="10" customWidth="1"/>
    <col min="3860" max="3861" width="12.6640625" style="10" customWidth="1"/>
    <col min="3862" max="3862" width="11.21875" style="10" customWidth="1"/>
    <col min="3863" max="3863" width="18.33203125" style="10" customWidth="1"/>
    <col min="3864" max="3864" width="12.88671875" style="10" customWidth="1"/>
    <col min="3865" max="3866" width="13.21875" style="10" customWidth="1"/>
    <col min="3867" max="3867" width="10.88671875" style="10" customWidth="1"/>
    <col min="3868" max="3868" width="11.109375" style="10" customWidth="1"/>
    <col min="3869" max="3869" width="15.21875" style="10" customWidth="1"/>
    <col min="3870" max="3870" width="9.6640625" style="10"/>
    <col min="3871" max="3871" width="11" style="10" customWidth="1"/>
    <col min="3872" max="3872" width="10.77734375" style="10" customWidth="1"/>
    <col min="3873" max="3873" width="11.44140625" style="10" customWidth="1"/>
    <col min="3874" max="3874" width="4" style="10" customWidth="1"/>
    <col min="3875" max="4065" width="9.6640625" style="10"/>
    <col min="4066" max="4066" width="6.44140625" style="10" customWidth="1"/>
    <col min="4067" max="4067" width="13.88671875" style="10" customWidth="1"/>
    <col min="4068" max="4068" width="14.33203125" style="10" customWidth="1"/>
    <col min="4069" max="4085" width="9.6640625" style="10"/>
    <col min="4086" max="4086" width="12" style="10" customWidth="1"/>
    <col min="4087" max="4087" width="12.77734375" style="10" customWidth="1"/>
    <col min="4088" max="4088" width="11.109375" style="10" customWidth="1"/>
    <col min="4089" max="4089" width="12" style="10" customWidth="1"/>
    <col min="4090" max="4090" width="9.6640625" style="10"/>
    <col min="4091" max="4091" width="15.33203125" style="10" customWidth="1"/>
    <col min="4092" max="4092" width="15.21875" style="10" customWidth="1"/>
    <col min="4093" max="4093" width="21.44140625" style="10" customWidth="1"/>
    <col min="4094" max="4109" width="9.6640625" style="10"/>
    <col min="4110" max="4111" width="13.44140625" style="10" customWidth="1"/>
    <col min="4112" max="4112" width="9.6640625" style="10"/>
    <col min="4113" max="4113" width="13.88671875" style="10" customWidth="1"/>
    <col min="4114" max="4114" width="10.6640625" style="10" customWidth="1"/>
    <col min="4115" max="4115" width="17.33203125" style="10" customWidth="1"/>
    <col min="4116" max="4117" width="12.6640625" style="10" customWidth="1"/>
    <col min="4118" max="4118" width="11.21875" style="10" customWidth="1"/>
    <col min="4119" max="4119" width="18.33203125" style="10" customWidth="1"/>
    <col min="4120" max="4120" width="12.88671875" style="10" customWidth="1"/>
    <col min="4121" max="4122" width="13.21875" style="10" customWidth="1"/>
    <col min="4123" max="4123" width="10.88671875" style="10" customWidth="1"/>
    <col min="4124" max="4124" width="11.109375" style="10" customWidth="1"/>
    <col min="4125" max="4125" width="15.21875" style="10" customWidth="1"/>
    <col min="4126" max="4126" width="9.6640625" style="10"/>
    <col min="4127" max="4127" width="11" style="10" customWidth="1"/>
    <col min="4128" max="4128" width="10.77734375" style="10" customWidth="1"/>
    <col min="4129" max="4129" width="11.44140625" style="10" customWidth="1"/>
    <col min="4130" max="4130" width="4" style="10" customWidth="1"/>
    <col min="4131" max="4321" width="9.6640625" style="10"/>
    <col min="4322" max="4322" width="6.44140625" style="10" customWidth="1"/>
    <col min="4323" max="4323" width="13.88671875" style="10" customWidth="1"/>
    <col min="4324" max="4324" width="14.33203125" style="10" customWidth="1"/>
    <col min="4325" max="4341" width="9.6640625" style="10"/>
    <col min="4342" max="4342" width="12" style="10" customWidth="1"/>
    <col min="4343" max="4343" width="12.77734375" style="10" customWidth="1"/>
    <col min="4344" max="4344" width="11.109375" style="10" customWidth="1"/>
    <col min="4345" max="4345" width="12" style="10" customWidth="1"/>
    <col min="4346" max="4346" width="9.6640625" style="10"/>
    <col min="4347" max="4347" width="15.33203125" style="10" customWidth="1"/>
    <col min="4348" max="4348" width="15.21875" style="10" customWidth="1"/>
    <col min="4349" max="4349" width="21.44140625" style="10" customWidth="1"/>
    <col min="4350" max="4365" width="9.6640625" style="10"/>
    <col min="4366" max="4367" width="13.44140625" style="10" customWidth="1"/>
    <col min="4368" max="4368" width="9.6640625" style="10"/>
    <col min="4369" max="4369" width="13.88671875" style="10" customWidth="1"/>
    <col min="4370" max="4370" width="10.6640625" style="10" customWidth="1"/>
    <col min="4371" max="4371" width="17.33203125" style="10" customWidth="1"/>
    <col min="4372" max="4373" width="12.6640625" style="10" customWidth="1"/>
    <col min="4374" max="4374" width="11.21875" style="10" customWidth="1"/>
    <col min="4375" max="4375" width="18.33203125" style="10" customWidth="1"/>
    <col min="4376" max="4376" width="12.88671875" style="10" customWidth="1"/>
    <col min="4377" max="4378" width="13.21875" style="10" customWidth="1"/>
    <col min="4379" max="4379" width="10.88671875" style="10" customWidth="1"/>
    <col min="4380" max="4380" width="11.109375" style="10" customWidth="1"/>
    <col min="4381" max="4381" width="15.21875" style="10" customWidth="1"/>
    <col min="4382" max="4382" width="9.6640625" style="10"/>
    <col min="4383" max="4383" width="11" style="10" customWidth="1"/>
    <col min="4384" max="4384" width="10.77734375" style="10" customWidth="1"/>
    <col min="4385" max="4385" width="11.44140625" style="10" customWidth="1"/>
    <col min="4386" max="4386" width="4" style="10" customWidth="1"/>
    <col min="4387" max="4577" width="9.6640625" style="10"/>
    <col min="4578" max="4578" width="6.44140625" style="10" customWidth="1"/>
    <col min="4579" max="4579" width="13.88671875" style="10" customWidth="1"/>
    <col min="4580" max="4580" width="14.33203125" style="10" customWidth="1"/>
    <col min="4581" max="4597" width="9.6640625" style="10"/>
    <col min="4598" max="4598" width="12" style="10" customWidth="1"/>
    <col min="4599" max="4599" width="12.77734375" style="10" customWidth="1"/>
    <col min="4600" max="4600" width="11.109375" style="10" customWidth="1"/>
    <col min="4601" max="4601" width="12" style="10" customWidth="1"/>
    <col min="4602" max="4602" width="9.6640625" style="10"/>
    <col min="4603" max="4603" width="15.33203125" style="10" customWidth="1"/>
    <col min="4604" max="4604" width="15.21875" style="10" customWidth="1"/>
    <col min="4605" max="4605" width="21.44140625" style="10" customWidth="1"/>
    <col min="4606" max="4621" width="9.6640625" style="10"/>
    <col min="4622" max="4623" width="13.44140625" style="10" customWidth="1"/>
    <col min="4624" max="4624" width="9.6640625" style="10"/>
    <col min="4625" max="4625" width="13.88671875" style="10" customWidth="1"/>
    <col min="4626" max="4626" width="10.6640625" style="10" customWidth="1"/>
    <col min="4627" max="4627" width="17.33203125" style="10" customWidth="1"/>
    <col min="4628" max="4629" width="12.6640625" style="10" customWidth="1"/>
    <col min="4630" max="4630" width="11.21875" style="10" customWidth="1"/>
    <col min="4631" max="4631" width="18.33203125" style="10" customWidth="1"/>
    <col min="4632" max="4632" width="12.88671875" style="10" customWidth="1"/>
    <col min="4633" max="4634" width="13.21875" style="10" customWidth="1"/>
    <col min="4635" max="4635" width="10.88671875" style="10" customWidth="1"/>
    <col min="4636" max="4636" width="11.109375" style="10" customWidth="1"/>
    <col min="4637" max="4637" width="15.21875" style="10" customWidth="1"/>
    <col min="4638" max="4638" width="9.6640625" style="10"/>
    <col min="4639" max="4639" width="11" style="10" customWidth="1"/>
    <col min="4640" max="4640" width="10.77734375" style="10" customWidth="1"/>
    <col min="4641" max="4641" width="11.44140625" style="10" customWidth="1"/>
    <col min="4642" max="4642" width="4" style="10" customWidth="1"/>
    <col min="4643" max="4833" width="9.6640625" style="10"/>
    <col min="4834" max="4834" width="6.44140625" style="10" customWidth="1"/>
    <col min="4835" max="4835" width="13.88671875" style="10" customWidth="1"/>
    <col min="4836" max="4836" width="14.33203125" style="10" customWidth="1"/>
    <col min="4837" max="4853" width="9.6640625" style="10"/>
    <col min="4854" max="4854" width="12" style="10" customWidth="1"/>
    <col min="4855" max="4855" width="12.77734375" style="10" customWidth="1"/>
    <col min="4856" max="4856" width="11.109375" style="10" customWidth="1"/>
    <col min="4857" max="4857" width="12" style="10" customWidth="1"/>
    <col min="4858" max="4858" width="9.6640625" style="10"/>
    <col min="4859" max="4859" width="15.33203125" style="10" customWidth="1"/>
    <col min="4860" max="4860" width="15.21875" style="10" customWidth="1"/>
    <col min="4861" max="4861" width="21.44140625" style="10" customWidth="1"/>
    <col min="4862" max="4877" width="9.6640625" style="10"/>
    <col min="4878" max="4879" width="13.44140625" style="10" customWidth="1"/>
    <col min="4880" max="4880" width="9.6640625" style="10"/>
    <col min="4881" max="4881" width="13.88671875" style="10" customWidth="1"/>
    <col min="4882" max="4882" width="10.6640625" style="10" customWidth="1"/>
    <col min="4883" max="4883" width="17.33203125" style="10" customWidth="1"/>
    <col min="4884" max="4885" width="12.6640625" style="10" customWidth="1"/>
    <col min="4886" max="4886" width="11.21875" style="10" customWidth="1"/>
    <col min="4887" max="4887" width="18.33203125" style="10" customWidth="1"/>
    <col min="4888" max="4888" width="12.88671875" style="10" customWidth="1"/>
    <col min="4889" max="4890" width="13.21875" style="10" customWidth="1"/>
    <col min="4891" max="4891" width="10.88671875" style="10" customWidth="1"/>
    <col min="4892" max="4892" width="11.109375" style="10" customWidth="1"/>
    <col min="4893" max="4893" width="15.21875" style="10" customWidth="1"/>
    <col min="4894" max="4894" width="9.6640625" style="10"/>
    <col min="4895" max="4895" width="11" style="10" customWidth="1"/>
    <col min="4896" max="4896" width="10.77734375" style="10" customWidth="1"/>
    <col min="4897" max="4897" width="11.44140625" style="10" customWidth="1"/>
    <col min="4898" max="4898" width="4" style="10" customWidth="1"/>
    <col min="4899" max="5089" width="9.6640625" style="10"/>
    <col min="5090" max="5090" width="6.44140625" style="10" customWidth="1"/>
    <col min="5091" max="5091" width="13.88671875" style="10" customWidth="1"/>
    <col min="5092" max="5092" width="14.33203125" style="10" customWidth="1"/>
    <col min="5093" max="5109" width="9.6640625" style="10"/>
    <col min="5110" max="5110" width="12" style="10" customWidth="1"/>
    <col min="5111" max="5111" width="12.77734375" style="10" customWidth="1"/>
    <col min="5112" max="5112" width="11.109375" style="10" customWidth="1"/>
    <col min="5113" max="5113" width="12" style="10" customWidth="1"/>
    <col min="5114" max="5114" width="9.6640625" style="10"/>
    <col min="5115" max="5115" width="15.33203125" style="10" customWidth="1"/>
    <col min="5116" max="5116" width="15.21875" style="10" customWidth="1"/>
    <col min="5117" max="5117" width="21.44140625" style="10" customWidth="1"/>
    <col min="5118" max="5133" width="9.6640625" style="10"/>
    <col min="5134" max="5135" width="13.44140625" style="10" customWidth="1"/>
    <col min="5136" max="5136" width="9.6640625" style="10"/>
    <col min="5137" max="5137" width="13.88671875" style="10" customWidth="1"/>
    <col min="5138" max="5138" width="10.6640625" style="10" customWidth="1"/>
    <col min="5139" max="5139" width="17.33203125" style="10" customWidth="1"/>
    <col min="5140" max="5141" width="12.6640625" style="10" customWidth="1"/>
    <col min="5142" max="5142" width="11.21875" style="10" customWidth="1"/>
    <col min="5143" max="5143" width="18.33203125" style="10" customWidth="1"/>
    <col min="5144" max="5144" width="12.88671875" style="10" customWidth="1"/>
    <col min="5145" max="5146" width="13.21875" style="10" customWidth="1"/>
    <col min="5147" max="5147" width="10.88671875" style="10" customWidth="1"/>
    <col min="5148" max="5148" width="11.109375" style="10" customWidth="1"/>
    <col min="5149" max="5149" width="15.21875" style="10" customWidth="1"/>
    <col min="5150" max="5150" width="9.6640625" style="10"/>
    <col min="5151" max="5151" width="11" style="10" customWidth="1"/>
    <col min="5152" max="5152" width="10.77734375" style="10" customWidth="1"/>
    <col min="5153" max="5153" width="11.44140625" style="10" customWidth="1"/>
    <col min="5154" max="5154" width="4" style="10" customWidth="1"/>
    <col min="5155" max="5345" width="9.6640625" style="10"/>
    <col min="5346" max="5346" width="6.44140625" style="10" customWidth="1"/>
    <col min="5347" max="5347" width="13.88671875" style="10" customWidth="1"/>
    <col min="5348" max="5348" width="14.33203125" style="10" customWidth="1"/>
    <col min="5349" max="5365" width="9.6640625" style="10"/>
    <col min="5366" max="5366" width="12" style="10" customWidth="1"/>
    <col min="5367" max="5367" width="12.77734375" style="10" customWidth="1"/>
    <col min="5368" max="5368" width="11.109375" style="10" customWidth="1"/>
    <col min="5369" max="5369" width="12" style="10" customWidth="1"/>
    <col min="5370" max="5370" width="9.6640625" style="10"/>
    <col min="5371" max="5371" width="15.33203125" style="10" customWidth="1"/>
    <col min="5372" max="5372" width="15.21875" style="10" customWidth="1"/>
    <col min="5373" max="5373" width="21.44140625" style="10" customWidth="1"/>
    <col min="5374" max="5389" width="9.6640625" style="10"/>
    <col min="5390" max="5391" width="13.44140625" style="10" customWidth="1"/>
    <col min="5392" max="5392" width="9.6640625" style="10"/>
    <col min="5393" max="5393" width="13.88671875" style="10" customWidth="1"/>
    <col min="5394" max="5394" width="10.6640625" style="10" customWidth="1"/>
    <col min="5395" max="5395" width="17.33203125" style="10" customWidth="1"/>
    <col min="5396" max="5397" width="12.6640625" style="10" customWidth="1"/>
    <col min="5398" max="5398" width="11.21875" style="10" customWidth="1"/>
    <col min="5399" max="5399" width="18.33203125" style="10" customWidth="1"/>
    <col min="5400" max="5400" width="12.88671875" style="10" customWidth="1"/>
    <col min="5401" max="5402" width="13.21875" style="10" customWidth="1"/>
    <col min="5403" max="5403" width="10.88671875" style="10" customWidth="1"/>
    <col min="5404" max="5404" width="11.109375" style="10" customWidth="1"/>
    <col min="5405" max="5405" width="15.21875" style="10" customWidth="1"/>
    <col min="5406" max="5406" width="9.6640625" style="10"/>
    <col min="5407" max="5407" width="11" style="10" customWidth="1"/>
    <col min="5408" max="5408" width="10.77734375" style="10" customWidth="1"/>
    <col min="5409" max="5409" width="11.44140625" style="10" customWidth="1"/>
    <col min="5410" max="5410" width="4" style="10" customWidth="1"/>
    <col min="5411" max="5601" width="9.6640625" style="10"/>
    <col min="5602" max="5602" width="6.44140625" style="10" customWidth="1"/>
    <col min="5603" max="5603" width="13.88671875" style="10" customWidth="1"/>
    <col min="5604" max="5604" width="14.33203125" style="10" customWidth="1"/>
    <col min="5605" max="5621" width="9.6640625" style="10"/>
    <col min="5622" max="5622" width="12" style="10" customWidth="1"/>
    <col min="5623" max="5623" width="12.77734375" style="10" customWidth="1"/>
    <col min="5624" max="5624" width="11.109375" style="10" customWidth="1"/>
    <col min="5625" max="5625" width="12" style="10" customWidth="1"/>
    <col min="5626" max="5626" width="9.6640625" style="10"/>
    <col min="5627" max="5627" width="15.33203125" style="10" customWidth="1"/>
    <col min="5628" max="5628" width="15.21875" style="10" customWidth="1"/>
    <col min="5629" max="5629" width="21.44140625" style="10" customWidth="1"/>
    <col min="5630" max="5645" width="9.6640625" style="10"/>
    <col min="5646" max="5647" width="13.44140625" style="10" customWidth="1"/>
    <col min="5648" max="5648" width="9.6640625" style="10"/>
    <col min="5649" max="5649" width="13.88671875" style="10" customWidth="1"/>
    <col min="5650" max="5650" width="10.6640625" style="10" customWidth="1"/>
    <col min="5651" max="5651" width="17.33203125" style="10" customWidth="1"/>
    <col min="5652" max="5653" width="12.6640625" style="10" customWidth="1"/>
    <col min="5654" max="5654" width="11.21875" style="10" customWidth="1"/>
    <col min="5655" max="5655" width="18.33203125" style="10" customWidth="1"/>
    <col min="5656" max="5656" width="12.88671875" style="10" customWidth="1"/>
    <col min="5657" max="5658" width="13.21875" style="10" customWidth="1"/>
    <col min="5659" max="5659" width="10.88671875" style="10" customWidth="1"/>
    <col min="5660" max="5660" width="11.109375" style="10" customWidth="1"/>
    <col min="5661" max="5661" width="15.21875" style="10" customWidth="1"/>
    <col min="5662" max="5662" width="9.6640625" style="10"/>
    <col min="5663" max="5663" width="11" style="10" customWidth="1"/>
    <col min="5664" max="5664" width="10.77734375" style="10" customWidth="1"/>
    <col min="5665" max="5665" width="11.44140625" style="10" customWidth="1"/>
    <col min="5666" max="5666" width="4" style="10" customWidth="1"/>
    <col min="5667" max="5857" width="9.6640625" style="10"/>
    <col min="5858" max="5858" width="6.44140625" style="10" customWidth="1"/>
    <col min="5859" max="5859" width="13.88671875" style="10" customWidth="1"/>
    <col min="5860" max="5860" width="14.33203125" style="10" customWidth="1"/>
    <col min="5861" max="5877" width="9.6640625" style="10"/>
    <col min="5878" max="5878" width="12" style="10" customWidth="1"/>
    <col min="5879" max="5879" width="12.77734375" style="10" customWidth="1"/>
    <col min="5880" max="5880" width="11.109375" style="10" customWidth="1"/>
    <col min="5881" max="5881" width="12" style="10" customWidth="1"/>
    <col min="5882" max="5882" width="9.6640625" style="10"/>
    <col min="5883" max="5883" width="15.33203125" style="10" customWidth="1"/>
    <col min="5884" max="5884" width="15.21875" style="10" customWidth="1"/>
    <col min="5885" max="5885" width="21.44140625" style="10" customWidth="1"/>
    <col min="5886" max="5901" width="9.6640625" style="10"/>
    <col min="5902" max="5903" width="13.44140625" style="10" customWidth="1"/>
    <col min="5904" max="5904" width="9.6640625" style="10"/>
    <col min="5905" max="5905" width="13.88671875" style="10" customWidth="1"/>
    <col min="5906" max="5906" width="10.6640625" style="10" customWidth="1"/>
    <col min="5907" max="5907" width="17.33203125" style="10" customWidth="1"/>
    <col min="5908" max="5909" width="12.6640625" style="10" customWidth="1"/>
    <col min="5910" max="5910" width="11.21875" style="10" customWidth="1"/>
    <col min="5911" max="5911" width="18.33203125" style="10" customWidth="1"/>
    <col min="5912" max="5912" width="12.88671875" style="10" customWidth="1"/>
    <col min="5913" max="5914" width="13.21875" style="10" customWidth="1"/>
    <col min="5915" max="5915" width="10.88671875" style="10" customWidth="1"/>
    <col min="5916" max="5916" width="11.109375" style="10" customWidth="1"/>
    <col min="5917" max="5917" width="15.21875" style="10" customWidth="1"/>
    <col min="5918" max="5918" width="9.6640625" style="10"/>
    <col min="5919" max="5919" width="11" style="10" customWidth="1"/>
    <col min="5920" max="5920" width="10.77734375" style="10" customWidth="1"/>
    <col min="5921" max="5921" width="11.44140625" style="10" customWidth="1"/>
    <col min="5922" max="5922" width="4" style="10" customWidth="1"/>
    <col min="5923" max="6113" width="9.6640625" style="10"/>
    <col min="6114" max="6114" width="6.44140625" style="10" customWidth="1"/>
    <col min="6115" max="6115" width="13.88671875" style="10" customWidth="1"/>
    <col min="6116" max="6116" width="14.33203125" style="10" customWidth="1"/>
    <col min="6117" max="6133" width="9.6640625" style="10"/>
    <col min="6134" max="6134" width="12" style="10" customWidth="1"/>
    <col min="6135" max="6135" width="12.77734375" style="10" customWidth="1"/>
    <col min="6136" max="6136" width="11.109375" style="10" customWidth="1"/>
    <col min="6137" max="6137" width="12" style="10" customWidth="1"/>
    <col min="6138" max="6138" width="9.6640625" style="10"/>
    <col min="6139" max="6139" width="15.33203125" style="10" customWidth="1"/>
    <col min="6140" max="6140" width="15.21875" style="10" customWidth="1"/>
    <col min="6141" max="6141" width="21.44140625" style="10" customWidth="1"/>
    <col min="6142" max="6157" width="9.6640625" style="10"/>
    <col min="6158" max="6159" width="13.44140625" style="10" customWidth="1"/>
    <col min="6160" max="6160" width="9.6640625" style="10"/>
    <col min="6161" max="6161" width="13.88671875" style="10" customWidth="1"/>
    <col min="6162" max="6162" width="10.6640625" style="10" customWidth="1"/>
    <col min="6163" max="6163" width="17.33203125" style="10" customWidth="1"/>
    <col min="6164" max="6165" width="12.6640625" style="10" customWidth="1"/>
    <col min="6166" max="6166" width="11.21875" style="10" customWidth="1"/>
    <col min="6167" max="6167" width="18.33203125" style="10" customWidth="1"/>
    <col min="6168" max="6168" width="12.88671875" style="10" customWidth="1"/>
    <col min="6169" max="6170" width="13.21875" style="10" customWidth="1"/>
    <col min="6171" max="6171" width="10.88671875" style="10" customWidth="1"/>
    <col min="6172" max="6172" width="11.109375" style="10" customWidth="1"/>
    <col min="6173" max="6173" width="15.21875" style="10" customWidth="1"/>
    <col min="6174" max="6174" width="9.6640625" style="10"/>
    <col min="6175" max="6175" width="11" style="10" customWidth="1"/>
    <col min="6176" max="6176" width="10.77734375" style="10" customWidth="1"/>
    <col min="6177" max="6177" width="11.44140625" style="10" customWidth="1"/>
    <col min="6178" max="6178" width="4" style="10" customWidth="1"/>
    <col min="6179" max="6369" width="9.6640625" style="10"/>
    <col min="6370" max="6370" width="6.44140625" style="10" customWidth="1"/>
    <col min="6371" max="6371" width="13.88671875" style="10" customWidth="1"/>
    <col min="6372" max="6372" width="14.33203125" style="10" customWidth="1"/>
    <col min="6373" max="6389" width="9.6640625" style="10"/>
    <col min="6390" max="6390" width="12" style="10" customWidth="1"/>
    <col min="6391" max="6391" width="12.77734375" style="10" customWidth="1"/>
    <col min="6392" max="6392" width="11.109375" style="10" customWidth="1"/>
    <col min="6393" max="6393" width="12" style="10" customWidth="1"/>
    <col min="6394" max="6394" width="9.6640625" style="10"/>
    <col min="6395" max="6395" width="15.33203125" style="10" customWidth="1"/>
    <col min="6396" max="6396" width="15.21875" style="10" customWidth="1"/>
    <col min="6397" max="6397" width="21.44140625" style="10" customWidth="1"/>
    <col min="6398" max="6413" width="9.6640625" style="10"/>
    <col min="6414" max="6415" width="13.44140625" style="10" customWidth="1"/>
    <col min="6416" max="6416" width="9.6640625" style="10"/>
    <col min="6417" max="6417" width="13.88671875" style="10" customWidth="1"/>
    <col min="6418" max="6418" width="10.6640625" style="10" customWidth="1"/>
    <col min="6419" max="6419" width="17.33203125" style="10" customWidth="1"/>
    <col min="6420" max="6421" width="12.6640625" style="10" customWidth="1"/>
    <col min="6422" max="6422" width="11.21875" style="10" customWidth="1"/>
    <col min="6423" max="6423" width="18.33203125" style="10" customWidth="1"/>
    <col min="6424" max="6424" width="12.88671875" style="10" customWidth="1"/>
    <col min="6425" max="6426" width="13.21875" style="10" customWidth="1"/>
    <col min="6427" max="6427" width="10.88671875" style="10" customWidth="1"/>
    <col min="6428" max="6428" width="11.109375" style="10" customWidth="1"/>
    <col min="6429" max="6429" width="15.21875" style="10" customWidth="1"/>
    <col min="6430" max="6430" width="9.6640625" style="10"/>
    <col min="6431" max="6431" width="11" style="10" customWidth="1"/>
    <col min="6432" max="6432" width="10.77734375" style="10" customWidth="1"/>
    <col min="6433" max="6433" width="11.44140625" style="10" customWidth="1"/>
    <col min="6434" max="6434" width="4" style="10" customWidth="1"/>
    <col min="6435" max="6625" width="9.6640625" style="10"/>
    <col min="6626" max="6626" width="6.44140625" style="10" customWidth="1"/>
    <col min="6627" max="6627" width="13.88671875" style="10" customWidth="1"/>
    <col min="6628" max="6628" width="14.33203125" style="10" customWidth="1"/>
    <col min="6629" max="6645" width="9.6640625" style="10"/>
    <col min="6646" max="6646" width="12" style="10" customWidth="1"/>
    <col min="6647" max="6647" width="12.77734375" style="10" customWidth="1"/>
    <col min="6648" max="6648" width="11.109375" style="10" customWidth="1"/>
    <col min="6649" max="6649" width="12" style="10" customWidth="1"/>
    <col min="6650" max="6650" width="9.6640625" style="10"/>
    <col min="6651" max="6651" width="15.33203125" style="10" customWidth="1"/>
    <col min="6652" max="6652" width="15.21875" style="10" customWidth="1"/>
    <col min="6653" max="6653" width="21.44140625" style="10" customWidth="1"/>
    <col min="6654" max="6669" width="9.6640625" style="10"/>
    <col min="6670" max="6671" width="13.44140625" style="10" customWidth="1"/>
    <col min="6672" max="6672" width="9.6640625" style="10"/>
    <col min="6673" max="6673" width="13.88671875" style="10" customWidth="1"/>
    <col min="6674" max="6674" width="10.6640625" style="10" customWidth="1"/>
    <col min="6675" max="6675" width="17.33203125" style="10" customWidth="1"/>
    <col min="6676" max="6677" width="12.6640625" style="10" customWidth="1"/>
    <col min="6678" max="6678" width="11.21875" style="10" customWidth="1"/>
    <col min="6679" max="6679" width="18.33203125" style="10" customWidth="1"/>
    <col min="6680" max="6680" width="12.88671875" style="10" customWidth="1"/>
    <col min="6681" max="6682" width="13.21875" style="10" customWidth="1"/>
    <col min="6683" max="6683" width="10.88671875" style="10" customWidth="1"/>
    <col min="6684" max="6684" width="11.109375" style="10" customWidth="1"/>
    <col min="6685" max="6685" width="15.21875" style="10" customWidth="1"/>
    <col min="6686" max="6686" width="9.6640625" style="10"/>
    <col min="6687" max="6687" width="11" style="10" customWidth="1"/>
    <col min="6688" max="6688" width="10.77734375" style="10" customWidth="1"/>
    <col min="6689" max="6689" width="11.44140625" style="10" customWidth="1"/>
    <col min="6690" max="6690" width="4" style="10" customWidth="1"/>
    <col min="6691" max="6881" width="9.6640625" style="10"/>
    <col min="6882" max="6882" width="6.44140625" style="10" customWidth="1"/>
    <col min="6883" max="6883" width="13.88671875" style="10" customWidth="1"/>
    <col min="6884" max="6884" width="14.33203125" style="10" customWidth="1"/>
    <col min="6885" max="6901" width="9.6640625" style="10"/>
    <col min="6902" max="6902" width="12" style="10" customWidth="1"/>
    <col min="6903" max="6903" width="12.77734375" style="10" customWidth="1"/>
    <col min="6904" max="6904" width="11.109375" style="10" customWidth="1"/>
    <col min="6905" max="6905" width="12" style="10" customWidth="1"/>
    <col min="6906" max="6906" width="9.6640625" style="10"/>
    <col min="6907" max="6907" width="15.33203125" style="10" customWidth="1"/>
    <col min="6908" max="6908" width="15.21875" style="10" customWidth="1"/>
    <col min="6909" max="6909" width="21.44140625" style="10" customWidth="1"/>
    <col min="6910" max="6925" width="9.6640625" style="10"/>
    <col min="6926" max="6927" width="13.44140625" style="10" customWidth="1"/>
    <col min="6928" max="6928" width="9.6640625" style="10"/>
    <col min="6929" max="6929" width="13.88671875" style="10" customWidth="1"/>
    <col min="6930" max="6930" width="10.6640625" style="10" customWidth="1"/>
    <col min="6931" max="6931" width="17.33203125" style="10" customWidth="1"/>
    <col min="6932" max="6933" width="12.6640625" style="10" customWidth="1"/>
    <col min="6934" max="6934" width="11.21875" style="10" customWidth="1"/>
    <col min="6935" max="6935" width="18.33203125" style="10" customWidth="1"/>
    <col min="6936" max="6936" width="12.88671875" style="10" customWidth="1"/>
    <col min="6937" max="6938" width="13.21875" style="10" customWidth="1"/>
    <col min="6939" max="6939" width="10.88671875" style="10" customWidth="1"/>
    <col min="6940" max="6940" width="11.109375" style="10" customWidth="1"/>
    <col min="6941" max="6941" width="15.21875" style="10" customWidth="1"/>
    <col min="6942" max="6942" width="9.6640625" style="10"/>
    <col min="6943" max="6943" width="11" style="10" customWidth="1"/>
    <col min="6944" max="6944" width="10.77734375" style="10" customWidth="1"/>
    <col min="6945" max="6945" width="11.44140625" style="10" customWidth="1"/>
    <col min="6946" max="6946" width="4" style="10" customWidth="1"/>
    <col min="6947" max="7137" width="9.6640625" style="10"/>
    <col min="7138" max="7138" width="6.44140625" style="10" customWidth="1"/>
    <col min="7139" max="7139" width="13.88671875" style="10" customWidth="1"/>
    <col min="7140" max="7140" width="14.33203125" style="10" customWidth="1"/>
    <col min="7141" max="7157" width="9.6640625" style="10"/>
    <col min="7158" max="7158" width="12" style="10" customWidth="1"/>
    <col min="7159" max="7159" width="12.77734375" style="10" customWidth="1"/>
    <col min="7160" max="7160" width="11.109375" style="10" customWidth="1"/>
    <col min="7161" max="7161" width="12" style="10" customWidth="1"/>
    <col min="7162" max="7162" width="9.6640625" style="10"/>
    <col min="7163" max="7163" width="15.33203125" style="10" customWidth="1"/>
    <col min="7164" max="7164" width="15.21875" style="10" customWidth="1"/>
    <col min="7165" max="7165" width="21.44140625" style="10" customWidth="1"/>
    <col min="7166" max="7181" width="9.6640625" style="10"/>
    <col min="7182" max="7183" width="13.44140625" style="10" customWidth="1"/>
    <col min="7184" max="7184" width="9.6640625" style="10"/>
    <col min="7185" max="7185" width="13.88671875" style="10" customWidth="1"/>
    <col min="7186" max="7186" width="10.6640625" style="10" customWidth="1"/>
    <col min="7187" max="7187" width="17.33203125" style="10" customWidth="1"/>
    <col min="7188" max="7189" width="12.6640625" style="10" customWidth="1"/>
    <col min="7190" max="7190" width="11.21875" style="10" customWidth="1"/>
    <col min="7191" max="7191" width="18.33203125" style="10" customWidth="1"/>
    <col min="7192" max="7192" width="12.88671875" style="10" customWidth="1"/>
    <col min="7193" max="7194" width="13.21875" style="10" customWidth="1"/>
    <col min="7195" max="7195" width="10.88671875" style="10" customWidth="1"/>
    <col min="7196" max="7196" width="11.109375" style="10" customWidth="1"/>
    <col min="7197" max="7197" width="15.21875" style="10" customWidth="1"/>
    <col min="7198" max="7198" width="9.6640625" style="10"/>
    <col min="7199" max="7199" width="11" style="10" customWidth="1"/>
    <col min="7200" max="7200" width="10.77734375" style="10" customWidth="1"/>
    <col min="7201" max="7201" width="11.44140625" style="10" customWidth="1"/>
    <col min="7202" max="7202" width="4" style="10" customWidth="1"/>
    <col min="7203" max="7393" width="9.6640625" style="10"/>
    <col min="7394" max="7394" width="6.44140625" style="10" customWidth="1"/>
    <col min="7395" max="7395" width="13.88671875" style="10" customWidth="1"/>
    <col min="7396" max="7396" width="14.33203125" style="10" customWidth="1"/>
    <col min="7397" max="7413" width="9.6640625" style="10"/>
    <col min="7414" max="7414" width="12" style="10" customWidth="1"/>
    <col min="7415" max="7415" width="12.77734375" style="10" customWidth="1"/>
    <col min="7416" max="7416" width="11.109375" style="10" customWidth="1"/>
    <col min="7417" max="7417" width="12" style="10" customWidth="1"/>
    <col min="7418" max="7418" width="9.6640625" style="10"/>
    <col min="7419" max="7419" width="15.33203125" style="10" customWidth="1"/>
    <col min="7420" max="7420" width="15.21875" style="10" customWidth="1"/>
    <col min="7421" max="7421" width="21.44140625" style="10" customWidth="1"/>
    <col min="7422" max="7437" width="9.6640625" style="10"/>
    <col min="7438" max="7439" width="13.44140625" style="10" customWidth="1"/>
    <col min="7440" max="7440" width="9.6640625" style="10"/>
    <col min="7441" max="7441" width="13.88671875" style="10" customWidth="1"/>
    <col min="7442" max="7442" width="10.6640625" style="10" customWidth="1"/>
    <col min="7443" max="7443" width="17.33203125" style="10" customWidth="1"/>
    <col min="7444" max="7445" width="12.6640625" style="10" customWidth="1"/>
    <col min="7446" max="7446" width="11.21875" style="10" customWidth="1"/>
    <col min="7447" max="7447" width="18.33203125" style="10" customWidth="1"/>
    <col min="7448" max="7448" width="12.88671875" style="10" customWidth="1"/>
    <col min="7449" max="7450" width="13.21875" style="10" customWidth="1"/>
    <col min="7451" max="7451" width="10.88671875" style="10" customWidth="1"/>
    <col min="7452" max="7452" width="11.109375" style="10" customWidth="1"/>
    <col min="7453" max="7453" width="15.21875" style="10" customWidth="1"/>
    <col min="7454" max="7454" width="9.6640625" style="10"/>
    <col min="7455" max="7455" width="11" style="10" customWidth="1"/>
    <col min="7456" max="7456" width="10.77734375" style="10" customWidth="1"/>
    <col min="7457" max="7457" width="11.44140625" style="10" customWidth="1"/>
    <col min="7458" max="7458" width="4" style="10" customWidth="1"/>
    <col min="7459" max="7649" width="9.6640625" style="10"/>
    <col min="7650" max="7650" width="6.44140625" style="10" customWidth="1"/>
    <col min="7651" max="7651" width="13.88671875" style="10" customWidth="1"/>
    <col min="7652" max="7652" width="14.33203125" style="10" customWidth="1"/>
    <col min="7653" max="7669" width="9.6640625" style="10"/>
    <col min="7670" max="7670" width="12" style="10" customWidth="1"/>
    <col min="7671" max="7671" width="12.77734375" style="10" customWidth="1"/>
    <col min="7672" max="7672" width="11.109375" style="10" customWidth="1"/>
    <col min="7673" max="7673" width="12" style="10" customWidth="1"/>
    <col min="7674" max="7674" width="9.6640625" style="10"/>
    <col min="7675" max="7675" width="15.33203125" style="10" customWidth="1"/>
    <col min="7676" max="7676" width="15.21875" style="10" customWidth="1"/>
    <col min="7677" max="7677" width="21.44140625" style="10" customWidth="1"/>
    <col min="7678" max="7693" width="9.6640625" style="10"/>
    <col min="7694" max="7695" width="13.44140625" style="10" customWidth="1"/>
    <col min="7696" max="7696" width="9.6640625" style="10"/>
    <col min="7697" max="7697" width="13.88671875" style="10" customWidth="1"/>
    <col min="7698" max="7698" width="10.6640625" style="10" customWidth="1"/>
    <col min="7699" max="7699" width="17.33203125" style="10" customWidth="1"/>
    <col min="7700" max="7701" width="12.6640625" style="10" customWidth="1"/>
    <col min="7702" max="7702" width="11.21875" style="10" customWidth="1"/>
    <col min="7703" max="7703" width="18.33203125" style="10" customWidth="1"/>
    <col min="7704" max="7704" width="12.88671875" style="10" customWidth="1"/>
    <col min="7705" max="7706" width="13.21875" style="10" customWidth="1"/>
    <col min="7707" max="7707" width="10.88671875" style="10" customWidth="1"/>
    <col min="7708" max="7708" width="11.109375" style="10" customWidth="1"/>
    <col min="7709" max="7709" width="15.21875" style="10" customWidth="1"/>
    <col min="7710" max="7710" width="9.6640625" style="10"/>
    <col min="7711" max="7711" width="11" style="10" customWidth="1"/>
    <col min="7712" max="7712" width="10.77734375" style="10" customWidth="1"/>
    <col min="7713" max="7713" width="11.44140625" style="10" customWidth="1"/>
    <col min="7714" max="7714" width="4" style="10" customWidth="1"/>
    <col min="7715" max="7905" width="9.6640625" style="10"/>
    <col min="7906" max="7906" width="6.44140625" style="10" customWidth="1"/>
    <col min="7907" max="7907" width="13.88671875" style="10" customWidth="1"/>
    <col min="7908" max="7908" width="14.33203125" style="10" customWidth="1"/>
    <col min="7909" max="7925" width="9.6640625" style="10"/>
    <col min="7926" max="7926" width="12" style="10" customWidth="1"/>
    <col min="7927" max="7927" width="12.77734375" style="10" customWidth="1"/>
    <col min="7928" max="7928" width="11.109375" style="10" customWidth="1"/>
    <col min="7929" max="7929" width="12" style="10" customWidth="1"/>
    <col min="7930" max="7930" width="9.6640625" style="10"/>
    <col min="7931" max="7931" width="15.33203125" style="10" customWidth="1"/>
    <col min="7932" max="7932" width="15.21875" style="10" customWidth="1"/>
    <col min="7933" max="7933" width="21.44140625" style="10" customWidth="1"/>
    <col min="7934" max="7949" width="9.6640625" style="10"/>
    <col min="7950" max="7951" width="13.44140625" style="10" customWidth="1"/>
    <col min="7952" max="7952" width="9.6640625" style="10"/>
    <col min="7953" max="7953" width="13.88671875" style="10" customWidth="1"/>
    <col min="7954" max="7954" width="10.6640625" style="10" customWidth="1"/>
    <col min="7955" max="7955" width="17.33203125" style="10" customWidth="1"/>
    <col min="7956" max="7957" width="12.6640625" style="10" customWidth="1"/>
    <col min="7958" max="7958" width="11.21875" style="10" customWidth="1"/>
    <col min="7959" max="7959" width="18.33203125" style="10" customWidth="1"/>
    <col min="7960" max="7960" width="12.88671875" style="10" customWidth="1"/>
    <col min="7961" max="7962" width="13.21875" style="10" customWidth="1"/>
    <col min="7963" max="7963" width="10.88671875" style="10" customWidth="1"/>
    <col min="7964" max="7964" width="11.109375" style="10" customWidth="1"/>
    <col min="7965" max="7965" width="15.21875" style="10" customWidth="1"/>
    <col min="7966" max="7966" width="9.6640625" style="10"/>
    <col min="7967" max="7967" width="11" style="10" customWidth="1"/>
    <col min="7968" max="7968" width="10.77734375" style="10" customWidth="1"/>
    <col min="7969" max="7969" width="11.44140625" style="10" customWidth="1"/>
    <col min="7970" max="7970" width="4" style="10" customWidth="1"/>
    <col min="7971" max="8161" width="9.6640625" style="10"/>
    <col min="8162" max="8162" width="6.44140625" style="10" customWidth="1"/>
    <col min="8163" max="8163" width="13.88671875" style="10" customWidth="1"/>
    <col min="8164" max="8164" width="14.33203125" style="10" customWidth="1"/>
    <col min="8165" max="8181" width="9.6640625" style="10"/>
    <col min="8182" max="8182" width="12" style="10" customWidth="1"/>
    <col min="8183" max="8183" width="12.77734375" style="10" customWidth="1"/>
    <col min="8184" max="8184" width="11.109375" style="10" customWidth="1"/>
    <col min="8185" max="8185" width="12" style="10" customWidth="1"/>
    <col min="8186" max="8186" width="9.6640625" style="10"/>
    <col min="8187" max="8187" width="15.33203125" style="10" customWidth="1"/>
    <col min="8188" max="8188" width="15.21875" style="10" customWidth="1"/>
    <col min="8189" max="8189" width="21.44140625" style="10" customWidth="1"/>
    <col min="8190" max="8205" width="9.6640625" style="10"/>
    <col min="8206" max="8207" width="13.44140625" style="10" customWidth="1"/>
    <col min="8208" max="8208" width="9.6640625" style="10"/>
    <col min="8209" max="8209" width="13.88671875" style="10" customWidth="1"/>
    <col min="8210" max="8210" width="10.6640625" style="10" customWidth="1"/>
    <col min="8211" max="8211" width="17.33203125" style="10" customWidth="1"/>
    <col min="8212" max="8213" width="12.6640625" style="10" customWidth="1"/>
    <col min="8214" max="8214" width="11.21875" style="10" customWidth="1"/>
    <col min="8215" max="8215" width="18.33203125" style="10" customWidth="1"/>
    <col min="8216" max="8216" width="12.88671875" style="10" customWidth="1"/>
    <col min="8217" max="8218" width="13.21875" style="10" customWidth="1"/>
    <col min="8219" max="8219" width="10.88671875" style="10" customWidth="1"/>
    <col min="8220" max="8220" width="11.109375" style="10" customWidth="1"/>
    <col min="8221" max="8221" width="15.21875" style="10" customWidth="1"/>
    <col min="8222" max="8222" width="9.6640625" style="10"/>
    <col min="8223" max="8223" width="11" style="10" customWidth="1"/>
    <col min="8224" max="8224" width="10.77734375" style="10" customWidth="1"/>
    <col min="8225" max="8225" width="11.44140625" style="10" customWidth="1"/>
    <col min="8226" max="8226" width="4" style="10" customWidth="1"/>
    <col min="8227" max="8417" width="9.6640625" style="10"/>
    <col min="8418" max="8418" width="6.44140625" style="10" customWidth="1"/>
    <col min="8419" max="8419" width="13.88671875" style="10" customWidth="1"/>
    <col min="8420" max="8420" width="14.33203125" style="10" customWidth="1"/>
    <col min="8421" max="8437" width="9.6640625" style="10"/>
    <col min="8438" max="8438" width="12" style="10" customWidth="1"/>
    <col min="8439" max="8439" width="12.77734375" style="10" customWidth="1"/>
    <col min="8440" max="8440" width="11.109375" style="10" customWidth="1"/>
    <col min="8441" max="8441" width="12" style="10" customWidth="1"/>
    <col min="8442" max="8442" width="9.6640625" style="10"/>
    <col min="8443" max="8443" width="15.33203125" style="10" customWidth="1"/>
    <col min="8444" max="8444" width="15.21875" style="10" customWidth="1"/>
    <col min="8445" max="8445" width="21.44140625" style="10" customWidth="1"/>
    <col min="8446" max="8461" width="9.6640625" style="10"/>
    <col min="8462" max="8463" width="13.44140625" style="10" customWidth="1"/>
    <col min="8464" max="8464" width="9.6640625" style="10"/>
    <col min="8465" max="8465" width="13.88671875" style="10" customWidth="1"/>
    <col min="8466" max="8466" width="10.6640625" style="10" customWidth="1"/>
    <col min="8467" max="8467" width="17.33203125" style="10" customWidth="1"/>
    <col min="8468" max="8469" width="12.6640625" style="10" customWidth="1"/>
    <col min="8470" max="8470" width="11.21875" style="10" customWidth="1"/>
    <col min="8471" max="8471" width="18.33203125" style="10" customWidth="1"/>
    <col min="8472" max="8472" width="12.88671875" style="10" customWidth="1"/>
    <col min="8473" max="8474" width="13.21875" style="10" customWidth="1"/>
    <col min="8475" max="8475" width="10.88671875" style="10" customWidth="1"/>
    <col min="8476" max="8476" width="11.109375" style="10" customWidth="1"/>
    <col min="8477" max="8477" width="15.21875" style="10" customWidth="1"/>
    <col min="8478" max="8478" width="9.6640625" style="10"/>
    <col min="8479" max="8479" width="11" style="10" customWidth="1"/>
    <col min="8480" max="8480" width="10.77734375" style="10" customWidth="1"/>
    <col min="8481" max="8481" width="11.44140625" style="10" customWidth="1"/>
    <col min="8482" max="8482" width="4" style="10" customWidth="1"/>
    <col min="8483" max="8673" width="9.6640625" style="10"/>
    <col min="8674" max="8674" width="6.44140625" style="10" customWidth="1"/>
    <col min="8675" max="8675" width="13.88671875" style="10" customWidth="1"/>
    <col min="8676" max="8676" width="14.33203125" style="10" customWidth="1"/>
    <col min="8677" max="8693" width="9.6640625" style="10"/>
    <col min="8694" max="8694" width="12" style="10" customWidth="1"/>
    <col min="8695" max="8695" width="12.77734375" style="10" customWidth="1"/>
    <col min="8696" max="8696" width="11.109375" style="10" customWidth="1"/>
    <col min="8697" max="8697" width="12" style="10" customWidth="1"/>
    <col min="8698" max="8698" width="9.6640625" style="10"/>
    <col min="8699" max="8699" width="15.33203125" style="10" customWidth="1"/>
    <col min="8700" max="8700" width="15.21875" style="10" customWidth="1"/>
    <col min="8701" max="8701" width="21.44140625" style="10" customWidth="1"/>
    <col min="8702" max="8717" width="9.6640625" style="10"/>
    <col min="8718" max="8719" width="13.44140625" style="10" customWidth="1"/>
    <col min="8720" max="8720" width="9.6640625" style="10"/>
    <col min="8721" max="8721" width="13.88671875" style="10" customWidth="1"/>
    <col min="8722" max="8722" width="10.6640625" style="10" customWidth="1"/>
    <col min="8723" max="8723" width="17.33203125" style="10" customWidth="1"/>
    <col min="8724" max="8725" width="12.6640625" style="10" customWidth="1"/>
    <col min="8726" max="8726" width="11.21875" style="10" customWidth="1"/>
    <col min="8727" max="8727" width="18.33203125" style="10" customWidth="1"/>
    <col min="8728" max="8728" width="12.88671875" style="10" customWidth="1"/>
    <col min="8729" max="8730" width="13.21875" style="10" customWidth="1"/>
    <col min="8731" max="8731" width="10.88671875" style="10" customWidth="1"/>
    <col min="8732" max="8732" width="11.109375" style="10" customWidth="1"/>
    <col min="8733" max="8733" width="15.21875" style="10" customWidth="1"/>
    <col min="8734" max="8734" width="9.6640625" style="10"/>
    <col min="8735" max="8735" width="11" style="10" customWidth="1"/>
    <col min="8736" max="8736" width="10.77734375" style="10" customWidth="1"/>
    <col min="8737" max="8737" width="11.44140625" style="10" customWidth="1"/>
    <col min="8738" max="8738" width="4" style="10" customWidth="1"/>
    <col min="8739" max="8929" width="9.6640625" style="10"/>
    <col min="8930" max="8930" width="6.44140625" style="10" customWidth="1"/>
    <col min="8931" max="8931" width="13.88671875" style="10" customWidth="1"/>
    <col min="8932" max="8932" width="14.33203125" style="10" customWidth="1"/>
    <col min="8933" max="8949" width="9.6640625" style="10"/>
    <col min="8950" max="8950" width="12" style="10" customWidth="1"/>
    <col min="8951" max="8951" width="12.77734375" style="10" customWidth="1"/>
    <col min="8952" max="8952" width="11.109375" style="10" customWidth="1"/>
    <col min="8953" max="8953" width="12" style="10" customWidth="1"/>
    <col min="8954" max="8954" width="9.6640625" style="10"/>
    <col min="8955" max="8955" width="15.33203125" style="10" customWidth="1"/>
    <col min="8956" max="8956" width="15.21875" style="10" customWidth="1"/>
    <col min="8957" max="8957" width="21.44140625" style="10" customWidth="1"/>
    <col min="8958" max="8973" width="9.6640625" style="10"/>
    <col min="8974" max="8975" width="13.44140625" style="10" customWidth="1"/>
    <col min="8976" max="8976" width="9.6640625" style="10"/>
    <col min="8977" max="8977" width="13.88671875" style="10" customWidth="1"/>
    <col min="8978" max="8978" width="10.6640625" style="10" customWidth="1"/>
    <col min="8979" max="8979" width="17.33203125" style="10" customWidth="1"/>
    <col min="8980" max="8981" width="12.6640625" style="10" customWidth="1"/>
    <col min="8982" max="8982" width="11.21875" style="10" customWidth="1"/>
    <col min="8983" max="8983" width="18.33203125" style="10" customWidth="1"/>
    <col min="8984" max="8984" width="12.88671875" style="10" customWidth="1"/>
    <col min="8985" max="8986" width="13.21875" style="10" customWidth="1"/>
    <col min="8987" max="8987" width="10.88671875" style="10" customWidth="1"/>
    <col min="8988" max="8988" width="11.109375" style="10" customWidth="1"/>
    <col min="8989" max="8989" width="15.21875" style="10" customWidth="1"/>
    <col min="8990" max="8990" width="9.6640625" style="10"/>
    <col min="8991" max="8991" width="11" style="10" customWidth="1"/>
    <col min="8992" max="8992" width="10.77734375" style="10" customWidth="1"/>
    <col min="8993" max="8993" width="11.44140625" style="10" customWidth="1"/>
    <col min="8994" max="8994" width="4" style="10" customWidth="1"/>
    <col min="8995" max="9185" width="9.6640625" style="10"/>
    <col min="9186" max="9186" width="6.44140625" style="10" customWidth="1"/>
    <col min="9187" max="9187" width="13.88671875" style="10" customWidth="1"/>
    <col min="9188" max="9188" width="14.33203125" style="10" customWidth="1"/>
    <col min="9189" max="9205" width="9.6640625" style="10"/>
    <col min="9206" max="9206" width="12" style="10" customWidth="1"/>
    <col min="9207" max="9207" width="12.77734375" style="10" customWidth="1"/>
    <col min="9208" max="9208" width="11.109375" style="10" customWidth="1"/>
    <col min="9209" max="9209" width="12" style="10" customWidth="1"/>
    <col min="9210" max="9210" width="9.6640625" style="10"/>
    <col min="9211" max="9211" width="15.33203125" style="10" customWidth="1"/>
    <col min="9212" max="9212" width="15.21875" style="10" customWidth="1"/>
    <col min="9213" max="9213" width="21.44140625" style="10" customWidth="1"/>
    <col min="9214" max="9229" width="9.6640625" style="10"/>
    <col min="9230" max="9231" width="13.44140625" style="10" customWidth="1"/>
    <col min="9232" max="9232" width="9.6640625" style="10"/>
    <col min="9233" max="9233" width="13.88671875" style="10" customWidth="1"/>
    <col min="9234" max="9234" width="10.6640625" style="10" customWidth="1"/>
    <col min="9235" max="9235" width="17.33203125" style="10" customWidth="1"/>
    <col min="9236" max="9237" width="12.6640625" style="10" customWidth="1"/>
    <col min="9238" max="9238" width="11.21875" style="10" customWidth="1"/>
    <col min="9239" max="9239" width="18.33203125" style="10" customWidth="1"/>
    <col min="9240" max="9240" width="12.88671875" style="10" customWidth="1"/>
    <col min="9241" max="9242" width="13.21875" style="10" customWidth="1"/>
    <col min="9243" max="9243" width="10.88671875" style="10" customWidth="1"/>
    <col min="9244" max="9244" width="11.109375" style="10" customWidth="1"/>
    <col min="9245" max="9245" width="15.21875" style="10" customWidth="1"/>
    <col min="9246" max="9246" width="9.6640625" style="10"/>
    <col min="9247" max="9247" width="11" style="10" customWidth="1"/>
    <col min="9248" max="9248" width="10.77734375" style="10" customWidth="1"/>
    <col min="9249" max="9249" width="11.44140625" style="10" customWidth="1"/>
    <col min="9250" max="9250" width="4" style="10" customWidth="1"/>
    <col min="9251" max="9441" width="9.6640625" style="10"/>
    <col min="9442" max="9442" width="6.44140625" style="10" customWidth="1"/>
    <col min="9443" max="9443" width="13.88671875" style="10" customWidth="1"/>
    <col min="9444" max="9444" width="14.33203125" style="10" customWidth="1"/>
    <col min="9445" max="9461" width="9.6640625" style="10"/>
    <col min="9462" max="9462" width="12" style="10" customWidth="1"/>
    <col min="9463" max="9463" width="12.77734375" style="10" customWidth="1"/>
    <col min="9464" max="9464" width="11.109375" style="10" customWidth="1"/>
    <col min="9465" max="9465" width="12" style="10" customWidth="1"/>
    <col min="9466" max="9466" width="9.6640625" style="10"/>
    <col min="9467" max="9467" width="15.33203125" style="10" customWidth="1"/>
    <col min="9468" max="9468" width="15.21875" style="10" customWidth="1"/>
    <col min="9469" max="9469" width="21.44140625" style="10" customWidth="1"/>
    <col min="9470" max="9485" width="9.6640625" style="10"/>
    <col min="9486" max="9487" width="13.44140625" style="10" customWidth="1"/>
    <col min="9488" max="9488" width="9.6640625" style="10"/>
    <col min="9489" max="9489" width="13.88671875" style="10" customWidth="1"/>
    <col min="9490" max="9490" width="10.6640625" style="10" customWidth="1"/>
    <col min="9491" max="9491" width="17.33203125" style="10" customWidth="1"/>
    <col min="9492" max="9493" width="12.6640625" style="10" customWidth="1"/>
    <col min="9494" max="9494" width="11.21875" style="10" customWidth="1"/>
    <col min="9495" max="9495" width="18.33203125" style="10" customWidth="1"/>
    <col min="9496" max="9496" width="12.88671875" style="10" customWidth="1"/>
    <col min="9497" max="9498" width="13.21875" style="10" customWidth="1"/>
    <col min="9499" max="9499" width="10.88671875" style="10" customWidth="1"/>
    <col min="9500" max="9500" width="11.109375" style="10" customWidth="1"/>
    <col min="9501" max="9501" width="15.21875" style="10" customWidth="1"/>
    <col min="9502" max="9502" width="9.6640625" style="10"/>
    <col min="9503" max="9503" width="11" style="10" customWidth="1"/>
    <col min="9504" max="9504" width="10.77734375" style="10" customWidth="1"/>
    <col min="9505" max="9505" width="11.44140625" style="10" customWidth="1"/>
    <col min="9506" max="9506" width="4" style="10" customWidth="1"/>
    <col min="9507" max="9697" width="9.6640625" style="10"/>
    <col min="9698" max="9698" width="6.44140625" style="10" customWidth="1"/>
    <col min="9699" max="9699" width="13.88671875" style="10" customWidth="1"/>
    <col min="9700" max="9700" width="14.33203125" style="10" customWidth="1"/>
    <col min="9701" max="9717" width="9.6640625" style="10"/>
    <col min="9718" max="9718" width="12" style="10" customWidth="1"/>
    <col min="9719" max="9719" width="12.77734375" style="10" customWidth="1"/>
    <col min="9720" max="9720" width="11.109375" style="10" customWidth="1"/>
    <col min="9721" max="9721" width="12" style="10" customWidth="1"/>
    <col min="9722" max="9722" width="9.6640625" style="10"/>
    <col min="9723" max="9723" width="15.33203125" style="10" customWidth="1"/>
    <col min="9724" max="9724" width="15.21875" style="10" customWidth="1"/>
    <col min="9725" max="9725" width="21.44140625" style="10" customWidth="1"/>
    <col min="9726" max="9741" width="9.6640625" style="10"/>
    <col min="9742" max="9743" width="13.44140625" style="10" customWidth="1"/>
    <col min="9744" max="9744" width="9.6640625" style="10"/>
    <col min="9745" max="9745" width="13.88671875" style="10" customWidth="1"/>
    <col min="9746" max="9746" width="10.6640625" style="10" customWidth="1"/>
    <col min="9747" max="9747" width="17.33203125" style="10" customWidth="1"/>
    <col min="9748" max="9749" width="12.6640625" style="10" customWidth="1"/>
    <col min="9750" max="9750" width="11.21875" style="10" customWidth="1"/>
    <col min="9751" max="9751" width="18.33203125" style="10" customWidth="1"/>
    <col min="9752" max="9752" width="12.88671875" style="10" customWidth="1"/>
    <col min="9753" max="9754" width="13.21875" style="10" customWidth="1"/>
    <col min="9755" max="9755" width="10.88671875" style="10" customWidth="1"/>
    <col min="9756" max="9756" width="11.109375" style="10" customWidth="1"/>
    <col min="9757" max="9757" width="15.21875" style="10" customWidth="1"/>
    <col min="9758" max="9758" width="9.6640625" style="10"/>
    <col min="9759" max="9759" width="11" style="10" customWidth="1"/>
    <col min="9760" max="9760" width="10.77734375" style="10" customWidth="1"/>
    <col min="9761" max="9761" width="11.44140625" style="10" customWidth="1"/>
    <col min="9762" max="9762" width="4" style="10" customWidth="1"/>
    <col min="9763" max="9953" width="9.6640625" style="10"/>
    <col min="9954" max="9954" width="6.44140625" style="10" customWidth="1"/>
    <col min="9955" max="9955" width="13.88671875" style="10" customWidth="1"/>
    <col min="9956" max="9956" width="14.33203125" style="10" customWidth="1"/>
    <col min="9957" max="9973" width="9.6640625" style="10"/>
    <col min="9974" max="9974" width="12" style="10" customWidth="1"/>
    <col min="9975" max="9975" width="12.77734375" style="10" customWidth="1"/>
    <col min="9976" max="9976" width="11.109375" style="10" customWidth="1"/>
    <col min="9977" max="9977" width="12" style="10" customWidth="1"/>
    <col min="9978" max="9978" width="9.6640625" style="10"/>
    <col min="9979" max="9979" width="15.33203125" style="10" customWidth="1"/>
    <col min="9980" max="9980" width="15.21875" style="10" customWidth="1"/>
    <col min="9981" max="9981" width="21.44140625" style="10" customWidth="1"/>
    <col min="9982" max="9997" width="9.6640625" style="10"/>
    <col min="9998" max="9999" width="13.44140625" style="10" customWidth="1"/>
    <col min="10000" max="10000" width="9.6640625" style="10"/>
    <col min="10001" max="10001" width="13.88671875" style="10" customWidth="1"/>
    <col min="10002" max="10002" width="10.6640625" style="10" customWidth="1"/>
    <col min="10003" max="10003" width="17.33203125" style="10" customWidth="1"/>
    <col min="10004" max="10005" width="12.6640625" style="10" customWidth="1"/>
    <col min="10006" max="10006" width="11.21875" style="10" customWidth="1"/>
    <col min="10007" max="10007" width="18.33203125" style="10" customWidth="1"/>
    <col min="10008" max="10008" width="12.88671875" style="10" customWidth="1"/>
    <col min="10009" max="10010" width="13.21875" style="10" customWidth="1"/>
    <col min="10011" max="10011" width="10.88671875" style="10" customWidth="1"/>
    <col min="10012" max="10012" width="11.109375" style="10" customWidth="1"/>
    <col min="10013" max="10013" width="15.21875" style="10" customWidth="1"/>
    <col min="10014" max="10014" width="9.6640625" style="10"/>
    <col min="10015" max="10015" width="11" style="10" customWidth="1"/>
    <col min="10016" max="10016" width="10.77734375" style="10" customWidth="1"/>
    <col min="10017" max="10017" width="11.44140625" style="10" customWidth="1"/>
    <col min="10018" max="10018" width="4" style="10" customWidth="1"/>
    <col min="10019" max="10209" width="9.6640625" style="10"/>
    <col min="10210" max="10210" width="6.44140625" style="10" customWidth="1"/>
    <col min="10211" max="10211" width="13.88671875" style="10" customWidth="1"/>
    <col min="10212" max="10212" width="14.33203125" style="10" customWidth="1"/>
    <col min="10213" max="10229" width="9.6640625" style="10"/>
    <col min="10230" max="10230" width="12" style="10" customWidth="1"/>
    <col min="10231" max="10231" width="12.77734375" style="10" customWidth="1"/>
    <col min="10232" max="10232" width="11.109375" style="10" customWidth="1"/>
    <col min="10233" max="10233" width="12" style="10" customWidth="1"/>
    <col min="10234" max="10234" width="9.6640625" style="10"/>
    <col min="10235" max="10235" width="15.33203125" style="10" customWidth="1"/>
    <col min="10236" max="10236" width="15.21875" style="10" customWidth="1"/>
    <col min="10237" max="10237" width="21.44140625" style="10" customWidth="1"/>
    <col min="10238" max="10253" width="9.6640625" style="10"/>
    <col min="10254" max="10255" width="13.44140625" style="10" customWidth="1"/>
    <col min="10256" max="10256" width="9.6640625" style="10"/>
    <col min="10257" max="10257" width="13.88671875" style="10" customWidth="1"/>
    <col min="10258" max="10258" width="10.6640625" style="10" customWidth="1"/>
    <col min="10259" max="10259" width="17.33203125" style="10" customWidth="1"/>
    <col min="10260" max="10261" width="12.6640625" style="10" customWidth="1"/>
    <col min="10262" max="10262" width="11.21875" style="10" customWidth="1"/>
    <col min="10263" max="10263" width="18.33203125" style="10" customWidth="1"/>
    <col min="10264" max="10264" width="12.88671875" style="10" customWidth="1"/>
    <col min="10265" max="10266" width="13.21875" style="10" customWidth="1"/>
    <col min="10267" max="10267" width="10.88671875" style="10" customWidth="1"/>
    <col min="10268" max="10268" width="11.109375" style="10" customWidth="1"/>
    <col min="10269" max="10269" width="15.21875" style="10" customWidth="1"/>
    <col min="10270" max="10270" width="9.6640625" style="10"/>
    <col min="10271" max="10271" width="11" style="10" customWidth="1"/>
    <col min="10272" max="10272" width="10.77734375" style="10" customWidth="1"/>
    <col min="10273" max="10273" width="11.44140625" style="10" customWidth="1"/>
    <col min="10274" max="10274" width="4" style="10" customWidth="1"/>
    <col min="10275" max="10465" width="9.6640625" style="10"/>
    <col min="10466" max="10466" width="6.44140625" style="10" customWidth="1"/>
    <col min="10467" max="10467" width="13.88671875" style="10" customWidth="1"/>
    <col min="10468" max="10468" width="14.33203125" style="10" customWidth="1"/>
    <col min="10469" max="10485" width="9.6640625" style="10"/>
    <col min="10486" max="10486" width="12" style="10" customWidth="1"/>
    <col min="10487" max="10487" width="12.77734375" style="10" customWidth="1"/>
    <col min="10488" max="10488" width="11.109375" style="10" customWidth="1"/>
    <col min="10489" max="10489" width="12" style="10" customWidth="1"/>
    <col min="10490" max="10490" width="9.6640625" style="10"/>
    <col min="10491" max="10491" width="15.33203125" style="10" customWidth="1"/>
    <col min="10492" max="10492" width="15.21875" style="10" customWidth="1"/>
    <col min="10493" max="10493" width="21.44140625" style="10" customWidth="1"/>
    <col min="10494" max="10509" width="9.6640625" style="10"/>
    <col min="10510" max="10511" width="13.44140625" style="10" customWidth="1"/>
    <col min="10512" max="10512" width="9.6640625" style="10"/>
    <col min="10513" max="10513" width="13.88671875" style="10" customWidth="1"/>
    <col min="10514" max="10514" width="10.6640625" style="10" customWidth="1"/>
    <col min="10515" max="10515" width="17.33203125" style="10" customWidth="1"/>
    <col min="10516" max="10517" width="12.6640625" style="10" customWidth="1"/>
    <col min="10518" max="10518" width="11.21875" style="10" customWidth="1"/>
    <col min="10519" max="10519" width="18.33203125" style="10" customWidth="1"/>
    <col min="10520" max="10520" width="12.88671875" style="10" customWidth="1"/>
    <col min="10521" max="10522" width="13.21875" style="10" customWidth="1"/>
    <col min="10523" max="10523" width="10.88671875" style="10" customWidth="1"/>
    <col min="10524" max="10524" width="11.109375" style="10" customWidth="1"/>
    <col min="10525" max="10525" width="15.21875" style="10" customWidth="1"/>
    <col min="10526" max="10526" width="9.6640625" style="10"/>
    <col min="10527" max="10527" width="11" style="10" customWidth="1"/>
    <col min="10528" max="10528" width="10.77734375" style="10" customWidth="1"/>
    <col min="10529" max="10529" width="11.44140625" style="10" customWidth="1"/>
    <col min="10530" max="10530" width="4" style="10" customWidth="1"/>
    <col min="10531" max="10721" width="9.6640625" style="10"/>
    <col min="10722" max="10722" width="6.44140625" style="10" customWidth="1"/>
    <col min="10723" max="10723" width="13.88671875" style="10" customWidth="1"/>
    <col min="10724" max="10724" width="14.33203125" style="10" customWidth="1"/>
    <col min="10725" max="10741" width="9.6640625" style="10"/>
    <col min="10742" max="10742" width="12" style="10" customWidth="1"/>
    <col min="10743" max="10743" width="12.77734375" style="10" customWidth="1"/>
    <col min="10744" max="10744" width="11.109375" style="10" customWidth="1"/>
    <col min="10745" max="10745" width="12" style="10" customWidth="1"/>
    <col min="10746" max="10746" width="9.6640625" style="10"/>
    <col min="10747" max="10747" width="15.33203125" style="10" customWidth="1"/>
    <col min="10748" max="10748" width="15.21875" style="10" customWidth="1"/>
    <col min="10749" max="10749" width="21.44140625" style="10" customWidth="1"/>
    <col min="10750" max="10765" width="9.6640625" style="10"/>
    <col min="10766" max="10767" width="13.44140625" style="10" customWidth="1"/>
    <col min="10768" max="10768" width="9.6640625" style="10"/>
    <col min="10769" max="10769" width="13.88671875" style="10" customWidth="1"/>
    <col min="10770" max="10770" width="10.6640625" style="10" customWidth="1"/>
    <col min="10771" max="10771" width="17.33203125" style="10" customWidth="1"/>
    <col min="10772" max="10773" width="12.6640625" style="10" customWidth="1"/>
    <col min="10774" max="10774" width="11.21875" style="10" customWidth="1"/>
    <col min="10775" max="10775" width="18.33203125" style="10" customWidth="1"/>
    <col min="10776" max="10776" width="12.88671875" style="10" customWidth="1"/>
    <col min="10777" max="10778" width="13.21875" style="10" customWidth="1"/>
    <col min="10779" max="10779" width="10.88671875" style="10" customWidth="1"/>
    <col min="10780" max="10780" width="11.109375" style="10" customWidth="1"/>
    <col min="10781" max="10781" width="15.21875" style="10" customWidth="1"/>
    <col min="10782" max="10782" width="9.6640625" style="10"/>
    <col min="10783" max="10783" width="11" style="10" customWidth="1"/>
    <col min="10784" max="10784" width="10.77734375" style="10" customWidth="1"/>
    <col min="10785" max="10785" width="11.44140625" style="10" customWidth="1"/>
    <col min="10786" max="10786" width="4" style="10" customWidth="1"/>
    <col min="10787" max="10977" width="9.6640625" style="10"/>
    <col min="10978" max="10978" width="6.44140625" style="10" customWidth="1"/>
    <col min="10979" max="10979" width="13.88671875" style="10" customWidth="1"/>
    <col min="10980" max="10980" width="14.33203125" style="10" customWidth="1"/>
    <col min="10981" max="10997" width="9.6640625" style="10"/>
    <col min="10998" max="10998" width="12" style="10" customWidth="1"/>
    <col min="10999" max="10999" width="12.77734375" style="10" customWidth="1"/>
    <col min="11000" max="11000" width="11.109375" style="10" customWidth="1"/>
    <col min="11001" max="11001" width="12" style="10" customWidth="1"/>
    <col min="11002" max="11002" width="9.6640625" style="10"/>
    <col min="11003" max="11003" width="15.33203125" style="10" customWidth="1"/>
    <col min="11004" max="11004" width="15.21875" style="10" customWidth="1"/>
    <col min="11005" max="11005" width="21.44140625" style="10" customWidth="1"/>
    <col min="11006" max="11021" width="9.6640625" style="10"/>
    <col min="11022" max="11023" width="13.44140625" style="10" customWidth="1"/>
    <col min="11024" max="11024" width="9.6640625" style="10"/>
    <col min="11025" max="11025" width="13.88671875" style="10" customWidth="1"/>
    <col min="11026" max="11026" width="10.6640625" style="10" customWidth="1"/>
    <col min="11027" max="11027" width="17.33203125" style="10" customWidth="1"/>
    <col min="11028" max="11029" width="12.6640625" style="10" customWidth="1"/>
    <col min="11030" max="11030" width="11.21875" style="10" customWidth="1"/>
    <col min="11031" max="11031" width="18.33203125" style="10" customWidth="1"/>
    <col min="11032" max="11032" width="12.88671875" style="10" customWidth="1"/>
    <col min="11033" max="11034" width="13.21875" style="10" customWidth="1"/>
    <col min="11035" max="11035" width="10.88671875" style="10" customWidth="1"/>
    <col min="11036" max="11036" width="11.109375" style="10" customWidth="1"/>
    <col min="11037" max="11037" width="15.21875" style="10" customWidth="1"/>
    <col min="11038" max="11038" width="9.6640625" style="10"/>
    <col min="11039" max="11039" width="11" style="10" customWidth="1"/>
    <col min="11040" max="11040" width="10.77734375" style="10" customWidth="1"/>
    <col min="11041" max="11041" width="11.44140625" style="10" customWidth="1"/>
    <col min="11042" max="11042" width="4" style="10" customWidth="1"/>
    <col min="11043" max="11233" width="9.6640625" style="10"/>
    <col min="11234" max="11234" width="6.44140625" style="10" customWidth="1"/>
    <col min="11235" max="11235" width="13.88671875" style="10" customWidth="1"/>
    <col min="11236" max="11236" width="14.33203125" style="10" customWidth="1"/>
    <col min="11237" max="11253" width="9.6640625" style="10"/>
    <col min="11254" max="11254" width="12" style="10" customWidth="1"/>
    <col min="11255" max="11255" width="12.77734375" style="10" customWidth="1"/>
    <col min="11256" max="11256" width="11.109375" style="10" customWidth="1"/>
    <col min="11257" max="11257" width="12" style="10" customWidth="1"/>
    <col min="11258" max="11258" width="9.6640625" style="10"/>
    <col min="11259" max="11259" width="15.33203125" style="10" customWidth="1"/>
    <col min="11260" max="11260" width="15.21875" style="10" customWidth="1"/>
    <col min="11261" max="11261" width="21.44140625" style="10" customWidth="1"/>
    <col min="11262" max="11277" width="9.6640625" style="10"/>
    <col min="11278" max="11279" width="13.44140625" style="10" customWidth="1"/>
    <col min="11280" max="11280" width="9.6640625" style="10"/>
    <col min="11281" max="11281" width="13.88671875" style="10" customWidth="1"/>
    <col min="11282" max="11282" width="10.6640625" style="10" customWidth="1"/>
    <col min="11283" max="11283" width="17.33203125" style="10" customWidth="1"/>
    <col min="11284" max="11285" width="12.6640625" style="10" customWidth="1"/>
    <col min="11286" max="11286" width="11.21875" style="10" customWidth="1"/>
    <col min="11287" max="11287" width="18.33203125" style="10" customWidth="1"/>
    <col min="11288" max="11288" width="12.88671875" style="10" customWidth="1"/>
    <col min="11289" max="11290" width="13.21875" style="10" customWidth="1"/>
    <col min="11291" max="11291" width="10.88671875" style="10" customWidth="1"/>
    <col min="11292" max="11292" width="11.109375" style="10" customWidth="1"/>
    <col min="11293" max="11293" width="15.21875" style="10" customWidth="1"/>
    <col min="11294" max="11294" width="9.6640625" style="10"/>
    <col min="11295" max="11295" width="11" style="10" customWidth="1"/>
    <col min="11296" max="11296" width="10.77734375" style="10" customWidth="1"/>
    <col min="11297" max="11297" width="11.44140625" style="10" customWidth="1"/>
    <col min="11298" max="11298" width="4" style="10" customWidth="1"/>
    <col min="11299" max="11489" width="9.6640625" style="10"/>
    <col min="11490" max="11490" width="6.44140625" style="10" customWidth="1"/>
    <col min="11491" max="11491" width="13.88671875" style="10" customWidth="1"/>
    <col min="11492" max="11492" width="14.33203125" style="10" customWidth="1"/>
    <col min="11493" max="11509" width="9.6640625" style="10"/>
    <col min="11510" max="11510" width="12" style="10" customWidth="1"/>
    <col min="11511" max="11511" width="12.77734375" style="10" customWidth="1"/>
    <col min="11512" max="11512" width="11.109375" style="10" customWidth="1"/>
    <col min="11513" max="11513" width="12" style="10" customWidth="1"/>
    <col min="11514" max="11514" width="9.6640625" style="10"/>
    <col min="11515" max="11515" width="15.33203125" style="10" customWidth="1"/>
    <col min="11516" max="11516" width="15.21875" style="10" customWidth="1"/>
    <col min="11517" max="11517" width="21.44140625" style="10" customWidth="1"/>
    <col min="11518" max="11533" width="9.6640625" style="10"/>
    <col min="11534" max="11535" width="13.44140625" style="10" customWidth="1"/>
    <col min="11536" max="11536" width="9.6640625" style="10"/>
    <col min="11537" max="11537" width="13.88671875" style="10" customWidth="1"/>
    <col min="11538" max="11538" width="10.6640625" style="10" customWidth="1"/>
    <col min="11539" max="11539" width="17.33203125" style="10" customWidth="1"/>
    <col min="11540" max="11541" width="12.6640625" style="10" customWidth="1"/>
    <col min="11542" max="11542" width="11.21875" style="10" customWidth="1"/>
    <col min="11543" max="11543" width="18.33203125" style="10" customWidth="1"/>
    <col min="11544" max="11544" width="12.88671875" style="10" customWidth="1"/>
    <col min="11545" max="11546" width="13.21875" style="10" customWidth="1"/>
    <col min="11547" max="11547" width="10.88671875" style="10" customWidth="1"/>
    <col min="11548" max="11548" width="11.109375" style="10" customWidth="1"/>
    <col min="11549" max="11549" width="15.21875" style="10" customWidth="1"/>
    <col min="11550" max="11550" width="9.6640625" style="10"/>
    <col min="11551" max="11551" width="11" style="10" customWidth="1"/>
    <col min="11552" max="11552" width="10.77734375" style="10" customWidth="1"/>
    <col min="11553" max="11553" width="11.44140625" style="10" customWidth="1"/>
    <col min="11554" max="11554" width="4" style="10" customWidth="1"/>
    <col min="11555" max="11745" width="9.6640625" style="10"/>
    <col min="11746" max="11746" width="6.44140625" style="10" customWidth="1"/>
    <col min="11747" max="11747" width="13.88671875" style="10" customWidth="1"/>
    <col min="11748" max="11748" width="14.33203125" style="10" customWidth="1"/>
    <col min="11749" max="11765" width="9.6640625" style="10"/>
    <col min="11766" max="11766" width="12" style="10" customWidth="1"/>
    <col min="11767" max="11767" width="12.77734375" style="10" customWidth="1"/>
    <col min="11768" max="11768" width="11.109375" style="10" customWidth="1"/>
    <col min="11769" max="11769" width="12" style="10" customWidth="1"/>
    <col min="11770" max="11770" width="9.6640625" style="10"/>
    <col min="11771" max="11771" width="15.33203125" style="10" customWidth="1"/>
    <col min="11772" max="11772" width="15.21875" style="10" customWidth="1"/>
    <col min="11773" max="11773" width="21.44140625" style="10" customWidth="1"/>
    <col min="11774" max="11789" width="9.6640625" style="10"/>
    <col min="11790" max="11791" width="13.44140625" style="10" customWidth="1"/>
    <col min="11792" max="11792" width="9.6640625" style="10"/>
    <col min="11793" max="11793" width="13.88671875" style="10" customWidth="1"/>
    <col min="11794" max="11794" width="10.6640625" style="10" customWidth="1"/>
    <col min="11795" max="11795" width="17.33203125" style="10" customWidth="1"/>
    <col min="11796" max="11797" width="12.6640625" style="10" customWidth="1"/>
    <col min="11798" max="11798" width="11.21875" style="10" customWidth="1"/>
    <col min="11799" max="11799" width="18.33203125" style="10" customWidth="1"/>
    <col min="11800" max="11800" width="12.88671875" style="10" customWidth="1"/>
    <col min="11801" max="11802" width="13.21875" style="10" customWidth="1"/>
    <col min="11803" max="11803" width="10.88671875" style="10" customWidth="1"/>
    <col min="11804" max="11804" width="11.109375" style="10" customWidth="1"/>
    <col min="11805" max="11805" width="15.21875" style="10" customWidth="1"/>
    <col min="11806" max="11806" width="9.6640625" style="10"/>
    <col min="11807" max="11807" width="11" style="10" customWidth="1"/>
    <col min="11808" max="11808" width="10.77734375" style="10" customWidth="1"/>
    <col min="11809" max="11809" width="11.44140625" style="10" customWidth="1"/>
    <col min="11810" max="11810" width="4" style="10" customWidth="1"/>
    <col min="11811" max="12001" width="9.6640625" style="10"/>
    <col min="12002" max="12002" width="6.44140625" style="10" customWidth="1"/>
    <col min="12003" max="12003" width="13.88671875" style="10" customWidth="1"/>
    <col min="12004" max="12004" width="14.33203125" style="10" customWidth="1"/>
    <col min="12005" max="12021" width="9.6640625" style="10"/>
    <col min="12022" max="12022" width="12" style="10" customWidth="1"/>
    <col min="12023" max="12023" width="12.77734375" style="10" customWidth="1"/>
    <col min="12024" max="12024" width="11.109375" style="10" customWidth="1"/>
    <col min="12025" max="12025" width="12" style="10" customWidth="1"/>
    <col min="12026" max="12026" width="9.6640625" style="10"/>
    <col min="12027" max="12027" width="15.33203125" style="10" customWidth="1"/>
    <col min="12028" max="12028" width="15.21875" style="10" customWidth="1"/>
    <col min="12029" max="12029" width="21.44140625" style="10" customWidth="1"/>
    <col min="12030" max="12045" width="9.6640625" style="10"/>
    <col min="12046" max="12047" width="13.44140625" style="10" customWidth="1"/>
    <col min="12048" max="12048" width="9.6640625" style="10"/>
    <col min="12049" max="12049" width="13.88671875" style="10" customWidth="1"/>
    <col min="12050" max="12050" width="10.6640625" style="10" customWidth="1"/>
    <col min="12051" max="12051" width="17.33203125" style="10" customWidth="1"/>
    <col min="12052" max="12053" width="12.6640625" style="10" customWidth="1"/>
    <col min="12054" max="12054" width="11.21875" style="10" customWidth="1"/>
    <col min="12055" max="12055" width="18.33203125" style="10" customWidth="1"/>
    <col min="12056" max="12056" width="12.88671875" style="10" customWidth="1"/>
    <col min="12057" max="12058" width="13.21875" style="10" customWidth="1"/>
    <col min="12059" max="12059" width="10.88671875" style="10" customWidth="1"/>
    <col min="12060" max="12060" width="11.109375" style="10" customWidth="1"/>
    <col min="12061" max="12061" width="15.21875" style="10" customWidth="1"/>
    <col min="12062" max="12062" width="9.6640625" style="10"/>
    <col min="12063" max="12063" width="11" style="10" customWidth="1"/>
    <col min="12064" max="12064" width="10.77734375" style="10" customWidth="1"/>
    <col min="12065" max="12065" width="11.44140625" style="10" customWidth="1"/>
    <col min="12066" max="12066" width="4" style="10" customWidth="1"/>
    <col min="12067" max="12257" width="9.6640625" style="10"/>
    <col min="12258" max="12258" width="6.44140625" style="10" customWidth="1"/>
    <col min="12259" max="12259" width="13.88671875" style="10" customWidth="1"/>
    <col min="12260" max="12260" width="14.33203125" style="10" customWidth="1"/>
    <col min="12261" max="12277" width="9.6640625" style="10"/>
    <col min="12278" max="12278" width="12" style="10" customWidth="1"/>
    <col min="12279" max="12279" width="12.77734375" style="10" customWidth="1"/>
    <col min="12280" max="12280" width="11.109375" style="10" customWidth="1"/>
    <col min="12281" max="12281" width="12" style="10" customWidth="1"/>
    <col min="12282" max="12282" width="9.6640625" style="10"/>
    <col min="12283" max="12283" width="15.33203125" style="10" customWidth="1"/>
    <col min="12284" max="12284" width="15.21875" style="10" customWidth="1"/>
    <col min="12285" max="12285" width="21.44140625" style="10" customWidth="1"/>
    <col min="12286" max="12301" width="9.6640625" style="10"/>
    <col min="12302" max="12303" width="13.44140625" style="10" customWidth="1"/>
    <col min="12304" max="12304" width="9.6640625" style="10"/>
    <col min="12305" max="12305" width="13.88671875" style="10" customWidth="1"/>
    <col min="12306" max="12306" width="10.6640625" style="10" customWidth="1"/>
    <col min="12307" max="12307" width="17.33203125" style="10" customWidth="1"/>
    <col min="12308" max="12309" width="12.6640625" style="10" customWidth="1"/>
    <col min="12310" max="12310" width="11.21875" style="10" customWidth="1"/>
    <col min="12311" max="12311" width="18.33203125" style="10" customWidth="1"/>
    <col min="12312" max="12312" width="12.88671875" style="10" customWidth="1"/>
    <col min="12313" max="12314" width="13.21875" style="10" customWidth="1"/>
    <col min="12315" max="12315" width="10.88671875" style="10" customWidth="1"/>
    <col min="12316" max="12316" width="11.109375" style="10" customWidth="1"/>
    <col min="12317" max="12317" width="15.21875" style="10" customWidth="1"/>
    <col min="12318" max="12318" width="9.6640625" style="10"/>
    <col min="12319" max="12319" width="11" style="10" customWidth="1"/>
    <col min="12320" max="12320" width="10.77734375" style="10" customWidth="1"/>
    <col min="12321" max="12321" width="11.44140625" style="10" customWidth="1"/>
    <col min="12322" max="12322" width="4" style="10" customWidth="1"/>
    <col min="12323" max="12513" width="9.6640625" style="10"/>
    <col min="12514" max="12514" width="6.44140625" style="10" customWidth="1"/>
    <col min="12515" max="12515" width="13.88671875" style="10" customWidth="1"/>
    <col min="12516" max="12516" width="14.33203125" style="10" customWidth="1"/>
    <col min="12517" max="12533" width="9.6640625" style="10"/>
    <col min="12534" max="12534" width="12" style="10" customWidth="1"/>
    <col min="12535" max="12535" width="12.77734375" style="10" customWidth="1"/>
    <col min="12536" max="12536" width="11.109375" style="10" customWidth="1"/>
    <col min="12537" max="12537" width="12" style="10" customWidth="1"/>
    <col min="12538" max="12538" width="9.6640625" style="10"/>
    <col min="12539" max="12539" width="15.33203125" style="10" customWidth="1"/>
    <col min="12540" max="12540" width="15.21875" style="10" customWidth="1"/>
    <col min="12541" max="12541" width="21.44140625" style="10" customWidth="1"/>
    <col min="12542" max="12557" width="9.6640625" style="10"/>
    <col min="12558" max="12559" width="13.44140625" style="10" customWidth="1"/>
    <col min="12560" max="12560" width="9.6640625" style="10"/>
    <col min="12561" max="12561" width="13.88671875" style="10" customWidth="1"/>
    <col min="12562" max="12562" width="10.6640625" style="10" customWidth="1"/>
    <col min="12563" max="12563" width="17.33203125" style="10" customWidth="1"/>
    <col min="12564" max="12565" width="12.6640625" style="10" customWidth="1"/>
    <col min="12566" max="12566" width="11.21875" style="10" customWidth="1"/>
    <col min="12567" max="12567" width="18.33203125" style="10" customWidth="1"/>
    <col min="12568" max="12568" width="12.88671875" style="10" customWidth="1"/>
    <col min="12569" max="12570" width="13.21875" style="10" customWidth="1"/>
    <col min="12571" max="12571" width="10.88671875" style="10" customWidth="1"/>
    <col min="12572" max="12572" width="11.109375" style="10" customWidth="1"/>
    <col min="12573" max="12573" width="15.21875" style="10" customWidth="1"/>
    <col min="12574" max="12574" width="9.6640625" style="10"/>
    <col min="12575" max="12575" width="11" style="10" customWidth="1"/>
    <col min="12576" max="12576" width="10.77734375" style="10" customWidth="1"/>
    <col min="12577" max="12577" width="11.44140625" style="10" customWidth="1"/>
    <col min="12578" max="12578" width="4" style="10" customWidth="1"/>
    <col min="12579" max="12769" width="9.6640625" style="10"/>
    <col min="12770" max="12770" width="6.44140625" style="10" customWidth="1"/>
    <col min="12771" max="12771" width="13.88671875" style="10" customWidth="1"/>
    <col min="12772" max="12772" width="14.33203125" style="10" customWidth="1"/>
    <col min="12773" max="12789" width="9.6640625" style="10"/>
    <col min="12790" max="12790" width="12" style="10" customWidth="1"/>
    <col min="12791" max="12791" width="12.77734375" style="10" customWidth="1"/>
    <col min="12792" max="12792" width="11.109375" style="10" customWidth="1"/>
    <col min="12793" max="12793" width="12" style="10" customWidth="1"/>
    <col min="12794" max="12794" width="9.6640625" style="10"/>
    <col min="12795" max="12795" width="15.33203125" style="10" customWidth="1"/>
    <col min="12796" max="12796" width="15.21875" style="10" customWidth="1"/>
    <col min="12797" max="12797" width="21.44140625" style="10" customWidth="1"/>
    <col min="12798" max="12813" width="9.6640625" style="10"/>
    <col min="12814" max="12815" width="13.44140625" style="10" customWidth="1"/>
    <col min="12816" max="12816" width="9.6640625" style="10"/>
    <col min="12817" max="12817" width="13.88671875" style="10" customWidth="1"/>
    <col min="12818" max="12818" width="10.6640625" style="10" customWidth="1"/>
    <col min="12819" max="12819" width="17.33203125" style="10" customWidth="1"/>
    <col min="12820" max="12821" width="12.6640625" style="10" customWidth="1"/>
    <col min="12822" max="12822" width="11.21875" style="10" customWidth="1"/>
    <col min="12823" max="12823" width="18.33203125" style="10" customWidth="1"/>
    <col min="12824" max="12824" width="12.88671875" style="10" customWidth="1"/>
    <col min="12825" max="12826" width="13.21875" style="10" customWidth="1"/>
    <col min="12827" max="12827" width="10.88671875" style="10" customWidth="1"/>
    <col min="12828" max="12828" width="11.109375" style="10" customWidth="1"/>
    <col min="12829" max="12829" width="15.21875" style="10" customWidth="1"/>
    <col min="12830" max="12830" width="9.6640625" style="10"/>
    <col min="12831" max="12831" width="11" style="10" customWidth="1"/>
    <col min="12832" max="12832" width="10.77734375" style="10" customWidth="1"/>
    <col min="12833" max="12833" width="11.44140625" style="10" customWidth="1"/>
    <col min="12834" max="12834" width="4" style="10" customWidth="1"/>
    <col min="12835" max="13025" width="9.6640625" style="10"/>
    <col min="13026" max="13026" width="6.44140625" style="10" customWidth="1"/>
    <col min="13027" max="13027" width="13.88671875" style="10" customWidth="1"/>
    <col min="13028" max="13028" width="14.33203125" style="10" customWidth="1"/>
    <col min="13029" max="13045" width="9.6640625" style="10"/>
    <col min="13046" max="13046" width="12" style="10" customWidth="1"/>
    <col min="13047" max="13047" width="12.77734375" style="10" customWidth="1"/>
    <col min="13048" max="13048" width="11.109375" style="10" customWidth="1"/>
    <col min="13049" max="13049" width="12" style="10" customWidth="1"/>
    <col min="13050" max="13050" width="9.6640625" style="10"/>
    <col min="13051" max="13051" width="15.33203125" style="10" customWidth="1"/>
    <col min="13052" max="13052" width="15.21875" style="10" customWidth="1"/>
    <col min="13053" max="13053" width="21.44140625" style="10" customWidth="1"/>
    <col min="13054" max="13069" width="9.6640625" style="10"/>
    <col min="13070" max="13071" width="13.44140625" style="10" customWidth="1"/>
    <col min="13072" max="13072" width="9.6640625" style="10"/>
    <col min="13073" max="13073" width="13.88671875" style="10" customWidth="1"/>
    <col min="13074" max="13074" width="10.6640625" style="10" customWidth="1"/>
    <col min="13075" max="13075" width="17.33203125" style="10" customWidth="1"/>
    <col min="13076" max="13077" width="12.6640625" style="10" customWidth="1"/>
    <col min="13078" max="13078" width="11.21875" style="10" customWidth="1"/>
    <col min="13079" max="13079" width="18.33203125" style="10" customWidth="1"/>
    <col min="13080" max="13080" width="12.88671875" style="10" customWidth="1"/>
    <col min="13081" max="13082" width="13.21875" style="10" customWidth="1"/>
    <col min="13083" max="13083" width="10.88671875" style="10" customWidth="1"/>
    <col min="13084" max="13084" width="11.109375" style="10" customWidth="1"/>
    <col min="13085" max="13085" width="15.21875" style="10" customWidth="1"/>
    <col min="13086" max="13086" width="9.6640625" style="10"/>
    <col min="13087" max="13087" width="11" style="10" customWidth="1"/>
    <col min="13088" max="13088" width="10.77734375" style="10" customWidth="1"/>
    <col min="13089" max="13089" width="11.44140625" style="10" customWidth="1"/>
    <col min="13090" max="13090" width="4" style="10" customWidth="1"/>
    <col min="13091" max="13281" width="9.6640625" style="10"/>
    <col min="13282" max="13282" width="6.44140625" style="10" customWidth="1"/>
    <col min="13283" max="13283" width="13.88671875" style="10" customWidth="1"/>
    <col min="13284" max="13284" width="14.33203125" style="10" customWidth="1"/>
    <col min="13285" max="13301" width="9.6640625" style="10"/>
    <col min="13302" max="13302" width="12" style="10" customWidth="1"/>
    <col min="13303" max="13303" width="12.77734375" style="10" customWidth="1"/>
    <col min="13304" max="13304" width="11.109375" style="10" customWidth="1"/>
    <col min="13305" max="13305" width="12" style="10" customWidth="1"/>
    <col min="13306" max="13306" width="9.6640625" style="10"/>
    <col min="13307" max="13307" width="15.33203125" style="10" customWidth="1"/>
    <col min="13308" max="13308" width="15.21875" style="10" customWidth="1"/>
    <col min="13309" max="13309" width="21.44140625" style="10" customWidth="1"/>
    <col min="13310" max="13325" width="9.6640625" style="10"/>
    <col min="13326" max="13327" width="13.44140625" style="10" customWidth="1"/>
    <col min="13328" max="13328" width="9.6640625" style="10"/>
    <col min="13329" max="13329" width="13.88671875" style="10" customWidth="1"/>
    <col min="13330" max="13330" width="10.6640625" style="10" customWidth="1"/>
    <col min="13331" max="13331" width="17.33203125" style="10" customWidth="1"/>
    <col min="13332" max="13333" width="12.6640625" style="10" customWidth="1"/>
    <col min="13334" max="13334" width="11.21875" style="10" customWidth="1"/>
    <col min="13335" max="13335" width="18.33203125" style="10" customWidth="1"/>
    <col min="13336" max="13336" width="12.88671875" style="10" customWidth="1"/>
    <col min="13337" max="13338" width="13.21875" style="10" customWidth="1"/>
    <col min="13339" max="13339" width="10.88671875" style="10" customWidth="1"/>
    <col min="13340" max="13340" width="11.109375" style="10" customWidth="1"/>
    <col min="13341" max="13341" width="15.21875" style="10" customWidth="1"/>
    <col min="13342" max="13342" width="9.6640625" style="10"/>
    <col min="13343" max="13343" width="11" style="10" customWidth="1"/>
    <col min="13344" max="13344" width="10.77734375" style="10" customWidth="1"/>
    <col min="13345" max="13345" width="11.44140625" style="10" customWidth="1"/>
    <col min="13346" max="13346" width="4" style="10" customWidth="1"/>
    <col min="13347" max="13537" width="9.6640625" style="10"/>
    <col min="13538" max="13538" width="6.44140625" style="10" customWidth="1"/>
    <col min="13539" max="13539" width="13.88671875" style="10" customWidth="1"/>
    <col min="13540" max="13540" width="14.33203125" style="10" customWidth="1"/>
    <col min="13541" max="13557" width="9.6640625" style="10"/>
    <col min="13558" max="13558" width="12" style="10" customWidth="1"/>
    <col min="13559" max="13559" width="12.77734375" style="10" customWidth="1"/>
    <col min="13560" max="13560" width="11.109375" style="10" customWidth="1"/>
    <col min="13561" max="13561" width="12" style="10" customWidth="1"/>
    <col min="13562" max="13562" width="9.6640625" style="10"/>
    <col min="13563" max="13563" width="15.33203125" style="10" customWidth="1"/>
    <col min="13564" max="13564" width="15.21875" style="10" customWidth="1"/>
    <col min="13565" max="13565" width="21.44140625" style="10" customWidth="1"/>
    <col min="13566" max="13581" width="9.6640625" style="10"/>
    <col min="13582" max="13583" width="13.44140625" style="10" customWidth="1"/>
    <col min="13584" max="13584" width="9.6640625" style="10"/>
    <col min="13585" max="13585" width="13.88671875" style="10" customWidth="1"/>
    <col min="13586" max="13586" width="10.6640625" style="10" customWidth="1"/>
    <col min="13587" max="13587" width="17.33203125" style="10" customWidth="1"/>
    <col min="13588" max="13589" width="12.6640625" style="10" customWidth="1"/>
    <col min="13590" max="13590" width="11.21875" style="10" customWidth="1"/>
    <col min="13591" max="13591" width="18.33203125" style="10" customWidth="1"/>
    <col min="13592" max="13592" width="12.88671875" style="10" customWidth="1"/>
    <col min="13593" max="13594" width="13.21875" style="10" customWidth="1"/>
    <col min="13595" max="13595" width="10.88671875" style="10" customWidth="1"/>
    <col min="13596" max="13596" width="11.109375" style="10" customWidth="1"/>
    <col min="13597" max="13597" width="15.21875" style="10" customWidth="1"/>
    <col min="13598" max="13598" width="9.6640625" style="10"/>
    <col min="13599" max="13599" width="11" style="10" customWidth="1"/>
    <col min="13600" max="13600" width="10.77734375" style="10" customWidth="1"/>
    <col min="13601" max="13601" width="11.44140625" style="10" customWidth="1"/>
    <col min="13602" max="13602" width="4" style="10" customWidth="1"/>
    <col min="13603" max="13793" width="9.6640625" style="10"/>
    <col min="13794" max="13794" width="6.44140625" style="10" customWidth="1"/>
    <col min="13795" max="13795" width="13.88671875" style="10" customWidth="1"/>
    <col min="13796" max="13796" width="14.33203125" style="10" customWidth="1"/>
    <col min="13797" max="13813" width="9.6640625" style="10"/>
    <col min="13814" max="13814" width="12" style="10" customWidth="1"/>
    <col min="13815" max="13815" width="12.77734375" style="10" customWidth="1"/>
    <col min="13816" max="13816" width="11.109375" style="10" customWidth="1"/>
    <col min="13817" max="13817" width="12" style="10" customWidth="1"/>
    <col min="13818" max="13818" width="9.6640625" style="10"/>
    <col min="13819" max="13819" width="15.33203125" style="10" customWidth="1"/>
    <col min="13820" max="13820" width="15.21875" style="10" customWidth="1"/>
    <col min="13821" max="13821" width="21.44140625" style="10" customWidth="1"/>
    <col min="13822" max="13837" width="9.6640625" style="10"/>
    <col min="13838" max="13839" width="13.44140625" style="10" customWidth="1"/>
    <col min="13840" max="13840" width="9.6640625" style="10"/>
    <col min="13841" max="13841" width="13.88671875" style="10" customWidth="1"/>
    <col min="13842" max="13842" width="10.6640625" style="10" customWidth="1"/>
    <col min="13843" max="13843" width="17.33203125" style="10" customWidth="1"/>
    <col min="13844" max="13845" width="12.6640625" style="10" customWidth="1"/>
    <col min="13846" max="13846" width="11.21875" style="10" customWidth="1"/>
    <col min="13847" max="13847" width="18.33203125" style="10" customWidth="1"/>
    <col min="13848" max="13848" width="12.88671875" style="10" customWidth="1"/>
    <col min="13849" max="13850" width="13.21875" style="10" customWidth="1"/>
    <col min="13851" max="13851" width="10.88671875" style="10" customWidth="1"/>
    <col min="13852" max="13852" width="11.109375" style="10" customWidth="1"/>
    <col min="13853" max="13853" width="15.21875" style="10" customWidth="1"/>
    <col min="13854" max="13854" width="9.6640625" style="10"/>
    <col min="13855" max="13855" width="11" style="10" customWidth="1"/>
    <col min="13856" max="13856" width="10.77734375" style="10" customWidth="1"/>
    <col min="13857" max="13857" width="11.44140625" style="10" customWidth="1"/>
    <col min="13858" max="13858" width="4" style="10" customWidth="1"/>
    <col min="13859" max="14049" width="9.6640625" style="10"/>
    <col min="14050" max="14050" width="6.44140625" style="10" customWidth="1"/>
    <col min="14051" max="14051" width="13.88671875" style="10" customWidth="1"/>
    <col min="14052" max="14052" width="14.33203125" style="10" customWidth="1"/>
    <col min="14053" max="14069" width="9.6640625" style="10"/>
    <col min="14070" max="14070" width="12" style="10" customWidth="1"/>
    <col min="14071" max="14071" width="12.77734375" style="10" customWidth="1"/>
    <col min="14072" max="14072" width="11.109375" style="10" customWidth="1"/>
    <col min="14073" max="14073" width="12" style="10" customWidth="1"/>
    <col min="14074" max="14074" width="9.6640625" style="10"/>
    <col min="14075" max="14075" width="15.33203125" style="10" customWidth="1"/>
    <col min="14076" max="14076" width="15.21875" style="10" customWidth="1"/>
    <col min="14077" max="14077" width="21.44140625" style="10" customWidth="1"/>
    <col min="14078" max="14093" width="9.6640625" style="10"/>
    <col min="14094" max="14095" width="13.44140625" style="10" customWidth="1"/>
    <col min="14096" max="14096" width="9.6640625" style="10"/>
    <col min="14097" max="14097" width="13.88671875" style="10" customWidth="1"/>
    <col min="14098" max="14098" width="10.6640625" style="10" customWidth="1"/>
    <col min="14099" max="14099" width="17.33203125" style="10" customWidth="1"/>
    <col min="14100" max="14101" width="12.6640625" style="10" customWidth="1"/>
    <col min="14102" max="14102" width="11.21875" style="10" customWidth="1"/>
    <col min="14103" max="14103" width="18.33203125" style="10" customWidth="1"/>
    <col min="14104" max="14104" width="12.88671875" style="10" customWidth="1"/>
    <col min="14105" max="14106" width="13.21875" style="10" customWidth="1"/>
    <col min="14107" max="14107" width="10.88671875" style="10" customWidth="1"/>
    <col min="14108" max="14108" width="11.109375" style="10" customWidth="1"/>
    <col min="14109" max="14109" width="15.21875" style="10" customWidth="1"/>
    <col min="14110" max="14110" width="9.6640625" style="10"/>
    <col min="14111" max="14111" width="11" style="10" customWidth="1"/>
    <col min="14112" max="14112" width="10.77734375" style="10" customWidth="1"/>
    <col min="14113" max="14113" width="11.44140625" style="10" customWidth="1"/>
    <col min="14114" max="14114" width="4" style="10" customWidth="1"/>
    <col min="14115" max="14305" width="9.6640625" style="10"/>
    <col min="14306" max="14306" width="6.44140625" style="10" customWidth="1"/>
    <col min="14307" max="14307" width="13.88671875" style="10" customWidth="1"/>
    <col min="14308" max="14308" width="14.33203125" style="10" customWidth="1"/>
    <col min="14309" max="14325" width="9.6640625" style="10"/>
    <col min="14326" max="14326" width="12" style="10" customWidth="1"/>
    <col min="14327" max="14327" width="12.77734375" style="10" customWidth="1"/>
    <col min="14328" max="14328" width="11.109375" style="10" customWidth="1"/>
    <col min="14329" max="14329" width="12" style="10" customWidth="1"/>
    <col min="14330" max="14330" width="9.6640625" style="10"/>
    <col min="14331" max="14331" width="15.33203125" style="10" customWidth="1"/>
    <col min="14332" max="14332" width="15.21875" style="10" customWidth="1"/>
    <col min="14333" max="14333" width="21.44140625" style="10" customWidth="1"/>
    <col min="14334" max="14349" width="9.6640625" style="10"/>
    <col min="14350" max="14351" width="13.44140625" style="10" customWidth="1"/>
    <col min="14352" max="14352" width="9.6640625" style="10"/>
    <col min="14353" max="14353" width="13.88671875" style="10" customWidth="1"/>
    <col min="14354" max="14354" width="10.6640625" style="10" customWidth="1"/>
    <col min="14355" max="14355" width="17.33203125" style="10" customWidth="1"/>
    <col min="14356" max="14357" width="12.6640625" style="10" customWidth="1"/>
    <col min="14358" max="14358" width="11.21875" style="10" customWidth="1"/>
    <col min="14359" max="14359" width="18.33203125" style="10" customWidth="1"/>
    <col min="14360" max="14360" width="12.88671875" style="10" customWidth="1"/>
    <col min="14361" max="14362" width="13.21875" style="10" customWidth="1"/>
    <col min="14363" max="14363" width="10.88671875" style="10" customWidth="1"/>
    <col min="14364" max="14364" width="11.109375" style="10" customWidth="1"/>
    <col min="14365" max="14365" width="15.21875" style="10" customWidth="1"/>
    <col min="14366" max="14366" width="9.6640625" style="10"/>
    <col min="14367" max="14367" width="11" style="10" customWidth="1"/>
    <col min="14368" max="14368" width="10.77734375" style="10" customWidth="1"/>
    <col min="14369" max="14369" width="11.44140625" style="10" customWidth="1"/>
    <col min="14370" max="14370" width="4" style="10" customWidth="1"/>
    <col min="14371" max="14561" width="9.6640625" style="10"/>
    <col min="14562" max="14562" width="6.44140625" style="10" customWidth="1"/>
    <col min="14563" max="14563" width="13.88671875" style="10" customWidth="1"/>
    <col min="14564" max="14564" width="14.33203125" style="10" customWidth="1"/>
    <col min="14565" max="14581" width="9.6640625" style="10"/>
    <col min="14582" max="14582" width="12" style="10" customWidth="1"/>
    <col min="14583" max="14583" width="12.77734375" style="10" customWidth="1"/>
    <col min="14584" max="14584" width="11.109375" style="10" customWidth="1"/>
    <col min="14585" max="14585" width="12" style="10" customWidth="1"/>
    <col min="14586" max="14586" width="9.6640625" style="10"/>
    <col min="14587" max="14587" width="15.33203125" style="10" customWidth="1"/>
    <col min="14588" max="14588" width="15.21875" style="10" customWidth="1"/>
    <col min="14589" max="14589" width="21.44140625" style="10" customWidth="1"/>
    <col min="14590" max="14605" width="9.6640625" style="10"/>
    <col min="14606" max="14607" width="13.44140625" style="10" customWidth="1"/>
    <col min="14608" max="14608" width="9.6640625" style="10"/>
    <col min="14609" max="14609" width="13.88671875" style="10" customWidth="1"/>
    <col min="14610" max="14610" width="10.6640625" style="10" customWidth="1"/>
    <col min="14611" max="14611" width="17.33203125" style="10" customWidth="1"/>
    <col min="14612" max="14613" width="12.6640625" style="10" customWidth="1"/>
    <col min="14614" max="14614" width="11.21875" style="10" customWidth="1"/>
    <col min="14615" max="14615" width="18.33203125" style="10" customWidth="1"/>
    <col min="14616" max="14616" width="12.88671875" style="10" customWidth="1"/>
    <col min="14617" max="14618" width="13.21875" style="10" customWidth="1"/>
    <col min="14619" max="14619" width="10.88671875" style="10" customWidth="1"/>
    <col min="14620" max="14620" width="11.109375" style="10" customWidth="1"/>
    <col min="14621" max="14621" width="15.21875" style="10" customWidth="1"/>
    <col min="14622" max="14622" width="9.6640625" style="10"/>
    <col min="14623" max="14623" width="11" style="10" customWidth="1"/>
    <col min="14624" max="14624" width="10.77734375" style="10" customWidth="1"/>
    <col min="14625" max="14625" width="11.44140625" style="10" customWidth="1"/>
    <col min="14626" max="14626" width="4" style="10" customWidth="1"/>
    <col min="14627" max="14817" width="9.6640625" style="10"/>
    <col min="14818" max="14818" width="6.44140625" style="10" customWidth="1"/>
    <col min="14819" max="14819" width="13.88671875" style="10" customWidth="1"/>
    <col min="14820" max="14820" width="14.33203125" style="10" customWidth="1"/>
    <col min="14821" max="14837" width="9.6640625" style="10"/>
    <col min="14838" max="14838" width="12" style="10" customWidth="1"/>
    <col min="14839" max="14839" width="12.77734375" style="10" customWidth="1"/>
    <col min="14840" max="14840" width="11.109375" style="10" customWidth="1"/>
    <col min="14841" max="14841" width="12" style="10" customWidth="1"/>
    <col min="14842" max="14842" width="9.6640625" style="10"/>
    <col min="14843" max="14843" width="15.33203125" style="10" customWidth="1"/>
    <col min="14844" max="14844" width="15.21875" style="10" customWidth="1"/>
    <col min="14845" max="14845" width="21.44140625" style="10" customWidth="1"/>
    <col min="14846" max="14861" width="9.6640625" style="10"/>
    <col min="14862" max="14863" width="13.44140625" style="10" customWidth="1"/>
    <col min="14864" max="14864" width="9.6640625" style="10"/>
    <col min="14865" max="14865" width="13.88671875" style="10" customWidth="1"/>
    <col min="14866" max="14866" width="10.6640625" style="10" customWidth="1"/>
    <col min="14867" max="14867" width="17.33203125" style="10" customWidth="1"/>
    <col min="14868" max="14869" width="12.6640625" style="10" customWidth="1"/>
    <col min="14870" max="14870" width="11.21875" style="10" customWidth="1"/>
    <col min="14871" max="14871" width="18.33203125" style="10" customWidth="1"/>
    <col min="14872" max="14872" width="12.88671875" style="10" customWidth="1"/>
    <col min="14873" max="14874" width="13.21875" style="10" customWidth="1"/>
    <col min="14875" max="14875" width="10.88671875" style="10" customWidth="1"/>
    <col min="14876" max="14876" width="11.109375" style="10" customWidth="1"/>
    <col min="14877" max="14877" width="15.21875" style="10" customWidth="1"/>
    <col min="14878" max="14878" width="9.6640625" style="10"/>
    <col min="14879" max="14879" width="11" style="10" customWidth="1"/>
    <col min="14880" max="14880" width="10.77734375" style="10" customWidth="1"/>
    <col min="14881" max="14881" width="11.44140625" style="10" customWidth="1"/>
    <col min="14882" max="14882" width="4" style="10" customWidth="1"/>
    <col min="14883" max="15073" width="9.6640625" style="10"/>
    <col min="15074" max="15074" width="6.44140625" style="10" customWidth="1"/>
    <col min="15075" max="15075" width="13.88671875" style="10" customWidth="1"/>
    <col min="15076" max="15076" width="14.33203125" style="10" customWidth="1"/>
    <col min="15077" max="15093" width="9.6640625" style="10"/>
    <col min="15094" max="15094" width="12" style="10" customWidth="1"/>
    <col min="15095" max="15095" width="12.77734375" style="10" customWidth="1"/>
    <col min="15096" max="15096" width="11.109375" style="10" customWidth="1"/>
    <col min="15097" max="15097" width="12" style="10" customWidth="1"/>
    <col min="15098" max="15098" width="9.6640625" style="10"/>
    <col min="15099" max="15099" width="15.33203125" style="10" customWidth="1"/>
    <col min="15100" max="15100" width="15.21875" style="10" customWidth="1"/>
    <col min="15101" max="15101" width="21.44140625" style="10" customWidth="1"/>
    <col min="15102" max="15117" width="9.6640625" style="10"/>
    <col min="15118" max="15119" width="13.44140625" style="10" customWidth="1"/>
    <col min="15120" max="15120" width="9.6640625" style="10"/>
    <col min="15121" max="15121" width="13.88671875" style="10" customWidth="1"/>
    <col min="15122" max="15122" width="10.6640625" style="10" customWidth="1"/>
    <col min="15123" max="15123" width="17.33203125" style="10" customWidth="1"/>
    <col min="15124" max="15125" width="12.6640625" style="10" customWidth="1"/>
    <col min="15126" max="15126" width="11.21875" style="10" customWidth="1"/>
    <col min="15127" max="15127" width="18.33203125" style="10" customWidth="1"/>
    <col min="15128" max="15128" width="12.88671875" style="10" customWidth="1"/>
    <col min="15129" max="15130" width="13.21875" style="10" customWidth="1"/>
    <col min="15131" max="15131" width="10.88671875" style="10" customWidth="1"/>
    <col min="15132" max="15132" width="11.109375" style="10" customWidth="1"/>
    <col min="15133" max="15133" width="15.21875" style="10" customWidth="1"/>
    <col min="15134" max="15134" width="9.6640625" style="10"/>
    <col min="15135" max="15135" width="11" style="10" customWidth="1"/>
    <col min="15136" max="15136" width="10.77734375" style="10" customWidth="1"/>
    <col min="15137" max="15137" width="11.44140625" style="10" customWidth="1"/>
    <col min="15138" max="15138" width="4" style="10" customWidth="1"/>
    <col min="15139" max="15329" width="9.6640625" style="10"/>
    <col min="15330" max="15330" width="6.44140625" style="10" customWidth="1"/>
    <col min="15331" max="15331" width="13.88671875" style="10" customWidth="1"/>
    <col min="15332" max="15332" width="14.33203125" style="10" customWidth="1"/>
    <col min="15333" max="15349" width="9.6640625" style="10"/>
    <col min="15350" max="15350" width="12" style="10" customWidth="1"/>
    <col min="15351" max="15351" width="12.77734375" style="10" customWidth="1"/>
    <col min="15352" max="15352" width="11.109375" style="10" customWidth="1"/>
    <col min="15353" max="15353" width="12" style="10" customWidth="1"/>
    <col min="15354" max="15354" width="9.6640625" style="10"/>
    <col min="15355" max="15355" width="15.33203125" style="10" customWidth="1"/>
    <col min="15356" max="15356" width="15.21875" style="10" customWidth="1"/>
    <col min="15357" max="15357" width="21.44140625" style="10" customWidth="1"/>
    <col min="15358" max="15373" width="9.6640625" style="10"/>
    <col min="15374" max="15375" width="13.44140625" style="10" customWidth="1"/>
    <col min="15376" max="15376" width="9.6640625" style="10"/>
    <col min="15377" max="15377" width="13.88671875" style="10" customWidth="1"/>
    <col min="15378" max="15378" width="10.6640625" style="10" customWidth="1"/>
    <col min="15379" max="15379" width="17.33203125" style="10" customWidth="1"/>
    <col min="15380" max="15381" width="12.6640625" style="10" customWidth="1"/>
    <col min="15382" max="15382" width="11.21875" style="10" customWidth="1"/>
    <col min="15383" max="15383" width="18.33203125" style="10" customWidth="1"/>
    <col min="15384" max="15384" width="12.88671875" style="10" customWidth="1"/>
    <col min="15385" max="15386" width="13.21875" style="10" customWidth="1"/>
    <col min="15387" max="15387" width="10.88671875" style="10" customWidth="1"/>
    <col min="15388" max="15388" width="11.109375" style="10" customWidth="1"/>
    <col min="15389" max="15389" width="15.21875" style="10" customWidth="1"/>
    <col min="15390" max="15390" width="9.6640625" style="10"/>
    <col min="15391" max="15391" width="11" style="10" customWidth="1"/>
    <col min="15392" max="15392" width="10.77734375" style="10" customWidth="1"/>
    <col min="15393" max="15393" width="11.44140625" style="10" customWidth="1"/>
    <col min="15394" max="15394" width="4" style="10" customWidth="1"/>
    <col min="15395" max="15585" width="9.6640625" style="10"/>
    <col min="15586" max="15586" width="6.44140625" style="10" customWidth="1"/>
    <col min="15587" max="15587" width="13.88671875" style="10" customWidth="1"/>
    <col min="15588" max="15588" width="14.33203125" style="10" customWidth="1"/>
    <col min="15589" max="15605" width="9.6640625" style="10"/>
    <col min="15606" max="15606" width="12" style="10" customWidth="1"/>
    <col min="15607" max="15607" width="12.77734375" style="10" customWidth="1"/>
    <col min="15608" max="15608" width="11.109375" style="10" customWidth="1"/>
    <col min="15609" max="15609" width="12" style="10" customWidth="1"/>
    <col min="15610" max="15610" width="9.6640625" style="10"/>
    <col min="15611" max="15611" width="15.33203125" style="10" customWidth="1"/>
    <col min="15612" max="15612" width="15.21875" style="10" customWidth="1"/>
    <col min="15613" max="15613" width="21.44140625" style="10" customWidth="1"/>
    <col min="15614" max="15629" width="9.6640625" style="10"/>
    <col min="15630" max="15631" width="13.44140625" style="10" customWidth="1"/>
    <col min="15632" max="15632" width="9.6640625" style="10"/>
    <col min="15633" max="15633" width="13.88671875" style="10" customWidth="1"/>
    <col min="15634" max="15634" width="10.6640625" style="10" customWidth="1"/>
    <col min="15635" max="15635" width="17.33203125" style="10" customWidth="1"/>
    <col min="15636" max="15637" width="12.6640625" style="10" customWidth="1"/>
    <col min="15638" max="15638" width="11.21875" style="10" customWidth="1"/>
    <col min="15639" max="15639" width="18.33203125" style="10" customWidth="1"/>
    <col min="15640" max="15640" width="12.88671875" style="10" customWidth="1"/>
    <col min="15641" max="15642" width="13.21875" style="10" customWidth="1"/>
    <col min="15643" max="15643" width="10.88671875" style="10" customWidth="1"/>
    <col min="15644" max="15644" width="11.109375" style="10" customWidth="1"/>
    <col min="15645" max="15645" width="15.21875" style="10" customWidth="1"/>
    <col min="15646" max="15646" width="9.6640625" style="10"/>
    <col min="15647" max="15647" width="11" style="10" customWidth="1"/>
    <col min="15648" max="15648" width="10.77734375" style="10" customWidth="1"/>
    <col min="15649" max="15649" width="11.44140625" style="10" customWidth="1"/>
    <col min="15650" max="15650" width="4" style="10" customWidth="1"/>
    <col min="15651" max="15841" width="9.6640625" style="10"/>
    <col min="15842" max="15842" width="6.44140625" style="10" customWidth="1"/>
    <col min="15843" max="15843" width="13.88671875" style="10" customWidth="1"/>
    <col min="15844" max="15844" width="14.33203125" style="10" customWidth="1"/>
    <col min="15845" max="15861" width="9.6640625" style="10"/>
    <col min="15862" max="15862" width="12" style="10" customWidth="1"/>
    <col min="15863" max="15863" width="12.77734375" style="10" customWidth="1"/>
    <col min="15864" max="15864" width="11.109375" style="10" customWidth="1"/>
    <col min="15865" max="15865" width="12" style="10" customWidth="1"/>
    <col min="15866" max="15866" width="9.6640625" style="10"/>
    <col min="15867" max="15867" width="15.33203125" style="10" customWidth="1"/>
    <col min="15868" max="15868" width="15.21875" style="10" customWidth="1"/>
    <col min="15869" max="15869" width="21.44140625" style="10" customWidth="1"/>
    <col min="15870" max="15885" width="9.6640625" style="10"/>
    <col min="15886" max="15887" width="13.44140625" style="10" customWidth="1"/>
    <col min="15888" max="15888" width="9.6640625" style="10"/>
    <col min="15889" max="15889" width="13.88671875" style="10" customWidth="1"/>
    <col min="15890" max="15890" width="10.6640625" style="10" customWidth="1"/>
    <col min="15891" max="15891" width="17.33203125" style="10" customWidth="1"/>
    <col min="15892" max="15893" width="12.6640625" style="10" customWidth="1"/>
    <col min="15894" max="15894" width="11.21875" style="10" customWidth="1"/>
    <col min="15895" max="15895" width="18.33203125" style="10" customWidth="1"/>
    <col min="15896" max="15896" width="12.88671875" style="10" customWidth="1"/>
    <col min="15897" max="15898" width="13.21875" style="10" customWidth="1"/>
    <col min="15899" max="15899" width="10.88671875" style="10" customWidth="1"/>
    <col min="15900" max="15900" width="11.109375" style="10" customWidth="1"/>
    <col min="15901" max="15901" width="15.21875" style="10" customWidth="1"/>
    <col min="15902" max="15902" width="9.6640625" style="10"/>
    <col min="15903" max="15903" width="11" style="10" customWidth="1"/>
    <col min="15904" max="15904" width="10.77734375" style="10" customWidth="1"/>
    <col min="15905" max="15905" width="11.44140625" style="10" customWidth="1"/>
    <col min="15906" max="15906" width="4" style="10" customWidth="1"/>
    <col min="15907" max="16097" width="9.6640625" style="10"/>
    <col min="16098" max="16098" width="6.44140625" style="10" customWidth="1"/>
    <col min="16099" max="16099" width="13.88671875" style="10" customWidth="1"/>
    <col min="16100" max="16100" width="14.33203125" style="10" customWidth="1"/>
    <col min="16101" max="16117" width="9.6640625" style="10"/>
    <col min="16118" max="16118" width="12" style="10" customWidth="1"/>
    <col min="16119" max="16119" width="12.77734375" style="10" customWidth="1"/>
    <col min="16120" max="16120" width="11.109375" style="10" customWidth="1"/>
    <col min="16121" max="16121" width="12" style="10" customWidth="1"/>
    <col min="16122" max="16122" width="9.6640625" style="10"/>
    <col min="16123" max="16123" width="15.33203125" style="10" customWidth="1"/>
    <col min="16124" max="16124" width="15.21875" style="10" customWidth="1"/>
    <col min="16125" max="16125" width="21.44140625" style="10" customWidth="1"/>
    <col min="16126" max="16141" width="9.6640625" style="10"/>
    <col min="16142" max="16143" width="13.44140625" style="10" customWidth="1"/>
    <col min="16144" max="16144" width="9.6640625" style="10"/>
    <col min="16145" max="16145" width="13.88671875" style="10" customWidth="1"/>
    <col min="16146" max="16146" width="10.6640625" style="10" customWidth="1"/>
    <col min="16147" max="16147" width="17.33203125" style="10" customWidth="1"/>
    <col min="16148" max="16149" width="12.6640625" style="10" customWidth="1"/>
    <col min="16150" max="16150" width="11.21875" style="10" customWidth="1"/>
    <col min="16151" max="16151" width="18.33203125" style="10" customWidth="1"/>
    <col min="16152" max="16152" width="12.88671875" style="10" customWidth="1"/>
    <col min="16153" max="16154" width="13.21875" style="10" customWidth="1"/>
    <col min="16155" max="16155" width="10.88671875" style="10" customWidth="1"/>
    <col min="16156" max="16156" width="11.109375" style="10" customWidth="1"/>
    <col min="16157" max="16157" width="15.21875" style="10" customWidth="1"/>
    <col min="16158" max="16158" width="9.6640625" style="10"/>
    <col min="16159" max="16159" width="11" style="10" customWidth="1"/>
    <col min="16160" max="16160" width="10.77734375" style="10" customWidth="1"/>
    <col min="16161" max="16161" width="11.44140625" style="10" customWidth="1"/>
    <col min="16162" max="16162" width="4" style="10" customWidth="1"/>
    <col min="16163" max="16384" width="9.6640625" style="10"/>
  </cols>
  <sheetData>
    <row r="1" spans="1:151" ht="13.2" x14ac:dyDescent="0.2">
      <c r="A1" s="9" t="s">
        <v>100</v>
      </c>
    </row>
    <row r="2" spans="1:151" x14ac:dyDescent="0.2">
      <c r="C2" s="12" t="s">
        <v>101</v>
      </c>
    </row>
    <row r="3" spans="1:151" s="11" customFormat="1" x14ac:dyDescent="0.2">
      <c r="A3" s="13"/>
      <c r="B3" s="14" t="s">
        <v>102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</row>
    <row r="4" spans="1:151" s="11" customFormat="1" x14ac:dyDescent="0.2">
      <c r="A4" s="13"/>
      <c r="B4" s="16" t="s">
        <v>103</v>
      </c>
      <c r="C4" s="15" t="s">
        <v>112</v>
      </c>
      <c r="D4" s="15" t="s">
        <v>112</v>
      </c>
      <c r="E4" s="15" t="s">
        <v>112</v>
      </c>
      <c r="F4" s="15" t="s">
        <v>112</v>
      </c>
      <c r="G4" s="15" t="s">
        <v>291</v>
      </c>
      <c r="H4" s="15" t="s">
        <v>112</v>
      </c>
      <c r="I4" s="15" t="s">
        <v>104</v>
      </c>
      <c r="J4" s="15" t="s">
        <v>104</v>
      </c>
      <c r="K4" s="15" t="s">
        <v>292</v>
      </c>
      <c r="L4" s="15" t="s">
        <v>112</v>
      </c>
      <c r="M4" s="15" t="s">
        <v>293</v>
      </c>
      <c r="N4" s="15" t="s">
        <v>134</v>
      </c>
      <c r="O4" s="15" t="s">
        <v>104</v>
      </c>
      <c r="P4" s="15" t="s">
        <v>104</v>
      </c>
      <c r="Q4" s="15" t="s">
        <v>104</v>
      </c>
      <c r="R4" s="15" t="s">
        <v>104</v>
      </c>
      <c r="S4" s="15" t="s">
        <v>104</v>
      </c>
      <c r="T4" s="15" t="s">
        <v>104</v>
      </c>
      <c r="U4" s="15" t="s">
        <v>104</v>
      </c>
      <c r="V4" s="15" t="s">
        <v>104</v>
      </c>
      <c r="W4" s="15" t="s">
        <v>104</v>
      </c>
      <c r="X4" s="15" t="s">
        <v>104</v>
      </c>
      <c r="Y4" s="15" t="s">
        <v>104</v>
      </c>
      <c r="Z4" s="15" t="s">
        <v>104</v>
      </c>
      <c r="AA4" s="15" t="s">
        <v>104</v>
      </c>
      <c r="AB4" s="15" t="s">
        <v>104</v>
      </c>
      <c r="AC4" s="15" t="s">
        <v>104</v>
      </c>
      <c r="AD4" s="15" t="s">
        <v>104</v>
      </c>
      <c r="AE4" s="15" t="s">
        <v>104</v>
      </c>
      <c r="AF4" s="15" t="s">
        <v>104</v>
      </c>
      <c r="AG4" s="15" t="s">
        <v>104</v>
      </c>
      <c r="AH4" s="15" t="s">
        <v>104</v>
      </c>
      <c r="AI4" s="15" t="s">
        <v>104</v>
      </c>
      <c r="AJ4" s="15" t="s">
        <v>104</v>
      </c>
      <c r="AK4" s="15" t="s">
        <v>104</v>
      </c>
      <c r="AL4" s="15" t="s">
        <v>134</v>
      </c>
      <c r="AM4" s="15" t="s">
        <v>104</v>
      </c>
      <c r="AN4" s="15" t="s">
        <v>104</v>
      </c>
      <c r="AO4" s="15" t="s">
        <v>104</v>
      </c>
      <c r="AP4" s="15" t="s">
        <v>104</v>
      </c>
      <c r="AQ4" s="15" t="s">
        <v>104</v>
      </c>
      <c r="AR4" s="15" t="s">
        <v>104</v>
      </c>
      <c r="AS4" s="15" t="s">
        <v>104</v>
      </c>
      <c r="AT4" s="15" t="s">
        <v>106</v>
      </c>
      <c r="AU4" s="15" t="s">
        <v>106</v>
      </c>
      <c r="AV4" s="15" t="s">
        <v>106</v>
      </c>
      <c r="AW4" s="15" t="s">
        <v>292</v>
      </c>
      <c r="AX4" s="15" t="s">
        <v>104</v>
      </c>
      <c r="AY4" s="15" t="s">
        <v>104</v>
      </c>
      <c r="AZ4" s="15" t="s">
        <v>104</v>
      </c>
      <c r="BA4" s="15" t="s">
        <v>104</v>
      </c>
      <c r="BB4" s="15" t="s">
        <v>104</v>
      </c>
      <c r="BC4" s="15" t="s">
        <v>104</v>
      </c>
      <c r="BD4" s="15" t="s">
        <v>104</v>
      </c>
      <c r="BE4" s="15" t="s">
        <v>293</v>
      </c>
      <c r="BF4" s="15" t="s">
        <v>293</v>
      </c>
      <c r="BG4" s="15" t="s">
        <v>104</v>
      </c>
      <c r="BH4" s="15" t="s">
        <v>104</v>
      </c>
      <c r="BI4" s="15" t="s">
        <v>293</v>
      </c>
      <c r="BJ4" s="15" t="s">
        <v>104</v>
      </c>
      <c r="BK4" s="15" t="s">
        <v>104</v>
      </c>
      <c r="BL4" s="15" t="s">
        <v>104</v>
      </c>
      <c r="BM4" s="15" t="s">
        <v>105</v>
      </c>
      <c r="BN4" s="15" t="s">
        <v>104</v>
      </c>
      <c r="BO4" s="15" t="s">
        <v>104</v>
      </c>
      <c r="BP4" s="15" t="s">
        <v>104</v>
      </c>
      <c r="BQ4" s="15" t="s">
        <v>293</v>
      </c>
      <c r="BR4" s="15" t="s">
        <v>104</v>
      </c>
      <c r="BS4" s="15" t="s">
        <v>104</v>
      </c>
      <c r="BT4" s="15" t="s">
        <v>104</v>
      </c>
      <c r="BU4" s="15" t="s">
        <v>104</v>
      </c>
      <c r="BV4" s="15" t="s">
        <v>104</v>
      </c>
      <c r="BW4" s="15" t="s">
        <v>104</v>
      </c>
      <c r="BX4" s="15" t="s">
        <v>107</v>
      </c>
      <c r="BY4" s="15" t="s">
        <v>104</v>
      </c>
      <c r="BZ4" s="15" t="s">
        <v>104</v>
      </c>
      <c r="CA4" s="15" t="s">
        <v>104</v>
      </c>
      <c r="CB4" s="15" t="s">
        <v>104</v>
      </c>
      <c r="CC4" s="15" t="s">
        <v>104</v>
      </c>
      <c r="CD4" s="15" t="s">
        <v>104</v>
      </c>
      <c r="CE4" s="15" t="s">
        <v>104</v>
      </c>
      <c r="CF4" s="15" t="s">
        <v>104</v>
      </c>
      <c r="CG4" s="15" t="s">
        <v>104</v>
      </c>
      <c r="CH4" s="15" t="s">
        <v>104</v>
      </c>
      <c r="CI4" s="15" t="s">
        <v>104</v>
      </c>
      <c r="CJ4" s="15" t="s">
        <v>106</v>
      </c>
      <c r="CK4" s="15" t="s">
        <v>104</v>
      </c>
      <c r="CL4" s="15" t="s">
        <v>293</v>
      </c>
      <c r="CM4" s="15" t="s">
        <v>104</v>
      </c>
      <c r="CN4" s="15" t="s">
        <v>104</v>
      </c>
      <c r="CO4" s="15" t="s">
        <v>104</v>
      </c>
      <c r="CP4" s="15" t="s">
        <v>104</v>
      </c>
      <c r="CQ4" s="15" t="s">
        <v>104</v>
      </c>
      <c r="CR4" s="15" t="s">
        <v>104</v>
      </c>
      <c r="CS4" s="15" t="s">
        <v>104</v>
      </c>
      <c r="CT4" s="15" t="s">
        <v>104</v>
      </c>
      <c r="CU4" s="15" t="s">
        <v>104</v>
      </c>
      <c r="CV4" s="15" t="s">
        <v>104</v>
      </c>
      <c r="CW4" s="15" t="s">
        <v>104</v>
      </c>
      <c r="CX4" s="15" t="s">
        <v>109</v>
      </c>
      <c r="CY4" s="15" t="s">
        <v>104</v>
      </c>
      <c r="CZ4" s="15" t="s">
        <v>104</v>
      </c>
      <c r="DA4" s="15" t="s">
        <v>104</v>
      </c>
      <c r="DB4" s="15" t="s">
        <v>104</v>
      </c>
      <c r="DC4" s="15" t="s">
        <v>104</v>
      </c>
      <c r="DD4" s="15" t="s">
        <v>104</v>
      </c>
      <c r="DE4" s="15" t="s">
        <v>104</v>
      </c>
      <c r="DF4" s="15" t="s">
        <v>104</v>
      </c>
      <c r="DG4" s="15" t="s">
        <v>107</v>
      </c>
      <c r="DH4" s="15" t="s">
        <v>104</v>
      </c>
      <c r="DI4" s="15" t="s">
        <v>104</v>
      </c>
      <c r="DJ4" s="15" t="s">
        <v>104</v>
      </c>
      <c r="DK4" s="15" t="s">
        <v>104</v>
      </c>
      <c r="DL4" s="15" t="s">
        <v>104</v>
      </c>
      <c r="DM4" s="15" t="s">
        <v>104</v>
      </c>
      <c r="DN4" s="15" t="s">
        <v>104</v>
      </c>
      <c r="DO4" s="15" t="s">
        <v>104</v>
      </c>
      <c r="DP4" s="15" t="s">
        <v>104</v>
      </c>
      <c r="DQ4" s="15" t="s">
        <v>104</v>
      </c>
      <c r="DR4" s="15" t="s">
        <v>104</v>
      </c>
      <c r="DS4" s="15" t="s">
        <v>104</v>
      </c>
      <c r="DT4" s="15" t="s">
        <v>104</v>
      </c>
      <c r="DU4" s="15" t="s">
        <v>104</v>
      </c>
      <c r="DV4" s="15" t="s">
        <v>104</v>
      </c>
      <c r="DW4" s="15" t="s">
        <v>104</v>
      </c>
      <c r="DX4" s="15" t="s">
        <v>104</v>
      </c>
      <c r="DY4" s="15" t="s">
        <v>104</v>
      </c>
      <c r="DZ4" s="15" t="s">
        <v>104</v>
      </c>
      <c r="EA4" s="15" t="s">
        <v>112</v>
      </c>
      <c r="EB4" s="15" t="s">
        <v>104</v>
      </c>
      <c r="EC4" s="15" t="s">
        <v>104</v>
      </c>
      <c r="ED4" s="15" t="s">
        <v>104</v>
      </c>
      <c r="EE4" s="15" t="s">
        <v>104</v>
      </c>
      <c r="EF4" s="15" t="s">
        <v>104</v>
      </c>
      <c r="EG4" s="15"/>
      <c r="EH4" s="15"/>
      <c r="EI4" s="15"/>
    </row>
    <row r="5" spans="1:151" s="11" customFormat="1" x14ac:dyDescent="0.2">
      <c r="A5" s="13"/>
      <c r="B5" s="14" t="s">
        <v>113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</row>
    <row r="6" spans="1:151" s="19" customFormat="1" x14ac:dyDescent="0.2">
      <c r="A6" s="17"/>
      <c r="B6" s="14" t="s">
        <v>114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</row>
    <row r="7" spans="1:151" s="22" customFormat="1" ht="22.2" customHeight="1" x14ac:dyDescent="0.3">
      <c r="A7" s="20"/>
      <c r="B7" s="21" t="s">
        <v>115</v>
      </c>
      <c r="C7" s="21" t="s">
        <v>5</v>
      </c>
      <c r="D7" s="21" t="s">
        <v>202</v>
      </c>
      <c r="E7" s="21" t="s">
        <v>203</v>
      </c>
      <c r="F7" s="21" t="s">
        <v>204</v>
      </c>
      <c r="G7" s="21" t="s">
        <v>227</v>
      </c>
      <c r="H7" s="21" t="s">
        <v>205</v>
      </c>
      <c r="I7" s="21" t="s">
        <v>46</v>
      </c>
      <c r="J7" s="21" t="s">
        <v>338</v>
      </c>
      <c r="K7" s="21" t="s">
        <v>338</v>
      </c>
      <c r="L7" s="21" t="s">
        <v>206</v>
      </c>
      <c r="M7" s="21" t="s">
        <v>7</v>
      </c>
      <c r="N7" s="21" t="s">
        <v>8</v>
      </c>
      <c r="O7" s="21" t="s">
        <v>9</v>
      </c>
      <c r="P7" s="21" t="s">
        <v>226</v>
      </c>
      <c r="Q7" s="21" t="s">
        <v>10</v>
      </c>
      <c r="R7" s="21" t="s">
        <v>228</v>
      </c>
      <c r="S7" s="21" t="s">
        <v>229</v>
      </c>
      <c r="T7" s="21" t="s">
        <v>230</v>
      </c>
      <c r="U7" s="21" t="s">
        <v>232</v>
      </c>
      <c r="V7" s="21" t="s">
        <v>231</v>
      </c>
      <c r="W7" s="21" t="s">
        <v>233</v>
      </c>
      <c r="X7" s="21" t="s">
        <v>234</v>
      </c>
      <c r="Y7" s="21" t="s">
        <v>235</v>
      </c>
      <c r="Z7" s="21" t="s">
        <v>11</v>
      </c>
      <c r="AA7" s="21" t="s">
        <v>339</v>
      </c>
      <c r="AB7" s="21" t="s">
        <v>1</v>
      </c>
      <c r="AC7" s="21" t="s">
        <v>12</v>
      </c>
      <c r="AD7" s="21" t="s">
        <v>340</v>
      </c>
      <c r="AE7" s="21" t="s">
        <v>13</v>
      </c>
      <c r="AF7" s="21" t="s">
        <v>59</v>
      </c>
      <c r="AG7" s="21" t="s">
        <v>60</v>
      </c>
      <c r="AH7" s="21" t="s">
        <v>14</v>
      </c>
      <c r="AI7" s="21" t="s">
        <v>157</v>
      </c>
      <c r="AJ7" s="21" t="s">
        <v>236</v>
      </c>
      <c r="AK7" s="21" t="s">
        <v>237</v>
      </c>
      <c r="AL7" s="21" t="s">
        <v>15</v>
      </c>
      <c r="AM7" s="21" t="s">
        <v>132</v>
      </c>
      <c r="AN7" s="21" t="s">
        <v>238</v>
      </c>
      <c r="AO7" s="21" t="s">
        <v>239</v>
      </c>
      <c r="AP7" s="21" t="s">
        <v>16</v>
      </c>
      <c r="AQ7" s="21" t="s">
        <v>187</v>
      </c>
      <c r="AR7" s="21" t="s">
        <v>240</v>
      </c>
      <c r="AS7" s="21" t="s">
        <v>241</v>
      </c>
      <c r="AT7" s="21" t="s">
        <v>241</v>
      </c>
      <c r="AU7" s="21" t="s">
        <v>242</v>
      </c>
      <c r="AV7" s="21" t="s">
        <v>243</v>
      </c>
      <c r="AW7" s="21" t="s">
        <v>244</v>
      </c>
      <c r="AX7" s="21" t="s">
        <v>17</v>
      </c>
      <c r="AY7" s="21" t="s">
        <v>159</v>
      </c>
      <c r="AZ7" s="21" t="s">
        <v>136</v>
      </c>
      <c r="BA7" s="21" t="s">
        <v>118</v>
      </c>
      <c r="BB7" s="21" t="s">
        <v>245</v>
      </c>
      <c r="BC7" s="21" t="s">
        <v>47</v>
      </c>
      <c r="BD7" s="21" t="s">
        <v>44</v>
      </c>
      <c r="BE7" s="21" t="s">
        <v>44</v>
      </c>
      <c r="BF7" s="21" t="s">
        <v>18</v>
      </c>
      <c r="BG7" s="21" t="s">
        <v>18</v>
      </c>
      <c r="BH7" s="21" t="s">
        <v>127</v>
      </c>
      <c r="BI7" s="21" t="s">
        <v>246</v>
      </c>
      <c r="BJ7" s="21" t="s">
        <v>341</v>
      </c>
      <c r="BK7" s="21" t="s">
        <v>19</v>
      </c>
      <c r="BL7" s="21" t="s">
        <v>342</v>
      </c>
      <c r="BM7" s="21" t="s">
        <v>247</v>
      </c>
      <c r="BN7" s="21" t="s">
        <v>247</v>
      </c>
      <c r="BO7" s="21" t="s">
        <v>343</v>
      </c>
      <c r="BP7" s="21" t="s">
        <v>344</v>
      </c>
      <c r="BQ7" s="21" t="s">
        <v>345</v>
      </c>
      <c r="BR7" s="21" t="s">
        <v>345</v>
      </c>
      <c r="BS7" s="21" t="s">
        <v>346</v>
      </c>
      <c r="BT7" s="21" t="s">
        <v>174</v>
      </c>
      <c r="BU7" s="21" t="s">
        <v>248</v>
      </c>
      <c r="BV7" s="21" t="s">
        <v>249</v>
      </c>
      <c r="BW7" s="21" t="s">
        <v>45</v>
      </c>
      <c r="BX7" s="21" t="s">
        <v>48</v>
      </c>
      <c r="BY7" s="21" t="s">
        <v>20</v>
      </c>
      <c r="BZ7" s="21" t="s">
        <v>123</v>
      </c>
      <c r="CA7" s="21" t="s">
        <v>128</v>
      </c>
      <c r="CB7" s="21" t="s">
        <v>125</v>
      </c>
      <c r="CC7" s="21" t="s">
        <v>122</v>
      </c>
      <c r="CD7" s="21" t="s">
        <v>124</v>
      </c>
      <c r="CE7" s="21" t="s">
        <v>250</v>
      </c>
      <c r="CF7" s="21" t="s">
        <v>251</v>
      </c>
      <c r="CG7" s="21" t="s">
        <v>61</v>
      </c>
      <c r="CH7" s="21" t="s">
        <v>347</v>
      </c>
      <c r="CI7" s="21" t="s">
        <v>259</v>
      </c>
      <c r="CJ7" s="21" t="s">
        <v>23</v>
      </c>
      <c r="CK7" s="21" t="s">
        <v>252</v>
      </c>
      <c r="CL7" s="21" t="s">
        <v>24</v>
      </c>
      <c r="CM7" s="21" t="s">
        <v>66</v>
      </c>
      <c r="CN7" s="21" t="s">
        <v>254</v>
      </c>
      <c r="CO7" s="21" t="s">
        <v>256</v>
      </c>
      <c r="CP7" s="21" t="s">
        <v>255</v>
      </c>
      <c r="CQ7" s="21" t="s">
        <v>135</v>
      </c>
      <c r="CR7" s="21" t="s">
        <v>121</v>
      </c>
      <c r="CS7" s="21" t="s">
        <v>137</v>
      </c>
      <c r="CT7" s="21" t="s">
        <v>257</v>
      </c>
      <c r="CU7" s="21" t="s">
        <v>258</v>
      </c>
      <c r="CV7" s="21" t="s">
        <v>62</v>
      </c>
      <c r="CW7" s="21" t="s">
        <v>49</v>
      </c>
      <c r="CX7" s="21" t="s">
        <v>26</v>
      </c>
      <c r="CY7" s="21" t="s">
        <v>27</v>
      </c>
      <c r="CZ7" s="21" t="s">
        <v>260</v>
      </c>
      <c r="DA7" s="21" t="s">
        <v>261</v>
      </c>
      <c r="DB7" s="21" t="s">
        <v>262</v>
      </c>
      <c r="DC7" s="21" t="s">
        <v>28</v>
      </c>
      <c r="DD7" s="21" t="s">
        <v>29</v>
      </c>
      <c r="DE7" s="21" t="s">
        <v>184</v>
      </c>
      <c r="DF7" s="21" t="s">
        <v>348</v>
      </c>
      <c r="DG7" s="21" t="s">
        <v>348</v>
      </c>
      <c r="DH7" s="21" t="s">
        <v>349</v>
      </c>
      <c r="DI7" s="21" t="s">
        <v>50</v>
      </c>
      <c r="DJ7" s="21" t="s">
        <v>30</v>
      </c>
      <c r="DK7" s="21" t="s">
        <v>263</v>
      </c>
      <c r="DL7" s="21" t="s">
        <v>264</v>
      </c>
      <c r="DM7" s="21" t="s">
        <v>120</v>
      </c>
      <c r="DN7" s="21" t="s">
        <v>265</v>
      </c>
      <c r="DO7" s="21" t="s">
        <v>51</v>
      </c>
      <c r="DP7" s="21" t="s">
        <v>266</v>
      </c>
      <c r="DQ7" s="21" t="s">
        <v>267</v>
      </c>
      <c r="DR7" s="21" t="s">
        <v>268</v>
      </c>
      <c r="DS7" s="21" t="s">
        <v>31</v>
      </c>
      <c r="DT7" s="21" t="s">
        <v>32</v>
      </c>
      <c r="DU7" s="21" t="s">
        <v>33</v>
      </c>
      <c r="DV7" s="21" t="s">
        <v>2</v>
      </c>
      <c r="DW7" s="21" t="s">
        <v>269</v>
      </c>
      <c r="DX7" s="21" t="s">
        <v>274</v>
      </c>
      <c r="DY7" s="21" t="s">
        <v>273</v>
      </c>
      <c r="DZ7" s="21" t="s">
        <v>55</v>
      </c>
      <c r="EA7" s="21" t="s">
        <v>53</v>
      </c>
      <c r="EB7" s="21" t="s">
        <v>54</v>
      </c>
      <c r="EC7" s="21" t="s">
        <v>270</v>
      </c>
      <c r="ED7" s="21" t="s">
        <v>271</v>
      </c>
      <c r="EE7" s="21" t="s">
        <v>350</v>
      </c>
      <c r="EF7" s="21" t="s">
        <v>272</v>
      </c>
      <c r="EG7" s="21"/>
      <c r="EH7" s="21"/>
      <c r="EI7" s="21"/>
    </row>
    <row r="8" spans="1:151" x14ac:dyDescent="0.2">
      <c r="A8" s="23" t="s">
        <v>133</v>
      </c>
      <c r="B8" s="24"/>
    </row>
    <row r="9" spans="1:151" x14ac:dyDescent="0.2">
      <c r="A9" s="80" t="s">
        <v>318</v>
      </c>
      <c r="C9" s="26">
        <v>2.6028571428571428</v>
      </c>
      <c r="D9" s="26" t="s">
        <v>297</v>
      </c>
      <c r="E9" s="26" t="s">
        <v>297</v>
      </c>
      <c r="F9" s="26" t="s">
        <v>297</v>
      </c>
      <c r="G9" s="26">
        <v>0.25</v>
      </c>
      <c r="H9" s="26" t="s">
        <v>297</v>
      </c>
      <c r="I9" s="26" t="s">
        <v>297</v>
      </c>
      <c r="J9" s="26"/>
      <c r="K9" s="26">
        <v>0.17860000000000001</v>
      </c>
      <c r="L9" s="26" t="s">
        <v>297</v>
      </c>
      <c r="M9" s="26" t="s">
        <v>297</v>
      </c>
      <c r="N9" s="26">
        <v>0.12133656897517267</v>
      </c>
      <c r="O9" s="26" t="s">
        <v>297</v>
      </c>
      <c r="P9" s="26">
        <v>3.5534825870646767</v>
      </c>
      <c r="Q9" s="26">
        <v>4.4836116264687691</v>
      </c>
      <c r="R9" s="26">
        <v>0.71090833678971377</v>
      </c>
      <c r="S9" s="26">
        <v>13.173718018508437</v>
      </c>
      <c r="T9" s="26" t="s">
        <v>297</v>
      </c>
      <c r="U9" s="26" t="s">
        <v>297</v>
      </c>
      <c r="V9" s="26" t="s">
        <v>297</v>
      </c>
      <c r="W9" s="26" t="s">
        <v>297</v>
      </c>
      <c r="X9" s="26" t="s">
        <v>297</v>
      </c>
      <c r="Y9" s="26" t="s">
        <v>297</v>
      </c>
      <c r="Z9" s="26">
        <v>2.0796019900497513</v>
      </c>
      <c r="AA9" s="26">
        <v>3.0753588516746411</v>
      </c>
      <c r="AB9" s="26">
        <v>0.17335468475257473</v>
      </c>
      <c r="AC9" s="26">
        <v>2.5134649910233393</v>
      </c>
      <c r="AD9" s="26">
        <v>0.52707749766573297</v>
      </c>
      <c r="AE9" s="26" t="s">
        <v>297</v>
      </c>
      <c r="AF9" s="26" t="s">
        <v>297</v>
      </c>
      <c r="AG9" s="26" t="s">
        <v>297</v>
      </c>
      <c r="AH9" s="26">
        <v>0.51343749999999999</v>
      </c>
      <c r="AI9" s="26" t="s">
        <v>297</v>
      </c>
      <c r="AJ9" s="26" t="s">
        <v>297</v>
      </c>
      <c r="AK9" s="26" t="s">
        <v>297</v>
      </c>
      <c r="AL9" s="26">
        <v>0.48839039748130658</v>
      </c>
      <c r="AM9" s="26" t="s">
        <v>297</v>
      </c>
      <c r="AN9" s="26" t="s">
        <v>297</v>
      </c>
      <c r="AO9" s="26" t="s">
        <v>297</v>
      </c>
      <c r="AP9" s="26" t="s">
        <v>297</v>
      </c>
      <c r="AQ9" s="26" t="s">
        <v>297</v>
      </c>
      <c r="AR9" s="26" t="s">
        <v>297</v>
      </c>
      <c r="AS9" s="26"/>
      <c r="AT9" s="26">
        <v>2.5813333333333333</v>
      </c>
      <c r="AU9" s="26" t="s">
        <v>297</v>
      </c>
      <c r="AV9" s="26" t="s">
        <v>297</v>
      </c>
      <c r="AW9" s="26">
        <v>3.5727272727272728</v>
      </c>
      <c r="AX9" s="26">
        <v>0.38821259525561125</v>
      </c>
      <c r="AY9" s="26" t="s">
        <v>297</v>
      </c>
      <c r="AZ9" s="26" t="s">
        <v>297</v>
      </c>
      <c r="BA9" s="26" t="s">
        <v>297</v>
      </c>
      <c r="BB9" s="26" t="s">
        <v>297</v>
      </c>
      <c r="BC9" s="26" t="s">
        <v>297</v>
      </c>
      <c r="BD9" s="26" t="s">
        <v>297</v>
      </c>
      <c r="BE9" s="26" t="s">
        <v>297</v>
      </c>
      <c r="BF9" s="26">
        <v>14.290909090909091</v>
      </c>
      <c r="BG9" s="26"/>
      <c r="BH9" s="26" t="s">
        <v>297</v>
      </c>
      <c r="BI9" s="26" t="s">
        <v>297</v>
      </c>
      <c r="BJ9" s="26" t="s">
        <v>297</v>
      </c>
      <c r="BK9" s="26">
        <v>0.89712918660287078</v>
      </c>
      <c r="BL9" s="26" t="s">
        <v>297</v>
      </c>
      <c r="BM9" s="26" t="s">
        <v>297</v>
      </c>
      <c r="BN9" s="26" t="s">
        <v>297</v>
      </c>
      <c r="BO9" s="26" t="s">
        <v>297</v>
      </c>
      <c r="BP9" s="26" t="s">
        <v>297</v>
      </c>
      <c r="BQ9" s="26" t="s">
        <v>297</v>
      </c>
      <c r="BR9" s="26" t="s">
        <v>297</v>
      </c>
      <c r="BS9" s="26" t="s">
        <v>297</v>
      </c>
      <c r="BT9" s="26" t="s">
        <v>297</v>
      </c>
      <c r="BU9" s="26" t="s">
        <v>297</v>
      </c>
      <c r="BV9" s="26" t="s">
        <v>297</v>
      </c>
      <c r="BW9" s="26" t="s">
        <v>297</v>
      </c>
      <c r="BX9" s="26">
        <v>2.7161458333333333E-2</v>
      </c>
      <c r="BY9" s="26">
        <v>1.146678966789668</v>
      </c>
      <c r="BZ9" s="26" t="s">
        <v>297</v>
      </c>
      <c r="CA9" s="26" t="s">
        <v>297</v>
      </c>
      <c r="CB9" s="26" t="s">
        <v>297</v>
      </c>
      <c r="CC9" s="26" t="s">
        <v>297</v>
      </c>
      <c r="CD9" s="26" t="s">
        <v>297</v>
      </c>
      <c r="CE9" s="26" t="s">
        <v>297</v>
      </c>
      <c r="CF9" s="26">
        <v>2.2629558541266794</v>
      </c>
      <c r="CG9" s="26" t="s">
        <v>297</v>
      </c>
      <c r="CH9" s="26">
        <v>0.61878704970360232</v>
      </c>
      <c r="CI9" s="26" t="s">
        <v>297</v>
      </c>
      <c r="CJ9" s="26" t="s">
        <v>297</v>
      </c>
      <c r="CK9" s="26" t="s">
        <v>297</v>
      </c>
      <c r="CL9" s="26">
        <v>2.5166666666666666</v>
      </c>
      <c r="CM9" s="26">
        <v>0.96766169154228854</v>
      </c>
      <c r="CN9" s="26" t="s">
        <v>297</v>
      </c>
      <c r="CO9" s="26">
        <v>0.62358490566037739</v>
      </c>
      <c r="CP9" s="26" t="s">
        <v>297</v>
      </c>
      <c r="CQ9" s="26" t="s">
        <v>297</v>
      </c>
      <c r="CR9" s="26" t="s">
        <v>297</v>
      </c>
      <c r="CS9" s="26" t="s">
        <v>297</v>
      </c>
      <c r="CT9" s="26" t="s">
        <v>297</v>
      </c>
      <c r="CU9" s="26" t="s">
        <v>297</v>
      </c>
      <c r="CV9" s="26" t="s">
        <v>297</v>
      </c>
      <c r="CW9" s="26" t="s">
        <v>297</v>
      </c>
      <c r="CX9" s="26">
        <v>0.33338518979464843</v>
      </c>
      <c r="CY9" s="26">
        <v>0.66681071737251507</v>
      </c>
      <c r="CZ9" s="26" t="s">
        <v>297</v>
      </c>
      <c r="DA9" s="26" t="s">
        <v>297</v>
      </c>
      <c r="DB9" s="26" t="s">
        <v>297</v>
      </c>
      <c r="DC9" s="26">
        <v>1.0266385825796061</v>
      </c>
      <c r="DD9" s="26">
        <v>53.166666666666664</v>
      </c>
      <c r="DE9" s="26" t="s">
        <v>297</v>
      </c>
      <c r="DF9" s="26" t="s">
        <v>297</v>
      </c>
      <c r="DG9" s="26" t="s">
        <v>297</v>
      </c>
      <c r="DH9" s="26" t="s">
        <v>297</v>
      </c>
      <c r="DI9" s="26" t="s">
        <v>297</v>
      </c>
      <c r="DJ9" s="26">
        <v>1.7842437551468571</v>
      </c>
      <c r="DK9" s="26" t="s">
        <v>297</v>
      </c>
      <c r="DL9" s="26" t="s">
        <v>297</v>
      </c>
      <c r="DM9" s="26" t="s">
        <v>297</v>
      </c>
      <c r="DN9" s="26" t="s">
        <v>297</v>
      </c>
      <c r="DO9" s="26" t="s">
        <v>297</v>
      </c>
      <c r="DP9" s="26">
        <v>1.036799459824443</v>
      </c>
      <c r="DQ9" s="26">
        <v>1.0858000000000001</v>
      </c>
      <c r="DR9" s="26">
        <v>1.4804878048780488</v>
      </c>
      <c r="DS9" s="26">
        <v>1.7814726840855106</v>
      </c>
      <c r="DT9" s="26">
        <v>10.133062351407316</v>
      </c>
      <c r="DU9" s="26" t="s">
        <v>297</v>
      </c>
      <c r="DV9" s="26">
        <v>0.82760451868301632</v>
      </c>
      <c r="DW9" s="26" t="s">
        <v>297</v>
      </c>
      <c r="DX9" s="26" t="s">
        <v>297</v>
      </c>
      <c r="DY9" s="26" t="s">
        <v>297</v>
      </c>
      <c r="DZ9" s="26" t="s">
        <v>297</v>
      </c>
      <c r="EA9" s="26" t="s">
        <v>297</v>
      </c>
      <c r="EB9" s="26" t="s">
        <v>297</v>
      </c>
      <c r="EC9" s="26">
        <v>28.300900900900899</v>
      </c>
      <c r="ED9" s="26" t="s">
        <v>297</v>
      </c>
      <c r="EE9" s="26" t="s">
        <v>297</v>
      </c>
      <c r="EF9" s="26" t="s">
        <v>297</v>
      </c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7"/>
      <c r="ES9" s="27"/>
      <c r="ET9" s="27"/>
      <c r="EU9" s="27"/>
    </row>
    <row r="10" spans="1:151" x14ac:dyDescent="0.2">
      <c r="A10" s="25" t="s">
        <v>298</v>
      </c>
      <c r="C10" s="26">
        <v>2.3029197080291972</v>
      </c>
      <c r="D10" s="26" t="s">
        <v>297</v>
      </c>
      <c r="E10" s="26" t="s">
        <v>297</v>
      </c>
      <c r="F10" s="26" t="s">
        <v>297</v>
      </c>
      <c r="G10" s="26">
        <v>0.23630303030303029</v>
      </c>
      <c r="H10" s="26" t="s">
        <v>297</v>
      </c>
      <c r="I10" s="26" t="s">
        <v>297</v>
      </c>
      <c r="J10" s="26"/>
      <c r="K10" s="26">
        <v>0.20254237288135593</v>
      </c>
      <c r="L10" s="26" t="s">
        <v>297</v>
      </c>
      <c r="M10" s="26" t="s">
        <v>297</v>
      </c>
      <c r="N10" s="26">
        <v>0.11176332472411364</v>
      </c>
      <c r="O10" s="26">
        <v>2.9892857142857143</v>
      </c>
      <c r="P10" s="26">
        <v>4.1997455470737917</v>
      </c>
      <c r="Q10" s="26">
        <v>3.3604444444444446</v>
      </c>
      <c r="R10" s="26">
        <v>0.69996543380573795</v>
      </c>
      <c r="S10" s="26">
        <v>11.585988023952096</v>
      </c>
      <c r="T10" s="26" t="s">
        <v>297</v>
      </c>
      <c r="U10" s="26" t="s">
        <v>297</v>
      </c>
      <c r="V10" s="26" t="s">
        <v>297</v>
      </c>
      <c r="W10" s="26" t="s">
        <v>297</v>
      </c>
      <c r="X10" s="26" t="s">
        <v>297</v>
      </c>
      <c r="Y10" s="26" t="s">
        <v>297</v>
      </c>
      <c r="Z10" s="26">
        <v>1.4923076923076923</v>
      </c>
      <c r="AA10" s="26">
        <v>3.8925294888597639</v>
      </c>
      <c r="AB10" s="26">
        <v>0.13743839474301808</v>
      </c>
      <c r="AC10" s="26">
        <v>0.17948008849557523</v>
      </c>
      <c r="AD10" s="26">
        <v>0.86701872299567928</v>
      </c>
      <c r="AE10" s="26" t="s">
        <v>297</v>
      </c>
      <c r="AF10" s="26" t="s">
        <v>297</v>
      </c>
      <c r="AG10" s="26" t="s">
        <v>297</v>
      </c>
      <c r="AH10" s="26">
        <v>0.48523550724637682</v>
      </c>
      <c r="AI10" s="26" t="s">
        <v>297</v>
      </c>
      <c r="AJ10" s="26" t="s">
        <v>297</v>
      </c>
      <c r="AK10" s="26" t="s">
        <v>297</v>
      </c>
      <c r="AL10" s="26">
        <v>0.48124881020369314</v>
      </c>
      <c r="AM10" s="26" t="s">
        <v>297</v>
      </c>
      <c r="AN10" s="26" t="s">
        <v>297</v>
      </c>
      <c r="AO10" s="26" t="s">
        <v>297</v>
      </c>
      <c r="AP10" s="26" t="s">
        <v>297</v>
      </c>
      <c r="AQ10" s="26" t="s">
        <v>297</v>
      </c>
      <c r="AR10" s="26" t="s">
        <v>297</v>
      </c>
      <c r="AS10" s="26"/>
      <c r="AT10" s="26">
        <v>2.3603603603603602</v>
      </c>
      <c r="AU10" s="26" t="s">
        <v>297</v>
      </c>
      <c r="AV10" s="26" t="s">
        <v>297</v>
      </c>
      <c r="AW10" s="26">
        <v>3.3736842105263158</v>
      </c>
      <c r="AX10" s="26">
        <v>0.36109960027285998</v>
      </c>
      <c r="AY10" s="26" t="s">
        <v>297</v>
      </c>
      <c r="AZ10" s="26" t="s">
        <v>297</v>
      </c>
      <c r="BA10" s="26" t="s">
        <v>297</v>
      </c>
      <c r="BB10" s="26" t="s">
        <v>297</v>
      </c>
      <c r="BC10" s="26" t="s">
        <v>297</v>
      </c>
      <c r="BD10" s="26" t="s">
        <v>297</v>
      </c>
      <c r="BE10" s="26" t="s">
        <v>297</v>
      </c>
      <c r="BF10" s="26">
        <v>16.671875</v>
      </c>
      <c r="BG10" s="26"/>
      <c r="BH10" s="26" t="s">
        <v>297</v>
      </c>
      <c r="BI10" s="26" t="s">
        <v>297</v>
      </c>
      <c r="BJ10" s="26" t="s">
        <v>297</v>
      </c>
      <c r="BK10" s="26">
        <v>1.0200181983621475</v>
      </c>
      <c r="BL10" s="26" t="s">
        <v>297</v>
      </c>
      <c r="BM10" s="26" t="s">
        <v>297</v>
      </c>
      <c r="BN10" s="26" t="s">
        <v>297</v>
      </c>
      <c r="BO10" s="26" t="s">
        <v>297</v>
      </c>
      <c r="BP10" s="26" t="s">
        <v>297</v>
      </c>
      <c r="BQ10" s="26" t="s">
        <v>297</v>
      </c>
      <c r="BR10" s="26" t="s">
        <v>297</v>
      </c>
      <c r="BS10" s="26" t="s">
        <v>297</v>
      </c>
      <c r="BT10" s="26" t="s">
        <v>297</v>
      </c>
      <c r="BU10" s="26" t="s">
        <v>297</v>
      </c>
      <c r="BV10" s="26" t="s">
        <v>297</v>
      </c>
      <c r="BW10" s="26" t="s">
        <v>297</v>
      </c>
      <c r="BX10" s="26">
        <v>2.7E-2</v>
      </c>
      <c r="BY10" s="26">
        <v>1.2580275229357798</v>
      </c>
      <c r="BZ10" s="26" t="s">
        <v>297</v>
      </c>
      <c r="CA10" s="26" t="s">
        <v>297</v>
      </c>
      <c r="CB10" s="26" t="s">
        <v>297</v>
      </c>
      <c r="CC10" s="26" t="s">
        <v>297</v>
      </c>
      <c r="CD10" s="26" t="s">
        <v>297</v>
      </c>
      <c r="CE10" s="26" t="s">
        <v>297</v>
      </c>
      <c r="CF10" s="26">
        <v>2.8032345013477089</v>
      </c>
      <c r="CG10" s="26" t="s">
        <v>297</v>
      </c>
      <c r="CH10" s="26" t="s">
        <v>297</v>
      </c>
      <c r="CI10" s="26" t="s">
        <v>297</v>
      </c>
      <c r="CJ10" s="26" t="s">
        <v>297</v>
      </c>
      <c r="CK10" s="26" t="s">
        <v>297</v>
      </c>
      <c r="CL10" s="26">
        <v>2.6847058823529411</v>
      </c>
      <c r="CM10" s="26">
        <v>1.008298755186722</v>
      </c>
      <c r="CN10" s="26" t="s">
        <v>297</v>
      </c>
      <c r="CO10" s="26">
        <v>0.67164179104477617</v>
      </c>
      <c r="CP10" s="26" t="s">
        <v>297</v>
      </c>
      <c r="CQ10" s="26" t="s">
        <v>297</v>
      </c>
      <c r="CR10" s="26" t="s">
        <v>297</v>
      </c>
      <c r="CS10" s="26" t="s">
        <v>297</v>
      </c>
      <c r="CT10" s="26" t="s">
        <v>297</v>
      </c>
      <c r="CU10" s="26" t="s">
        <v>297</v>
      </c>
      <c r="CV10" s="26" t="s">
        <v>297</v>
      </c>
      <c r="CW10" s="26" t="s">
        <v>297</v>
      </c>
      <c r="CX10" s="26">
        <v>0.16941176470588235</v>
      </c>
      <c r="CY10" s="26">
        <v>0.79259731971920866</v>
      </c>
      <c r="CZ10" s="26" t="s">
        <v>297</v>
      </c>
      <c r="DA10" s="26" t="s">
        <v>297</v>
      </c>
      <c r="DB10" s="26" t="s">
        <v>297</v>
      </c>
      <c r="DC10" s="26">
        <v>0.90365726227795196</v>
      </c>
      <c r="DD10" s="26">
        <v>20.73388429752066</v>
      </c>
      <c r="DE10" s="26" t="s">
        <v>297</v>
      </c>
      <c r="DF10" s="26" t="s">
        <v>297</v>
      </c>
      <c r="DG10" s="26" t="s">
        <v>297</v>
      </c>
      <c r="DH10" s="26" t="s">
        <v>297</v>
      </c>
      <c r="DI10" s="26" t="s">
        <v>297</v>
      </c>
      <c r="DJ10" s="26">
        <v>1.4003889369057909</v>
      </c>
      <c r="DK10" s="26" t="s">
        <v>297</v>
      </c>
      <c r="DL10" s="26" t="s">
        <v>297</v>
      </c>
      <c r="DM10" s="26" t="s">
        <v>297</v>
      </c>
      <c r="DN10" s="26" t="s">
        <v>297</v>
      </c>
      <c r="DO10" s="26" t="s">
        <v>297</v>
      </c>
      <c r="DP10" s="26">
        <v>1.3537675606641124</v>
      </c>
      <c r="DQ10" s="26">
        <v>0.93346007604562742</v>
      </c>
      <c r="DR10" s="26">
        <v>1.4471428571428571</v>
      </c>
      <c r="DS10" s="26">
        <v>1.2657580919931857</v>
      </c>
      <c r="DT10" s="26">
        <v>2.6475401944738612</v>
      </c>
      <c r="DU10" s="26" t="s">
        <v>297</v>
      </c>
      <c r="DV10" s="26">
        <v>0.67390333969078442</v>
      </c>
      <c r="DW10" s="26" t="s">
        <v>297</v>
      </c>
      <c r="DX10" s="26" t="s">
        <v>297</v>
      </c>
      <c r="DY10" s="26" t="s">
        <v>297</v>
      </c>
      <c r="DZ10" s="26" t="s">
        <v>297</v>
      </c>
      <c r="EA10" s="26" t="s">
        <v>297</v>
      </c>
      <c r="EB10" s="26" t="s">
        <v>297</v>
      </c>
      <c r="EC10" s="26">
        <v>27.962318840579709</v>
      </c>
      <c r="ED10" s="26" t="s">
        <v>297</v>
      </c>
      <c r="EE10" s="26" t="s">
        <v>297</v>
      </c>
      <c r="EF10" s="26" t="s">
        <v>297</v>
      </c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7"/>
      <c r="ES10" s="27"/>
      <c r="ET10" s="27"/>
      <c r="EU10" s="27"/>
    </row>
    <row r="11" spans="1:151" x14ac:dyDescent="0.2">
      <c r="A11" s="25" t="s">
        <v>299</v>
      </c>
      <c r="C11" s="26">
        <v>3.4323144104803491</v>
      </c>
      <c r="D11" s="26" t="s">
        <v>297</v>
      </c>
      <c r="E11" s="26" t="s">
        <v>297</v>
      </c>
      <c r="F11" s="26" t="s">
        <v>297</v>
      </c>
      <c r="G11" s="26">
        <v>0.20514285714285715</v>
      </c>
      <c r="H11" s="26" t="s">
        <v>297</v>
      </c>
      <c r="I11" s="26" t="s">
        <v>297</v>
      </c>
      <c r="J11" s="26"/>
      <c r="K11" s="26">
        <v>0.20514285714285715</v>
      </c>
      <c r="L11" s="26" t="s">
        <v>297</v>
      </c>
      <c r="M11" s="26">
        <v>20.212765957446809</v>
      </c>
      <c r="N11" s="26">
        <v>0.17096153846153847</v>
      </c>
      <c r="O11" s="26">
        <v>3.0289241622574954</v>
      </c>
      <c r="P11" s="26">
        <v>3.6908931698774081</v>
      </c>
      <c r="Q11" s="26">
        <v>2.2628571428571429</v>
      </c>
      <c r="R11" s="26">
        <v>0.82055555555555559</v>
      </c>
      <c r="S11" s="26">
        <v>10.860829424741846</v>
      </c>
      <c r="T11" s="26" t="s">
        <v>297</v>
      </c>
      <c r="U11" s="26" t="s">
        <v>297</v>
      </c>
      <c r="V11" s="26" t="s">
        <v>297</v>
      </c>
      <c r="W11" s="26" t="s">
        <v>297</v>
      </c>
      <c r="X11" s="26" t="s">
        <v>297</v>
      </c>
      <c r="Y11" s="26" t="s">
        <v>297</v>
      </c>
      <c r="Z11" s="26">
        <v>1.3677777777777778</v>
      </c>
      <c r="AA11" s="26">
        <v>2.7349999999999999</v>
      </c>
      <c r="AB11" s="26">
        <v>0.13673949579831932</v>
      </c>
      <c r="AC11" s="26">
        <v>0.54688653704159484</v>
      </c>
      <c r="AD11" s="26">
        <v>0.34183333333333332</v>
      </c>
      <c r="AE11" s="26" t="s">
        <v>297</v>
      </c>
      <c r="AF11" s="26" t="s">
        <v>297</v>
      </c>
      <c r="AG11" s="26" t="s">
        <v>297</v>
      </c>
      <c r="AH11" s="26">
        <v>0.82057553956834528</v>
      </c>
      <c r="AI11" s="26" t="s">
        <v>297</v>
      </c>
      <c r="AJ11" s="26" t="s">
        <v>297</v>
      </c>
      <c r="AK11" s="26" t="s">
        <v>297</v>
      </c>
      <c r="AL11" s="26">
        <v>0.54705882352941182</v>
      </c>
      <c r="AM11" s="26" t="s">
        <v>297</v>
      </c>
      <c r="AN11" s="26" t="s">
        <v>297</v>
      </c>
      <c r="AO11" s="26" t="s">
        <v>297</v>
      </c>
      <c r="AP11" s="26" t="s">
        <v>297</v>
      </c>
      <c r="AQ11" s="26" t="s">
        <v>297</v>
      </c>
      <c r="AR11" s="26" t="s">
        <v>297</v>
      </c>
      <c r="AS11" s="26"/>
      <c r="AT11" s="26">
        <v>1.3674796747967479</v>
      </c>
      <c r="AU11" s="26" t="s">
        <v>297</v>
      </c>
      <c r="AV11" s="26" t="s">
        <v>297</v>
      </c>
      <c r="AW11" s="26">
        <v>3.42</v>
      </c>
      <c r="AX11" s="26">
        <v>0.43326984126984125</v>
      </c>
      <c r="AY11" s="26" t="s">
        <v>297</v>
      </c>
      <c r="AZ11" s="26" t="s">
        <v>297</v>
      </c>
      <c r="BA11" s="26" t="s">
        <v>297</v>
      </c>
      <c r="BB11" s="26" t="s">
        <v>297</v>
      </c>
      <c r="BC11" s="26" t="s">
        <v>297</v>
      </c>
      <c r="BD11" s="26" t="s">
        <v>297</v>
      </c>
      <c r="BE11" s="26" t="s">
        <v>297</v>
      </c>
      <c r="BF11" s="26">
        <v>17.10144927536232</v>
      </c>
      <c r="BG11" s="26"/>
      <c r="BH11" s="26" t="s">
        <v>297</v>
      </c>
      <c r="BI11" s="26" t="s">
        <v>297</v>
      </c>
      <c r="BJ11" s="26" t="s">
        <v>297</v>
      </c>
      <c r="BK11" s="26" t="s">
        <v>297</v>
      </c>
      <c r="BL11" s="26">
        <v>2.3781512605042017</v>
      </c>
      <c r="BM11" s="26" t="s">
        <v>297</v>
      </c>
      <c r="BN11" s="26" t="s">
        <v>297</v>
      </c>
      <c r="BO11" s="26" t="s">
        <v>297</v>
      </c>
      <c r="BP11" s="26" t="s">
        <v>297</v>
      </c>
      <c r="BQ11" s="26" t="s">
        <v>297</v>
      </c>
      <c r="BR11" s="26" t="s">
        <v>297</v>
      </c>
      <c r="BS11" s="26" t="s">
        <v>297</v>
      </c>
      <c r="BT11" s="26" t="s">
        <v>297</v>
      </c>
      <c r="BU11" s="26" t="s">
        <v>297</v>
      </c>
      <c r="BV11" s="26" t="s">
        <v>297</v>
      </c>
      <c r="BW11" s="26" t="s">
        <v>297</v>
      </c>
      <c r="BX11" s="26">
        <v>2.7348837209302326E-2</v>
      </c>
      <c r="BY11" s="26">
        <v>0.9622222222222222</v>
      </c>
      <c r="BZ11" s="26" t="s">
        <v>297</v>
      </c>
      <c r="CA11" s="26" t="s">
        <v>297</v>
      </c>
      <c r="CB11" s="26" t="s">
        <v>297</v>
      </c>
      <c r="CC11" s="26" t="s">
        <v>297</v>
      </c>
      <c r="CD11" s="26" t="s">
        <v>297</v>
      </c>
      <c r="CE11" s="26" t="s">
        <v>297</v>
      </c>
      <c r="CF11" s="26">
        <v>4.7850000000000001</v>
      </c>
      <c r="CG11" s="26" t="s">
        <v>297</v>
      </c>
      <c r="CH11" s="26">
        <v>0.54700256589689755</v>
      </c>
      <c r="CI11" s="26" t="s">
        <v>297</v>
      </c>
      <c r="CJ11" s="26" t="s">
        <v>297</v>
      </c>
      <c r="CK11" s="26" t="s">
        <v>297</v>
      </c>
      <c r="CL11" s="26">
        <v>2.7358916478555306</v>
      </c>
      <c r="CM11" s="26">
        <v>1.0982142857142858</v>
      </c>
      <c r="CN11" s="26" t="s">
        <v>297</v>
      </c>
      <c r="CO11" s="26">
        <v>0.61567164179104472</v>
      </c>
      <c r="CP11" s="26" t="s">
        <v>297</v>
      </c>
      <c r="CQ11" s="26" t="s">
        <v>297</v>
      </c>
      <c r="CR11" s="26" t="s">
        <v>297</v>
      </c>
      <c r="CS11" s="26" t="s">
        <v>297</v>
      </c>
      <c r="CT11" s="26" t="s">
        <v>297</v>
      </c>
      <c r="CU11" s="26" t="s">
        <v>297</v>
      </c>
      <c r="CV11" s="26" t="s">
        <v>297</v>
      </c>
      <c r="CW11" s="26" t="s">
        <v>297</v>
      </c>
      <c r="CX11" s="26">
        <v>0.34170212765957447</v>
      </c>
      <c r="CY11" s="26">
        <v>1.1619999999999999</v>
      </c>
      <c r="CZ11" s="26" t="s">
        <v>297</v>
      </c>
      <c r="DA11" s="26" t="s">
        <v>297</v>
      </c>
      <c r="DB11" s="26" t="s">
        <v>297</v>
      </c>
      <c r="DC11" s="26">
        <v>1.1288258208124653</v>
      </c>
      <c r="DD11" s="26">
        <v>76.6262443438914</v>
      </c>
      <c r="DE11" s="26" t="s">
        <v>297</v>
      </c>
      <c r="DF11" s="26" t="s">
        <v>297</v>
      </c>
      <c r="DG11" s="26" t="s">
        <v>297</v>
      </c>
      <c r="DH11" s="26" t="s">
        <v>297</v>
      </c>
      <c r="DI11" s="26" t="s">
        <v>297</v>
      </c>
      <c r="DJ11" s="26">
        <v>2.0512000000000001</v>
      </c>
      <c r="DK11" s="26" t="s">
        <v>297</v>
      </c>
      <c r="DL11" s="26" t="s">
        <v>297</v>
      </c>
      <c r="DM11" s="26" t="s">
        <v>297</v>
      </c>
      <c r="DN11" s="26" t="s">
        <v>297</v>
      </c>
      <c r="DO11" s="26" t="s">
        <v>297</v>
      </c>
      <c r="DP11" s="26">
        <v>1.2309375</v>
      </c>
      <c r="DQ11" s="26">
        <v>1.2307999999999999</v>
      </c>
      <c r="DR11" s="26">
        <v>1.6418181818181818</v>
      </c>
      <c r="DS11" s="26">
        <v>1.6410748560460653</v>
      </c>
      <c r="DT11" s="26">
        <v>2.7070398821424813</v>
      </c>
      <c r="DU11" s="26" t="s">
        <v>297</v>
      </c>
      <c r="DV11" s="26">
        <v>0.82050000000000001</v>
      </c>
      <c r="DW11" s="26" t="s">
        <v>297</v>
      </c>
      <c r="DX11" s="26" t="s">
        <v>297</v>
      </c>
      <c r="DY11" s="26" t="s">
        <v>297</v>
      </c>
      <c r="DZ11" s="26" t="s">
        <v>297</v>
      </c>
      <c r="EA11" s="26" t="s">
        <v>297</v>
      </c>
      <c r="EB11" s="26" t="s">
        <v>297</v>
      </c>
      <c r="EC11" s="26">
        <v>22.744444444444444</v>
      </c>
      <c r="ED11" s="26" t="s">
        <v>297</v>
      </c>
      <c r="EE11" s="26" t="s">
        <v>297</v>
      </c>
      <c r="EF11" s="26" t="s">
        <v>297</v>
      </c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7"/>
      <c r="ES11" s="27"/>
      <c r="ET11" s="27"/>
      <c r="EU11" s="27"/>
    </row>
    <row r="12" spans="1:151" x14ac:dyDescent="0.2">
      <c r="A12" s="25" t="s">
        <v>319</v>
      </c>
      <c r="C12" s="26">
        <v>4.3499999999999996</v>
      </c>
      <c r="D12" s="26" t="s">
        <v>297</v>
      </c>
      <c r="E12" s="26" t="s">
        <v>297</v>
      </c>
      <c r="F12" s="26" t="s">
        <v>297</v>
      </c>
      <c r="G12" s="26">
        <v>0.23075000000000001</v>
      </c>
      <c r="H12" s="26" t="s">
        <v>297</v>
      </c>
      <c r="I12" s="26" t="s">
        <v>297</v>
      </c>
      <c r="J12" s="26"/>
      <c r="K12" s="26">
        <v>0.20538461538461539</v>
      </c>
      <c r="L12" s="26" t="s">
        <v>297</v>
      </c>
      <c r="M12" s="26">
        <v>22.852941176470587</v>
      </c>
      <c r="N12" s="26">
        <v>0.13376811594202898</v>
      </c>
      <c r="O12" s="26">
        <v>2.8394957983193279</v>
      </c>
      <c r="P12" s="26">
        <v>3.6942090395480225</v>
      </c>
      <c r="Q12" s="26">
        <v>2.3567401960784315</v>
      </c>
      <c r="R12" s="26">
        <v>0.92300000000000004</v>
      </c>
      <c r="S12" s="26">
        <v>11.932143802542271</v>
      </c>
      <c r="T12" s="26" t="s">
        <v>297</v>
      </c>
      <c r="U12" s="26" t="s">
        <v>297</v>
      </c>
      <c r="V12" s="26" t="s">
        <v>297</v>
      </c>
      <c r="W12" s="26" t="s">
        <v>297</v>
      </c>
      <c r="X12" s="26" t="s">
        <v>297</v>
      </c>
      <c r="Y12" s="26" t="s">
        <v>297</v>
      </c>
      <c r="Z12" s="26">
        <v>1.3992537313432836</v>
      </c>
      <c r="AA12" s="26">
        <v>3.0766666666666667</v>
      </c>
      <c r="AB12" s="26">
        <v>0.23077777777777778</v>
      </c>
      <c r="AC12" s="26">
        <v>0.60136363636363632</v>
      </c>
      <c r="AD12" s="26">
        <v>0.38460207612456748</v>
      </c>
      <c r="AE12" s="26" t="s">
        <v>297</v>
      </c>
      <c r="AF12" s="26" t="s">
        <v>297</v>
      </c>
      <c r="AG12" s="26" t="s">
        <v>297</v>
      </c>
      <c r="AH12" s="26">
        <v>0.92294607926518113</v>
      </c>
      <c r="AI12" s="26" t="s">
        <v>297</v>
      </c>
      <c r="AJ12" s="26" t="s">
        <v>297</v>
      </c>
      <c r="AK12" s="26" t="s">
        <v>297</v>
      </c>
      <c r="AL12" s="26">
        <v>0.61538461538461542</v>
      </c>
      <c r="AM12" s="26" t="s">
        <v>297</v>
      </c>
      <c r="AN12" s="26" t="s">
        <v>297</v>
      </c>
      <c r="AO12" s="26" t="s">
        <v>297</v>
      </c>
      <c r="AP12" s="26" t="s">
        <v>297</v>
      </c>
      <c r="AQ12" s="26" t="s">
        <v>297</v>
      </c>
      <c r="AR12" s="26" t="s">
        <v>297</v>
      </c>
      <c r="AS12" s="26"/>
      <c r="AT12" s="26">
        <v>1.5383333333333333</v>
      </c>
      <c r="AU12" s="26" t="s">
        <v>297</v>
      </c>
      <c r="AV12" s="26" t="s">
        <v>297</v>
      </c>
      <c r="AW12" s="26">
        <v>3.8476190476190477</v>
      </c>
      <c r="AX12" s="26">
        <v>0.48125476896990249</v>
      </c>
      <c r="AY12" s="26" t="s">
        <v>297</v>
      </c>
      <c r="AZ12" s="26" t="s">
        <v>297</v>
      </c>
      <c r="BA12" s="26" t="s">
        <v>297</v>
      </c>
      <c r="BB12" s="26" t="s">
        <v>297</v>
      </c>
      <c r="BC12" s="26" t="s">
        <v>297</v>
      </c>
      <c r="BD12" s="26" t="s">
        <v>297</v>
      </c>
      <c r="BE12" s="26" t="s">
        <v>297</v>
      </c>
      <c r="BF12" s="26">
        <v>19.228260869565219</v>
      </c>
      <c r="BG12" s="26"/>
      <c r="BH12" s="26" t="s">
        <v>297</v>
      </c>
      <c r="BI12" s="26" t="s">
        <v>297</v>
      </c>
      <c r="BJ12" s="26" t="s">
        <v>297</v>
      </c>
      <c r="BK12" s="26" t="s">
        <v>297</v>
      </c>
      <c r="BL12" s="26">
        <v>1.6872890888638921</v>
      </c>
      <c r="BM12" s="26" t="s">
        <v>297</v>
      </c>
      <c r="BN12" s="26" t="s">
        <v>297</v>
      </c>
      <c r="BO12" s="26" t="s">
        <v>297</v>
      </c>
      <c r="BP12" s="26" t="s">
        <v>297</v>
      </c>
      <c r="BQ12" s="26" t="s">
        <v>297</v>
      </c>
      <c r="BR12" s="26" t="s">
        <v>297</v>
      </c>
      <c r="BS12" s="26" t="s">
        <v>297</v>
      </c>
      <c r="BT12" s="26" t="s">
        <v>297</v>
      </c>
      <c r="BU12" s="26" t="s">
        <v>297</v>
      </c>
      <c r="BV12" s="26" t="s">
        <v>297</v>
      </c>
      <c r="BW12" s="26" t="s">
        <v>297</v>
      </c>
      <c r="BX12" s="26">
        <v>3.077094972067039E-2</v>
      </c>
      <c r="BY12" s="26">
        <v>1.2103999999999999</v>
      </c>
      <c r="BZ12" s="26" t="s">
        <v>297</v>
      </c>
      <c r="CA12" s="26" t="s">
        <v>297</v>
      </c>
      <c r="CB12" s="26" t="s">
        <v>297</v>
      </c>
      <c r="CC12" s="26" t="s">
        <v>297</v>
      </c>
      <c r="CD12" s="26" t="s">
        <v>297</v>
      </c>
      <c r="CE12" s="26" t="s">
        <v>297</v>
      </c>
      <c r="CF12" s="26">
        <v>5.3891050583657591</v>
      </c>
      <c r="CG12" s="26" t="s">
        <v>297</v>
      </c>
      <c r="CH12" s="26">
        <v>0.61538461538461542</v>
      </c>
      <c r="CI12" s="26" t="s">
        <v>297</v>
      </c>
      <c r="CJ12" s="26" t="s">
        <v>297</v>
      </c>
      <c r="CK12" s="26" t="s">
        <v>297</v>
      </c>
      <c r="CL12" s="26">
        <v>3.074074074074074</v>
      </c>
      <c r="CM12" s="26">
        <v>1.25</v>
      </c>
      <c r="CN12" s="26" t="s">
        <v>297</v>
      </c>
      <c r="CO12" s="26">
        <v>0.76923076923076927</v>
      </c>
      <c r="CP12" s="26" t="s">
        <v>297</v>
      </c>
      <c r="CQ12" s="26" t="s">
        <v>297</v>
      </c>
      <c r="CR12" s="26" t="s">
        <v>297</v>
      </c>
      <c r="CS12" s="26" t="s">
        <v>297</v>
      </c>
      <c r="CT12" s="26" t="s">
        <v>297</v>
      </c>
      <c r="CU12" s="26" t="s">
        <v>297</v>
      </c>
      <c r="CV12" s="26" t="s">
        <v>297</v>
      </c>
      <c r="CW12" s="26" t="s">
        <v>297</v>
      </c>
      <c r="CX12" s="26">
        <v>0.38472222222222224</v>
      </c>
      <c r="CY12" s="26">
        <v>1.3142633228840126</v>
      </c>
      <c r="CZ12" s="26" t="s">
        <v>297</v>
      </c>
      <c r="DA12" s="26" t="s">
        <v>297</v>
      </c>
      <c r="DB12" s="26" t="s">
        <v>297</v>
      </c>
      <c r="DC12" s="26">
        <v>1.8459513856634153</v>
      </c>
      <c r="DD12" s="26">
        <v>86.16</v>
      </c>
      <c r="DE12" s="26" t="s">
        <v>297</v>
      </c>
      <c r="DF12" s="26" t="s">
        <v>297</v>
      </c>
      <c r="DG12" s="26" t="s">
        <v>297</v>
      </c>
      <c r="DH12" s="26" t="s">
        <v>297</v>
      </c>
      <c r="DI12" s="26" t="s">
        <v>297</v>
      </c>
      <c r="DJ12" s="26">
        <v>2.3048780487804876</v>
      </c>
      <c r="DK12" s="26" t="s">
        <v>297</v>
      </c>
      <c r="DL12" s="26" t="s">
        <v>297</v>
      </c>
      <c r="DM12" s="26" t="s">
        <v>297</v>
      </c>
      <c r="DN12" s="26" t="s">
        <v>297</v>
      </c>
      <c r="DO12" s="26" t="s">
        <v>297</v>
      </c>
      <c r="DP12" s="26">
        <v>1.1537577087906346</v>
      </c>
      <c r="DQ12" s="26">
        <v>1.076857142857143</v>
      </c>
      <c r="DR12" s="26">
        <v>1.5388235294117647</v>
      </c>
      <c r="DS12" s="26">
        <v>1.8459821428571428</v>
      </c>
      <c r="DT12" s="26">
        <v>2.9182485788078845</v>
      </c>
      <c r="DU12" s="26" t="s">
        <v>297</v>
      </c>
      <c r="DV12" s="26">
        <v>0.76921052631578946</v>
      </c>
      <c r="DW12" s="26" t="s">
        <v>297</v>
      </c>
      <c r="DX12" s="26" t="s">
        <v>297</v>
      </c>
      <c r="DY12" s="26" t="s">
        <v>297</v>
      </c>
      <c r="DZ12" s="26" t="s">
        <v>297</v>
      </c>
      <c r="EA12" s="26" t="s">
        <v>297</v>
      </c>
      <c r="EB12" s="26" t="s">
        <v>297</v>
      </c>
      <c r="EC12" s="26">
        <v>18.546772068511199</v>
      </c>
      <c r="ED12" s="26" t="s">
        <v>297</v>
      </c>
      <c r="EE12" s="26" t="s">
        <v>297</v>
      </c>
      <c r="EF12" s="26" t="s">
        <v>297</v>
      </c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7"/>
      <c r="ES12" s="27"/>
      <c r="ET12" s="27"/>
      <c r="EU12" s="27"/>
    </row>
    <row r="13" spans="1:151" x14ac:dyDescent="0.2">
      <c r="A13" s="25" t="s">
        <v>300</v>
      </c>
      <c r="C13" s="26">
        <v>2.8421052631578947</v>
      </c>
      <c r="D13" s="26" t="s">
        <v>297</v>
      </c>
      <c r="E13" s="26" t="s">
        <v>297</v>
      </c>
      <c r="F13" s="26" t="s">
        <v>297</v>
      </c>
      <c r="G13" s="26">
        <v>0.25</v>
      </c>
      <c r="H13" s="26" t="s">
        <v>297</v>
      </c>
      <c r="I13" s="26" t="s">
        <v>297</v>
      </c>
      <c r="J13" s="26"/>
      <c r="K13" s="26">
        <v>0.19921052631578948</v>
      </c>
      <c r="L13" s="26" t="s">
        <v>297</v>
      </c>
      <c r="M13" s="26">
        <v>17.597014925373134</v>
      </c>
      <c r="N13" s="26">
        <v>0.20083333333333334</v>
      </c>
      <c r="O13" s="26">
        <v>0.11610768500948766</v>
      </c>
      <c r="P13" s="26">
        <v>3.4375</v>
      </c>
      <c r="Q13" s="26">
        <v>4.2856944444444443</v>
      </c>
      <c r="R13" s="26">
        <v>0.85719999999999996</v>
      </c>
      <c r="S13" s="26">
        <v>7.2437648973896867</v>
      </c>
      <c r="T13" s="26" t="s">
        <v>297</v>
      </c>
      <c r="U13" s="26" t="s">
        <v>297</v>
      </c>
      <c r="V13" s="26" t="s">
        <v>297</v>
      </c>
      <c r="W13" s="26" t="s">
        <v>297</v>
      </c>
      <c r="X13" s="26" t="s">
        <v>297</v>
      </c>
      <c r="Y13" s="26" t="s">
        <v>297</v>
      </c>
      <c r="Z13" s="26">
        <v>1.0723055934515688</v>
      </c>
      <c r="AA13" s="26">
        <v>2.5712958662331631</v>
      </c>
      <c r="AB13" s="26">
        <v>0.16984444444444444</v>
      </c>
      <c r="AC13" s="26">
        <v>0.57843137254901966</v>
      </c>
      <c r="AD13" s="26">
        <v>0.35716417910447762</v>
      </c>
      <c r="AE13" s="26" t="s">
        <v>297</v>
      </c>
      <c r="AF13" s="26" t="s">
        <v>297</v>
      </c>
      <c r="AG13" s="26" t="s">
        <v>297</v>
      </c>
      <c r="AH13" s="26">
        <v>0.85719668425018836</v>
      </c>
      <c r="AI13" s="26" t="s">
        <v>297</v>
      </c>
      <c r="AJ13" s="26" t="s">
        <v>297</v>
      </c>
      <c r="AK13" s="26" t="s">
        <v>297</v>
      </c>
      <c r="AL13" s="26">
        <v>0.5714285714285714</v>
      </c>
      <c r="AM13" s="26" t="s">
        <v>297</v>
      </c>
      <c r="AN13" s="26" t="s">
        <v>297</v>
      </c>
      <c r="AO13" s="26" t="s">
        <v>297</v>
      </c>
      <c r="AP13" s="26" t="s">
        <v>297</v>
      </c>
      <c r="AQ13" s="26" t="s">
        <v>297</v>
      </c>
      <c r="AR13" s="26" t="s">
        <v>297</v>
      </c>
      <c r="AS13" s="26"/>
      <c r="AT13" s="26">
        <v>1.4283582089552238</v>
      </c>
      <c r="AU13" s="26" t="s">
        <v>297</v>
      </c>
      <c r="AV13" s="26" t="s">
        <v>297</v>
      </c>
      <c r="AW13" s="26">
        <v>3.57</v>
      </c>
      <c r="AX13" s="26">
        <v>0.38687398769031422</v>
      </c>
      <c r="AY13" s="26" t="s">
        <v>297</v>
      </c>
      <c r="AZ13" s="26" t="s">
        <v>297</v>
      </c>
      <c r="BA13" s="26" t="s">
        <v>297</v>
      </c>
      <c r="BB13" s="26" t="s">
        <v>297</v>
      </c>
      <c r="BC13" s="26" t="s">
        <v>297</v>
      </c>
      <c r="BD13" s="26" t="s">
        <v>297</v>
      </c>
      <c r="BE13" s="26" t="s">
        <v>297</v>
      </c>
      <c r="BF13" s="26">
        <v>17.86</v>
      </c>
      <c r="BG13" s="26"/>
      <c r="BH13" s="26" t="s">
        <v>297</v>
      </c>
      <c r="BI13" s="26" t="s">
        <v>297</v>
      </c>
      <c r="BJ13" s="26" t="s">
        <v>297</v>
      </c>
      <c r="BK13" s="26" t="s">
        <v>297</v>
      </c>
      <c r="BL13" s="26">
        <v>2.5</v>
      </c>
      <c r="BM13" s="26" t="s">
        <v>297</v>
      </c>
      <c r="BN13" s="26" t="s">
        <v>297</v>
      </c>
      <c r="BO13" s="26" t="s">
        <v>297</v>
      </c>
      <c r="BP13" s="26" t="s">
        <v>297</v>
      </c>
      <c r="BQ13" s="26" t="s">
        <v>297</v>
      </c>
      <c r="BR13" s="26" t="s">
        <v>297</v>
      </c>
      <c r="BS13" s="26" t="s">
        <v>297</v>
      </c>
      <c r="BT13" s="26" t="s">
        <v>297</v>
      </c>
      <c r="BU13" s="26" t="s">
        <v>297</v>
      </c>
      <c r="BV13" s="26" t="s">
        <v>297</v>
      </c>
      <c r="BW13" s="26" t="s">
        <v>297</v>
      </c>
      <c r="BX13" s="26">
        <v>2.8567741935483872E-2</v>
      </c>
      <c r="BY13" s="26">
        <v>1.1072500000000001</v>
      </c>
      <c r="BZ13" s="26" t="s">
        <v>297</v>
      </c>
      <c r="CA13" s="26" t="s">
        <v>297</v>
      </c>
      <c r="CB13" s="26" t="s">
        <v>297</v>
      </c>
      <c r="CC13" s="26" t="s">
        <v>297</v>
      </c>
      <c r="CD13" s="26" t="s">
        <v>297</v>
      </c>
      <c r="CE13" s="26" t="s">
        <v>297</v>
      </c>
      <c r="CF13" s="26">
        <v>2.3809523809523809</v>
      </c>
      <c r="CG13" s="26" t="s">
        <v>297</v>
      </c>
      <c r="CH13" s="26">
        <v>0.44569782791311652</v>
      </c>
      <c r="CI13" s="26" t="s">
        <v>297</v>
      </c>
      <c r="CJ13" s="26" t="s">
        <v>297</v>
      </c>
      <c r="CK13" s="26" t="s">
        <v>297</v>
      </c>
      <c r="CL13" s="26">
        <v>3.5724999999999998</v>
      </c>
      <c r="CM13" s="26">
        <v>1.0306878306878307</v>
      </c>
      <c r="CN13" s="26" t="s">
        <v>297</v>
      </c>
      <c r="CO13" s="26">
        <v>0.8571428571428571</v>
      </c>
      <c r="CP13" s="26" t="s">
        <v>297</v>
      </c>
      <c r="CQ13" s="26" t="s">
        <v>297</v>
      </c>
      <c r="CR13" s="26" t="s">
        <v>297</v>
      </c>
      <c r="CS13" s="26" t="s">
        <v>297</v>
      </c>
      <c r="CT13" s="26" t="s">
        <v>297</v>
      </c>
      <c r="CU13" s="26" t="s">
        <v>297</v>
      </c>
      <c r="CV13" s="26" t="s">
        <v>297</v>
      </c>
      <c r="CW13" s="26" t="s">
        <v>297</v>
      </c>
      <c r="CX13" s="26">
        <v>0.42596491228070177</v>
      </c>
      <c r="CY13" s="26">
        <v>1.2865800865800865</v>
      </c>
      <c r="CZ13" s="26" t="s">
        <v>297</v>
      </c>
      <c r="DA13" s="26" t="s">
        <v>297</v>
      </c>
      <c r="DB13" s="26" t="s">
        <v>297</v>
      </c>
      <c r="DC13" s="26">
        <v>1.6395454545454546</v>
      </c>
      <c r="DD13" s="26">
        <v>79.981176470588238</v>
      </c>
      <c r="DE13" s="26" t="s">
        <v>297</v>
      </c>
      <c r="DF13" s="26" t="s">
        <v>297</v>
      </c>
      <c r="DG13" s="26" t="s">
        <v>297</v>
      </c>
      <c r="DH13" s="26" t="s">
        <v>297</v>
      </c>
      <c r="DI13" s="26" t="s">
        <v>297</v>
      </c>
      <c r="DJ13" s="26">
        <v>1.7857777777777777</v>
      </c>
      <c r="DK13" s="26" t="s">
        <v>297</v>
      </c>
      <c r="DL13" s="26" t="s">
        <v>297</v>
      </c>
      <c r="DM13" s="26" t="s">
        <v>297</v>
      </c>
      <c r="DN13" s="26" t="s">
        <v>297</v>
      </c>
      <c r="DO13" s="26" t="s">
        <v>297</v>
      </c>
      <c r="DP13" s="26">
        <v>1.0716666666666668</v>
      </c>
      <c r="DQ13" s="26">
        <v>0.96433333333333338</v>
      </c>
      <c r="DR13" s="26">
        <v>1.0714285714285714</v>
      </c>
      <c r="DS13" s="26">
        <v>1.2857142857142858</v>
      </c>
      <c r="DT13" s="26">
        <v>4.0384615384615383</v>
      </c>
      <c r="DU13" s="26" t="s">
        <v>297</v>
      </c>
      <c r="DV13" s="26">
        <v>0.72337579617834391</v>
      </c>
      <c r="DW13" s="26" t="s">
        <v>297</v>
      </c>
      <c r="DX13" s="26" t="s">
        <v>297</v>
      </c>
      <c r="DY13" s="26" t="s">
        <v>297</v>
      </c>
      <c r="DZ13" s="26" t="s">
        <v>297</v>
      </c>
      <c r="EA13" s="26" t="s">
        <v>297</v>
      </c>
      <c r="EB13" s="26" t="s">
        <v>297</v>
      </c>
      <c r="EC13" s="26">
        <v>16.746666666666666</v>
      </c>
      <c r="ED13" s="26" t="s">
        <v>297</v>
      </c>
      <c r="EE13" s="26" t="s">
        <v>297</v>
      </c>
      <c r="EF13" s="26" t="s">
        <v>297</v>
      </c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7"/>
      <c r="ES13" s="27"/>
      <c r="ET13" s="27"/>
      <c r="EU13" s="27"/>
    </row>
    <row r="14" spans="1:151" x14ac:dyDescent="0.2">
      <c r="A14" s="25" t="s">
        <v>301</v>
      </c>
      <c r="C14" s="26" t="s">
        <v>297</v>
      </c>
      <c r="D14" s="26" t="s">
        <v>297</v>
      </c>
      <c r="E14" s="26" t="s">
        <v>297</v>
      </c>
      <c r="F14" s="26" t="s">
        <v>297</v>
      </c>
      <c r="G14" s="26">
        <v>0.1875</v>
      </c>
      <c r="H14" s="26" t="s">
        <v>297</v>
      </c>
      <c r="I14" s="26" t="s">
        <v>297</v>
      </c>
      <c r="J14" s="26"/>
      <c r="K14" s="26">
        <v>0.15523076923076923</v>
      </c>
      <c r="L14" s="26" t="s">
        <v>297</v>
      </c>
      <c r="M14" s="26">
        <v>14.06</v>
      </c>
      <c r="N14" s="26">
        <v>0.125</v>
      </c>
      <c r="O14" s="26">
        <v>2.4603174603174605</v>
      </c>
      <c r="P14" s="26">
        <v>3.1246153846153848</v>
      </c>
      <c r="Q14" s="26">
        <v>3.1248</v>
      </c>
      <c r="R14" s="26">
        <v>0.75</v>
      </c>
      <c r="S14" s="26">
        <v>7.7460235308277907</v>
      </c>
      <c r="T14" s="26" t="s">
        <v>297</v>
      </c>
      <c r="U14" s="26" t="s">
        <v>297</v>
      </c>
      <c r="V14" s="26" t="s">
        <v>297</v>
      </c>
      <c r="W14" s="26" t="s">
        <v>297</v>
      </c>
      <c r="X14" s="26" t="s">
        <v>297</v>
      </c>
      <c r="Y14" s="26" t="s">
        <v>297</v>
      </c>
      <c r="Z14" s="26">
        <v>1.1067796610169491</v>
      </c>
      <c r="AA14" s="26">
        <v>2.25</v>
      </c>
      <c r="AB14" s="26">
        <v>0.15623999999999999</v>
      </c>
      <c r="AC14" s="26">
        <v>0.5</v>
      </c>
      <c r="AD14" s="26">
        <v>0.375</v>
      </c>
      <c r="AE14" s="26" t="s">
        <v>297</v>
      </c>
      <c r="AF14" s="26" t="s">
        <v>297</v>
      </c>
      <c r="AG14" s="26" t="s">
        <v>297</v>
      </c>
      <c r="AH14" s="26">
        <v>0.81120000000000003</v>
      </c>
      <c r="AI14" s="26" t="s">
        <v>297</v>
      </c>
      <c r="AJ14" s="26" t="s">
        <v>297</v>
      </c>
      <c r="AK14" s="26" t="s">
        <v>297</v>
      </c>
      <c r="AL14" s="26">
        <v>0.4375</v>
      </c>
      <c r="AM14" s="26" t="s">
        <v>297</v>
      </c>
      <c r="AN14" s="26" t="s">
        <v>297</v>
      </c>
      <c r="AO14" s="26" t="s">
        <v>297</v>
      </c>
      <c r="AP14" s="26" t="s">
        <v>297</v>
      </c>
      <c r="AQ14" s="26" t="s">
        <v>297</v>
      </c>
      <c r="AR14" s="26" t="s">
        <v>297</v>
      </c>
      <c r="AS14" s="26"/>
      <c r="AT14" s="26">
        <v>1.249090909090909</v>
      </c>
      <c r="AU14" s="26" t="s">
        <v>297</v>
      </c>
      <c r="AV14" s="26" t="s">
        <v>297</v>
      </c>
      <c r="AW14" s="26">
        <v>3.125</v>
      </c>
      <c r="AX14" s="26">
        <v>0.35117370892018779</v>
      </c>
      <c r="AY14" s="26" t="s">
        <v>297</v>
      </c>
      <c r="AZ14" s="26" t="s">
        <v>297</v>
      </c>
      <c r="BA14" s="26" t="s">
        <v>297</v>
      </c>
      <c r="BB14" s="26" t="s">
        <v>297</v>
      </c>
      <c r="BC14" s="26" t="s">
        <v>297</v>
      </c>
      <c r="BD14" s="26" t="s">
        <v>297</v>
      </c>
      <c r="BE14" s="26" t="s">
        <v>297</v>
      </c>
      <c r="BF14" s="26">
        <v>15.625</v>
      </c>
      <c r="BG14" s="26"/>
      <c r="BH14" s="26" t="s">
        <v>297</v>
      </c>
      <c r="BI14" s="26" t="s">
        <v>297</v>
      </c>
      <c r="BJ14" s="26" t="s">
        <v>297</v>
      </c>
      <c r="BK14" s="26" t="s">
        <v>297</v>
      </c>
      <c r="BL14" s="26">
        <v>1.4917647058823529</v>
      </c>
      <c r="BM14" s="26" t="s">
        <v>297</v>
      </c>
      <c r="BN14" s="26" t="s">
        <v>297</v>
      </c>
      <c r="BO14" s="26" t="s">
        <v>297</v>
      </c>
      <c r="BP14" s="26" t="s">
        <v>297</v>
      </c>
      <c r="BQ14" s="26" t="s">
        <v>297</v>
      </c>
      <c r="BR14" s="26" t="s">
        <v>297</v>
      </c>
      <c r="BS14" s="26" t="s">
        <v>297</v>
      </c>
      <c r="BT14" s="26" t="s">
        <v>297</v>
      </c>
      <c r="BU14" s="26" t="s">
        <v>297</v>
      </c>
      <c r="BV14" s="26" t="s">
        <v>297</v>
      </c>
      <c r="BW14" s="26" t="s">
        <v>297</v>
      </c>
      <c r="BX14" s="26">
        <v>2.5000000000000001E-2</v>
      </c>
      <c r="BY14" s="26">
        <v>1.0416666666666667</v>
      </c>
      <c r="BZ14" s="26" t="s">
        <v>297</v>
      </c>
      <c r="CA14" s="26" t="s">
        <v>297</v>
      </c>
      <c r="CB14" s="26" t="s">
        <v>297</v>
      </c>
      <c r="CC14" s="26" t="s">
        <v>297</v>
      </c>
      <c r="CD14" s="26" t="s">
        <v>297</v>
      </c>
      <c r="CE14" s="26" t="s">
        <v>297</v>
      </c>
      <c r="CF14" s="26">
        <v>2.1739999999999999</v>
      </c>
      <c r="CG14" s="26" t="s">
        <v>297</v>
      </c>
      <c r="CH14" s="26">
        <v>0.66400000000000003</v>
      </c>
      <c r="CI14" s="26" t="s">
        <v>297</v>
      </c>
      <c r="CJ14" s="26" t="s">
        <v>297</v>
      </c>
      <c r="CK14" s="26" t="s">
        <v>297</v>
      </c>
      <c r="CL14" s="26">
        <v>3.1233333333333335</v>
      </c>
      <c r="CM14" s="26">
        <v>0.89</v>
      </c>
      <c r="CN14" s="26" t="s">
        <v>297</v>
      </c>
      <c r="CO14" s="26">
        <v>1.1246666666666667</v>
      </c>
      <c r="CP14" s="26" t="s">
        <v>297</v>
      </c>
      <c r="CQ14" s="26" t="s">
        <v>297</v>
      </c>
      <c r="CR14" s="26" t="s">
        <v>297</v>
      </c>
      <c r="CS14" s="26" t="s">
        <v>297</v>
      </c>
      <c r="CT14" s="26" t="s">
        <v>297</v>
      </c>
      <c r="CU14" s="26" t="s">
        <v>297</v>
      </c>
      <c r="CV14" s="26" t="s">
        <v>297</v>
      </c>
      <c r="CW14" s="26" t="s">
        <v>297</v>
      </c>
      <c r="CX14" s="26">
        <v>0.31230769230769229</v>
      </c>
      <c r="CY14" s="26">
        <v>1.1399999999999999</v>
      </c>
      <c r="CZ14" s="26" t="s">
        <v>297</v>
      </c>
      <c r="DA14" s="26" t="s">
        <v>297</v>
      </c>
      <c r="DB14" s="26" t="s">
        <v>297</v>
      </c>
      <c r="DC14" s="26">
        <v>1.3106060606060606</v>
      </c>
      <c r="DD14" s="26">
        <v>69.962666666666664</v>
      </c>
      <c r="DE14" s="26" t="s">
        <v>297</v>
      </c>
      <c r="DF14" s="26" t="s">
        <v>297</v>
      </c>
      <c r="DG14" s="26" t="s">
        <v>297</v>
      </c>
      <c r="DH14" s="26" t="s">
        <v>297</v>
      </c>
      <c r="DI14" s="26" t="s">
        <v>297</v>
      </c>
      <c r="DJ14" s="26">
        <v>1.5625</v>
      </c>
      <c r="DK14" s="26" t="s">
        <v>297</v>
      </c>
      <c r="DL14" s="26" t="s">
        <v>297</v>
      </c>
      <c r="DM14" s="26" t="s">
        <v>297</v>
      </c>
      <c r="DN14" s="26" t="s">
        <v>297</v>
      </c>
      <c r="DO14" s="26" t="s">
        <v>297</v>
      </c>
      <c r="DP14" s="26">
        <v>1.3120000000000001</v>
      </c>
      <c r="DQ14" s="26">
        <v>1.0624761904761906</v>
      </c>
      <c r="DR14" s="26">
        <v>1.125</v>
      </c>
      <c r="DS14" s="26">
        <v>1.5</v>
      </c>
      <c r="DT14" s="26">
        <v>4.4615384615384617</v>
      </c>
      <c r="DU14" s="26" t="s">
        <v>297</v>
      </c>
      <c r="DV14" s="26">
        <v>0.64814814814814814</v>
      </c>
      <c r="DW14" s="26" t="s">
        <v>297</v>
      </c>
      <c r="DX14" s="26" t="s">
        <v>297</v>
      </c>
      <c r="DY14" s="26" t="s">
        <v>297</v>
      </c>
      <c r="DZ14" s="26" t="s">
        <v>297</v>
      </c>
      <c r="EA14" s="26" t="s">
        <v>297</v>
      </c>
      <c r="EB14" s="26" t="s">
        <v>297</v>
      </c>
      <c r="EC14" s="26">
        <v>23.611111111111111</v>
      </c>
      <c r="ED14" s="26" t="s">
        <v>297</v>
      </c>
      <c r="EE14" s="26" t="s">
        <v>297</v>
      </c>
      <c r="EF14" s="26" t="s">
        <v>297</v>
      </c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7"/>
      <c r="ES14" s="27"/>
      <c r="ET14" s="27"/>
      <c r="EU14" s="27"/>
    </row>
    <row r="15" spans="1:151" x14ac:dyDescent="0.2">
      <c r="A15" s="25" t="s">
        <v>302</v>
      </c>
      <c r="C15" s="26">
        <v>5.0661764705882355</v>
      </c>
      <c r="D15" s="26" t="s">
        <v>297</v>
      </c>
      <c r="E15" s="26" t="s">
        <v>297</v>
      </c>
      <c r="F15" s="26" t="s">
        <v>297</v>
      </c>
      <c r="G15" s="26">
        <v>0.21533333333333332</v>
      </c>
      <c r="H15" s="26" t="s">
        <v>297</v>
      </c>
      <c r="I15" s="26" t="s">
        <v>297</v>
      </c>
      <c r="J15" s="26"/>
      <c r="K15" s="26">
        <v>0.18131868131868131</v>
      </c>
      <c r="L15" s="26" t="s">
        <v>297</v>
      </c>
      <c r="M15" s="26" t="s">
        <v>297</v>
      </c>
      <c r="N15" s="26">
        <v>0.12309090909090908</v>
      </c>
      <c r="O15" s="26" t="s">
        <v>297</v>
      </c>
      <c r="P15" s="26">
        <v>3.0772727272727272</v>
      </c>
      <c r="Q15" s="26">
        <v>3.3845714285714288</v>
      </c>
      <c r="R15" s="26">
        <v>0.73853658536585365</v>
      </c>
      <c r="S15" s="26">
        <v>7.9790685296074511</v>
      </c>
      <c r="T15" s="26" t="s">
        <v>297</v>
      </c>
      <c r="U15" s="26" t="s">
        <v>297</v>
      </c>
      <c r="V15" s="26" t="s">
        <v>297</v>
      </c>
      <c r="W15" s="26" t="s">
        <v>297</v>
      </c>
      <c r="X15" s="26" t="s">
        <v>297</v>
      </c>
      <c r="Y15" s="26" t="s">
        <v>297</v>
      </c>
      <c r="Z15" s="26">
        <v>1.9342857142857144</v>
      </c>
      <c r="AA15" s="26">
        <v>2.2152941176470589</v>
      </c>
      <c r="AB15" s="26">
        <v>0.18462295081967214</v>
      </c>
      <c r="AC15" s="26">
        <v>0.61546666666666672</v>
      </c>
      <c r="AD15" s="26">
        <v>0.36921568627450979</v>
      </c>
      <c r="AE15" s="26" t="s">
        <v>297</v>
      </c>
      <c r="AF15" s="26" t="s">
        <v>297</v>
      </c>
      <c r="AG15" s="26" t="s">
        <v>297</v>
      </c>
      <c r="AH15" s="26">
        <v>0.86163522012578619</v>
      </c>
      <c r="AI15" s="26" t="s">
        <v>297</v>
      </c>
      <c r="AJ15" s="26" t="s">
        <v>297</v>
      </c>
      <c r="AK15" s="26" t="s">
        <v>297</v>
      </c>
      <c r="AL15" s="26">
        <v>0.49226694915254238</v>
      </c>
      <c r="AM15" s="26" t="s">
        <v>297</v>
      </c>
      <c r="AN15" s="26" t="s">
        <v>297</v>
      </c>
      <c r="AO15" s="26" t="s">
        <v>297</v>
      </c>
      <c r="AP15" s="26" t="s">
        <v>297</v>
      </c>
      <c r="AQ15" s="26" t="s">
        <v>297</v>
      </c>
      <c r="AR15" s="26" t="s">
        <v>297</v>
      </c>
      <c r="AS15" s="26"/>
      <c r="AT15" s="26">
        <v>1.23</v>
      </c>
      <c r="AU15" s="26" t="s">
        <v>297</v>
      </c>
      <c r="AV15" s="26" t="s">
        <v>297</v>
      </c>
      <c r="AW15" s="26" t="s">
        <v>297</v>
      </c>
      <c r="AX15" s="26">
        <v>0.33814689265536724</v>
      </c>
      <c r="AY15" s="26" t="s">
        <v>297</v>
      </c>
      <c r="AZ15" s="26" t="s">
        <v>297</v>
      </c>
      <c r="BA15" s="26" t="s">
        <v>297</v>
      </c>
      <c r="BB15" s="26" t="s">
        <v>297</v>
      </c>
      <c r="BC15" s="26" t="s">
        <v>297</v>
      </c>
      <c r="BD15" s="26" t="s">
        <v>297</v>
      </c>
      <c r="BE15" s="26" t="s">
        <v>297</v>
      </c>
      <c r="BF15" s="26">
        <v>15.378378378378379</v>
      </c>
      <c r="BG15" s="26"/>
      <c r="BH15" s="26" t="s">
        <v>297</v>
      </c>
      <c r="BI15" s="26" t="s">
        <v>297</v>
      </c>
      <c r="BJ15" s="26" t="s">
        <v>297</v>
      </c>
      <c r="BK15" s="26" t="s">
        <v>297</v>
      </c>
      <c r="BL15" s="26">
        <v>2.1085714285714285</v>
      </c>
      <c r="BM15" s="26" t="s">
        <v>297</v>
      </c>
      <c r="BN15" s="26" t="s">
        <v>297</v>
      </c>
      <c r="BO15" s="26" t="s">
        <v>297</v>
      </c>
      <c r="BP15" s="26" t="s">
        <v>297</v>
      </c>
      <c r="BQ15" s="26" t="s">
        <v>297</v>
      </c>
      <c r="BR15" s="26" t="s">
        <v>297</v>
      </c>
      <c r="BS15" s="26" t="s">
        <v>297</v>
      </c>
      <c r="BT15" s="26" t="s">
        <v>297</v>
      </c>
      <c r="BU15" s="26" t="s">
        <v>297</v>
      </c>
      <c r="BV15" s="26" t="s">
        <v>297</v>
      </c>
      <c r="BW15" s="26" t="s">
        <v>297</v>
      </c>
      <c r="BX15" s="26">
        <v>2.4626086956521739E-2</v>
      </c>
      <c r="BY15" s="26">
        <v>1.1851851851851851</v>
      </c>
      <c r="BZ15" s="26" t="s">
        <v>297</v>
      </c>
      <c r="CA15" s="26" t="s">
        <v>297</v>
      </c>
      <c r="CB15" s="26" t="s">
        <v>297</v>
      </c>
      <c r="CC15" s="26" t="s">
        <v>297</v>
      </c>
      <c r="CD15" s="26" t="s">
        <v>297</v>
      </c>
      <c r="CE15" s="26" t="s">
        <v>297</v>
      </c>
      <c r="CF15" s="26">
        <v>1.994</v>
      </c>
      <c r="CG15" s="26" t="s">
        <v>297</v>
      </c>
      <c r="CH15" s="26">
        <v>0.60962264150943402</v>
      </c>
      <c r="CI15" s="26" t="s">
        <v>297</v>
      </c>
      <c r="CJ15" s="26" t="s">
        <v>297</v>
      </c>
      <c r="CK15" s="26" t="s">
        <v>297</v>
      </c>
      <c r="CL15" s="26">
        <v>3.0750000000000002</v>
      </c>
      <c r="CM15" s="26">
        <v>0.92285714285714282</v>
      </c>
      <c r="CN15" s="26" t="s">
        <v>297</v>
      </c>
      <c r="CO15" s="26">
        <v>1.1076470588235294</v>
      </c>
      <c r="CP15" s="26" t="s">
        <v>297</v>
      </c>
      <c r="CQ15" s="26" t="s">
        <v>297</v>
      </c>
      <c r="CR15" s="26" t="s">
        <v>297</v>
      </c>
      <c r="CS15" s="26" t="s">
        <v>297</v>
      </c>
      <c r="CT15" s="26" t="s">
        <v>297</v>
      </c>
      <c r="CU15" s="26" t="s">
        <v>297</v>
      </c>
      <c r="CV15" s="26" t="s">
        <v>297</v>
      </c>
      <c r="CW15" s="26" t="s">
        <v>297</v>
      </c>
      <c r="CX15" s="26">
        <v>0.30777777777777776</v>
      </c>
      <c r="CY15" s="26">
        <v>1.108235294117647</v>
      </c>
      <c r="CZ15" s="26" t="s">
        <v>297</v>
      </c>
      <c r="DA15" s="26" t="s">
        <v>297</v>
      </c>
      <c r="DB15" s="26" t="s">
        <v>297</v>
      </c>
      <c r="DC15" s="26">
        <v>1.3086490078799962</v>
      </c>
      <c r="DD15" s="26">
        <v>68.930909090909097</v>
      </c>
      <c r="DE15" s="26" t="s">
        <v>297</v>
      </c>
      <c r="DF15" s="26" t="s">
        <v>297</v>
      </c>
      <c r="DG15" s="26" t="s">
        <v>297</v>
      </c>
      <c r="DH15" s="26" t="s">
        <v>297</v>
      </c>
      <c r="DI15" s="26" t="s">
        <v>297</v>
      </c>
      <c r="DJ15" s="26">
        <v>1.5385964912280701</v>
      </c>
      <c r="DK15" s="26" t="s">
        <v>297</v>
      </c>
      <c r="DL15" s="26" t="s">
        <v>297</v>
      </c>
      <c r="DM15" s="26" t="s">
        <v>297</v>
      </c>
      <c r="DN15" s="26" t="s">
        <v>297</v>
      </c>
      <c r="DO15" s="26" t="s">
        <v>297</v>
      </c>
      <c r="DP15" s="26">
        <v>1.2925</v>
      </c>
      <c r="DQ15" s="26">
        <v>1.1077083333333333</v>
      </c>
      <c r="DR15" s="26">
        <v>1.23</v>
      </c>
      <c r="DS15" s="26">
        <v>1.4775</v>
      </c>
      <c r="DT15" s="26">
        <v>4.1411684972192875</v>
      </c>
      <c r="DU15" s="26" t="s">
        <v>297</v>
      </c>
      <c r="DV15" s="26">
        <v>0.64249999999999996</v>
      </c>
      <c r="DW15" s="26" t="s">
        <v>297</v>
      </c>
      <c r="DX15" s="26" t="s">
        <v>297</v>
      </c>
      <c r="DY15" s="26" t="s">
        <v>297</v>
      </c>
      <c r="DZ15" s="26" t="s">
        <v>297</v>
      </c>
      <c r="EA15" s="26" t="s">
        <v>297</v>
      </c>
      <c r="EB15" s="26" t="s">
        <v>297</v>
      </c>
      <c r="EC15" s="26">
        <v>20.512280701754385</v>
      </c>
      <c r="ED15" s="26" t="s">
        <v>297</v>
      </c>
      <c r="EE15" s="26" t="s">
        <v>297</v>
      </c>
      <c r="EF15" s="26" t="s">
        <v>297</v>
      </c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7"/>
      <c r="ES15" s="27"/>
      <c r="ET15" s="27"/>
      <c r="EU15" s="27"/>
    </row>
    <row r="16" spans="1:151" x14ac:dyDescent="0.2">
      <c r="A16" s="25" t="s">
        <v>303</v>
      </c>
      <c r="C16" s="26">
        <v>2.5387205387205389</v>
      </c>
      <c r="D16" s="26" t="s">
        <v>297</v>
      </c>
      <c r="E16" s="26" t="s">
        <v>297</v>
      </c>
      <c r="F16" s="26" t="s">
        <v>297</v>
      </c>
      <c r="G16" s="26">
        <v>0.19446153846153846</v>
      </c>
      <c r="H16" s="26" t="s">
        <v>297</v>
      </c>
      <c r="I16" s="26" t="s">
        <v>297</v>
      </c>
      <c r="J16" s="26"/>
      <c r="K16" s="26">
        <v>0.19378378378378378</v>
      </c>
      <c r="L16" s="26" t="s">
        <v>297</v>
      </c>
      <c r="M16" s="26">
        <v>12.5</v>
      </c>
      <c r="N16" s="26">
        <v>0.11119999999999999</v>
      </c>
      <c r="O16" s="26" t="s">
        <v>297</v>
      </c>
      <c r="P16" s="26">
        <v>2.7769230769230768</v>
      </c>
      <c r="Q16" s="26">
        <v>3.8883333333333332</v>
      </c>
      <c r="R16" s="26">
        <v>0.66649999999999998</v>
      </c>
      <c r="S16" s="26">
        <v>8.1558761994084108</v>
      </c>
      <c r="T16" s="26" t="s">
        <v>297</v>
      </c>
      <c r="U16" s="26" t="s">
        <v>297</v>
      </c>
      <c r="V16" s="26" t="s">
        <v>297</v>
      </c>
      <c r="W16" s="26" t="s">
        <v>297</v>
      </c>
      <c r="X16" s="26" t="s">
        <v>297</v>
      </c>
      <c r="Y16" s="26" t="s">
        <v>297</v>
      </c>
      <c r="Z16" s="26">
        <v>1.0226666666666666</v>
      </c>
      <c r="AA16" s="26">
        <v>2.6286666666666667</v>
      </c>
      <c r="AB16" s="26">
        <v>0.13887142857142856</v>
      </c>
      <c r="AC16" s="26">
        <v>0.55540983606557381</v>
      </c>
      <c r="AD16" s="26">
        <v>0.33327272727272728</v>
      </c>
      <c r="AE16" s="26" t="s">
        <v>297</v>
      </c>
      <c r="AF16" s="26" t="s">
        <v>297</v>
      </c>
      <c r="AG16" s="26" t="s">
        <v>297</v>
      </c>
      <c r="AH16" s="26">
        <v>0.77744360902255638</v>
      </c>
      <c r="AI16" s="26" t="s">
        <v>297</v>
      </c>
      <c r="AJ16" s="26" t="s">
        <v>297</v>
      </c>
      <c r="AK16" s="26" t="s">
        <v>297</v>
      </c>
      <c r="AL16" s="26">
        <v>0.5</v>
      </c>
      <c r="AM16" s="26" t="s">
        <v>297</v>
      </c>
      <c r="AN16" s="26" t="s">
        <v>297</v>
      </c>
      <c r="AO16" s="26" t="s">
        <v>297</v>
      </c>
      <c r="AP16" s="26" t="s">
        <v>297</v>
      </c>
      <c r="AQ16" s="26" t="s">
        <v>297</v>
      </c>
      <c r="AR16" s="26" t="s">
        <v>297</v>
      </c>
      <c r="AS16" s="26" t="s">
        <v>297</v>
      </c>
      <c r="AT16" s="26" t="s">
        <v>297</v>
      </c>
      <c r="AU16" s="26">
        <v>1.1109090909090908</v>
      </c>
      <c r="AV16" s="26" t="s">
        <v>297</v>
      </c>
      <c r="AW16" s="26">
        <v>2.78</v>
      </c>
      <c r="AX16" s="26">
        <v>0.31609042205670979</v>
      </c>
      <c r="AY16" s="26" t="s">
        <v>297</v>
      </c>
      <c r="AZ16" s="26" t="s">
        <v>297</v>
      </c>
      <c r="BA16" s="26" t="s">
        <v>297</v>
      </c>
      <c r="BB16" s="26" t="s">
        <v>297</v>
      </c>
      <c r="BC16" s="26" t="s">
        <v>297</v>
      </c>
      <c r="BD16" s="26" t="s">
        <v>297</v>
      </c>
      <c r="BE16" s="26" t="s">
        <v>297</v>
      </c>
      <c r="BF16" s="26">
        <v>13.887499999999999</v>
      </c>
      <c r="BG16" s="26"/>
      <c r="BH16" s="26" t="s">
        <v>297</v>
      </c>
      <c r="BI16" s="26" t="s">
        <v>297</v>
      </c>
      <c r="BJ16" s="26" t="s">
        <v>297</v>
      </c>
      <c r="BK16" s="26" t="s">
        <v>297</v>
      </c>
      <c r="BL16" s="26">
        <v>1.9266666666666667</v>
      </c>
      <c r="BM16" s="26" t="s">
        <v>297</v>
      </c>
      <c r="BN16" s="26" t="s">
        <v>297</v>
      </c>
      <c r="BO16" s="26" t="s">
        <v>297</v>
      </c>
      <c r="BP16" s="26" t="s">
        <v>297</v>
      </c>
      <c r="BQ16" s="26" t="s">
        <v>297</v>
      </c>
      <c r="BR16" s="26" t="s">
        <v>297</v>
      </c>
      <c r="BS16" s="26" t="s">
        <v>297</v>
      </c>
      <c r="BT16" s="26" t="s">
        <v>297</v>
      </c>
      <c r="BU16" s="26" t="s">
        <v>297</v>
      </c>
      <c r="BV16" s="26" t="s">
        <v>297</v>
      </c>
      <c r="BW16" s="26" t="s">
        <v>297</v>
      </c>
      <c r="BX16" s="26">
        <v>2.2200000000000001E-2</v>
      </c>
      <c r="BY16" s="26">
        <v>0.967741935483871</v>
      </c>
      <c r="BZ16" s="26" t="s">
        <v>297</v>
      </c>
      <c r="CA16" s="26" t="s">
        <v>297</v>
      </c>
      <c r="CB16" s="26" t="s">
        <v>297</v>
      </c>
      <c r="CC16" s="26" t="s">
        <v>297</v>
      </c>
      <c r="CD16" s="26" t="s">
        <v>297</v>
      </c>
      <c r="CE16" s="26" t="s">
        <v>297</v>
      </c>
      <c r="CF16" s="26">
        <v>1.8490909090909091</v>
      </c>
      <c r="CG16" s="26" t="s">
        <v>297</v>
      </c>
      <c r="CH16" s="26">
        <v>0.56545454545454543</v>
      </c>
      <c r="CI16" s="26" t="s">
        <v>297</v>
      </c>
      <c r="CJ16" s="26" t="s">
        <v>297</v>
      </c>
      <c r="CK16" s="26" t="s">
        <v>297</v>
      </c>
      <c r="CL16" s="26">
        <v>2.7769230769230768</v>
      </c>
      <c r="CM16" s="26">
        <v>0.82625000000000004</v>
      </c>
      <c r="CN16" s="26" t="s">
        <v>297</v>
      </c>
      <c r="CO16" s="26">
        <v>1</v>
      </c>
      <c r="CP16" s="26" t="s">
        <v>297</v>
      </c>
      <c r="CQ16" s="26" t="s">
        <v>297</v>
      </c>
      <c r="CR16" s="26" t="s">
        <v>297</v>
      </c>
      <c r="CS16" s="26" t="s">
        <v>297</v>
      </c>
      <c r="CT16" s="26" t="s">
        <v>297</v>
      </c>
      <c r="CU16" s="26" t="s">
        <v>297</v>
      </c>
      <c r="CV16" s="26" t="s">
        <v>297</v>
      </c>
      <c r="CW16" s="26" t="s">
        <v>297</v>
      </c>
      <c r="CX16" s="26">
        <v>0.27766666666666667</v>
      </c>
      <c r="CY16" s="26">
        <v>1</v>
      </c>
      <c r="CZ16" s="26" t="s">
        <v>297</v>
      </c>
      <c r="DA16" s="26" t="s">
        <v>297</v>
      </c>
      <c r="DB16" s="26" t="s">
        <v>297</v>
      </c>
      <c r="DC16" s="26">
        <v>1.2738775510204081</v>
      </c>
      <c r="DD16" s="26">
        <v>62.160000000000004</v>
      </c>
      <c r="DE16" s="26" t="s">
        <v>297</v>
      </c>
      <c r="DF16" s="26" t="s">
        <v>297</v>
      </c>
      <c r="DG16" s="26" t="s">
        <v>297</v>
      </c>
      <c r="DH16" s="26" t="s">
        <v>297</v>
      </c>
      <c r="DI16" s="26" t="s">
        <v>297</v>
      </c>
      <c r="DJ16" s="26">
        <v>1.3888571428571428</v>
      </c>
      <c r="DK16" s="26" t="s">
        <v>297</v>
      </c>
      <c r="DL16" s="26" t="s">
        <v>297</v>
      </c>
      <c r="DM16" s="26" t="s">
        <v>297</v>
      </c>
      <c r="DN16" s="26" t="s">
        <v>297</v>
      </c>
      <c r="DO16" s="26" t="s">
        <v>297</v>
      </c>
      <c r="DP16" s="26">
        <v>1.1666666666666667</v>
      </c>
      <c r="DQ16" s="26">
        <v>0.83320000000000005</v>
      </c>
      <c r="DR16" s="26">
        <v>1.1107692307692307</v>
      </c>
      <c r="DS16" s="26">
        <v>1.3333333333333333</v>
      </c>
      <c r="DT16" s="26">
        <v>3.5203619909502262</v>
      </c>
      <c r="DU16" s="26" t="s">
        <v>297</v>
      </c>
      <c r="DV16" s="26">
        <v>0.68420289855072469</v>
      </c>
      <c r="DW16" s="26" t="s">
        <v>297</v>
      </c>
      <c r="DX16" s="26" t="s">
        <v>297</v>
      </c>
      <c r="DY16" s="26" t="s">
        <v>297</v>
      </c>
      <c r="DZ16" s="26" t="s">
        <v>297</v>
      </c>
      <c r="EA16" s="26" t="s">
        <v>297</v>
      </c>
      <c r="EB16" s="26" t="s">
        <v>297</v>
      </c>
      <c r="EC16" s="26">
        <v>18.516129032258064</v>
      </c>
      <c r="ED16" s="26" t="s">
        <v>297</v>
      </c>
      <c r="EE16" s="26" t="s">
        <v>297</v>
      </c>
      <c r="EF16" s="26" t="s">
        <v>297</v>
      </c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7"/>
      <c r="ES16" s="27"/>
      <c r="ET16" s="27"/>
      <c r="EU16" s="27"/>
    </row>
    <row r="17" spans="1:152" x14ac:dyDescent="0.2">
      <c r="A17" s="25" t="s">
        <v>304</v>
      </c>
      <c r="C17" s="26">
        <v>1.7422360248447204</v>
      </c>
      <c r="D17" s="26" t="s">
        <v>297</v>
      </c>
      <c r="E17" s="26" t="s">
        <v>297</v>
      </c>
      <c r="F17" s="26" t="s">
        <v>297</v>
      </c>
      <c r="G17" s="26">
        <v>0.19436363636363638</v>
      </c>
      <c r="H17" s="26" t="s">
        <v>297</v>
      </c>
      <c r="I17" s="26" t="s">
        <v>297</v>
      </c>
      <c r="J17" s="26"/>
      <c r="K17" s="26">
        <v>0.20023255813953489</v>
      </c>
      <c r="L17" s="26" t="s">
        <v>297</v>
      </c>
      <c r="M17" s="26">
        <v>12.511111111111111</v>
      </c>
      <c r="N17" s="26" t="s">
        <v>297</v>
      </c>
      <c r="O17" s="26" t="s">
        <v>297</v>
      </c>
      <c r="P17" s="26">
        <v>3.3330000000000002</v>
      </c>
      <c r="Q17" s="26">
        <v>3.8889999999999998</v>
      </c>
      <c r="R17" s="26">
        <v>0.64833333333333332</v>
      </c>
      <c r="S17" s="26">
        <v>7.0733532934131738</v>
      </c>
      <c r="T17" s="26" t="s">
        <v>297</v>
      </c>
      <c r="U17" s="26" t="s">
        <v>297</v>
      </c>
      <c r="V17" s="26" t="s">
        <v>297</v>
      </c>
      <c r="W17" s="26" t="s">
        <v>297</v>
      </c>
      <c r="X17" s="26" t="s">
        <v>297</v>
      </c>
      <c r="Y17" s="26" t="s">
        <v>297</v>
      </c>
      <c r="Z17" s="26">
        <v>1.1012500000000001</v>
      </c>
      <c r="AA17" s="26">
        <v>2.2591666666666668</v>
      </c>
      <c r="AB17" s="26">
        <v>0.13889090909090909</v>
      </c>
      <c r="AC17" s="26">
        <v>0.55538461538461537</v>
      </c>
      <c r="AD17" s="26">
        <v>0.33348264277715567</v>
      </c>
      <c r="AE17" s="26" t="s">
        <v>297</v>
      </c>
      <c r="AF17" s="26" t="s">
        <v>297</v>
      </c>
      <c r="AG17" s="26" t="s">
        <v>297</v>
      </c>
      <c r="AH17" s="26">
        <v>0.66656778404034411</v>
      </c>
      <c r="AI17" s="26" t="s">
        <v>297</v>
      </c>
      <c r="AJ17" s="26" t="s">
        <v>297</v>
      </c>
      <c r="AK17" s="26" t="s">
        <v>297</v>
      </c>
      <c r="AL17" s="26">
        <v>0.55562043795620442</v>
      </c>
      <c r="AM17" s="26" t="s">
        <v>297</v>
      </c>
      <c r="AN17" s="26" t="s">
        <v>297</v>
      </c>
      <c r="AO17" s="26" t="s">
        <v>297</v>
      </c>
      <c r="AP17" s="26" t="s">
        <v>297</v>
      </c>
      <c r="AQ17" s="26" t="s">
        <v>297</v>
      </c>
      <c r="AR17" s="26" t="s">
        <v>297</v>
      </c>
      <c r="AS17" s="26" t="s">
        <v>297</v>
      </c>
      <c r="AT17" s="26" t="s">
        <v>297</v>
      </c>
      <c r="AU17" s="26">
        <v>1.111764705882353</v>
      </c>
      <c r="AV17" s="26" t="s">
        <v>297</v>
      </c>
      <c r="AW17" s="26" t="s">
        <v>297</v>
      </c>
      <c r="AX17" s="26">
        <v>0.2536633058356248</v>
      </c>
      <c r="AY17" s="26" t="s">
        <v>297</v>
      </c>
      <c r="AZ17" s="26" t="s">
        <v>297</v>
      </c>
      <c r="BA17" s="26" t="s">
        <v>297</v>
      </c>
      <c r="BB17" s="26" t="s">
        <v>297</v>
      </c>
      <c r="BC17" s="26" t="s">
        <v>297</v>
      </c>
      <c r="BD17" s="26" t="s">
        <v>297</v>
      </c>
      <c r="BE17" s="26" t="s">
        <v>297</v>
      </c>
      <c r="BF17" s="26">
        <v>13.883333333333333</v>
      </c>
      <c r="BG17" s="26"/>
      <c r="BH17" s="26" t="s">
        <v>297</v>
      </c>
      <c r="BI17" s="26" t="s">
        <v>297</v>
      </c>
      <c r="BJ17" s="26" t="s">
        <v>297</v>
      </c>
      <c r="BK17" s="26" t="s">
        <v>297</v>
      </c>
      <c r="BL17" s="26" t="s">
        <v>297</v>
      </c>
      <c r="BM17" s="26" t="s">
        <v>297</v>
      </c>
      <c r="BN17" s="26" t="s">
        <v>297</v>
      </c>
      <c r="BO17" s="26" t="s">
        <v>297</v>
      </c>
      <c r="BP17" s="26" t="s">
        <v>297</v>
      </c>
      <c r="BQ17" s="26" t="s">
        <v>297</v>
      </c>
      <c r="BR17" s="26" t="s">
        <v>297</v>
      </c>
      <c r="BS17" s="26" t="s">
        <v>297</v>
      </c>
      <c r="BT17" s="26" t="s">
        <v>297</v>
      </c>
      <c r="BU17" s="26" t="s">
        <v>297</v>
      </c>
      <c r="BV17" s="26" t="s">
        <v>297</v>
      </c>
      <c r="BW17" s="26" t="s">
        <v>297</v>
      </c>
      <c r="BX17" s="26">
        <v>2.2215384615384616E-2</v>
      </c>
      <c r="BY17" s="26">
        <v>1.0331999999999999</v>
      </c>
      <c r="BZ17" s="26" t="s">
        <v>297</v>
      </c>
      <c r="CA17" s="26" t="s">
        <v>297</v>
      </c>
      <c r="CB17" s="26" t="s">
        <v>297</v>
      </c>
      <c r="CC17" s="26" t="s">
        <v>297</v>
      </c>
      <c r="CD17" s="26" t="s">
        <v>297</v>
      </c>
      <c r="CE17" s="26" t="s">
        <v>297</v>
      </c>
      <c r="CF17" s="26">
        <v>0.25396825396825395</v>
      </c>
      <c r="CG17" s="26" t="s">
        <v>297</v>
      </c>
      <c r="CH17" s="26">
        <v>0.59413043478260874</v>
      </c>
      <c r="CI17" s="26" t="s">
        <v>297</v>
      </c>
      <c r="CJ17" s="26" t="s">
        <v>297</v>
      </c>
      <c r="CK17" s="26" t="s">
        <v>297</v>
      </c>
      <c r="CL17" s="26">
        <v>2.7772727272727273</v>
      </c>
      <c r="CM17" s="26" t="s">
        <v>297</v>
      </c>
      <c r="CN17" s="26" t="s">
        <v>297</v>
      </c>
      <c r="CO17" s="26">
        <v>0.77800000000000002</v>
      </c>
      <c r="CP17" s="26" t="s">
        <v>297</v>
      </c>
      <c r="CQ17" s="26" t="s">
        <v>297</v>
      </c>
      <c r="CR17" s="26" t="s">
        <v>297</v>
      </c>
      <c r="CS17" s="26" t="s">
        <v>297</v>
      </c>
      <c r="CT17" s="26" t="s">
        <v>297</v>
      </c>
      <c r="CU17" s="26" t="s">
        <v>297</v>
      </c>
      <c r="CV17" s="26" t="s">
        <v>297</v>
      </c>
      <c r="CW17" s="26" t="s">
        <v>297</v>
      </c>
      <c r="CX17" s="26">
        <v>0.27774193548387099</v>
      </c>
      <c r="CY17" s="26">
        <v>1</v>
      </c>
      <c r="CZ17" s="26" t="s">
        <v>297</v>
      </c>
      <c r="DA17" s="26" t="s">
        <v>297</v>
      </c>
      <c r="DB17" s="26" t="s">
        <v>297</v>
      </c>
      <c r="DC17" s="26">
        <v>1.2269565217391305</v>
      </c>
      <c r="DD17" s="26">
        <v>62.209900990099015</v>
      </c>
      <c r="DE17" s="26" t="s">
        <v>297</v>
      </c>
      <c r="DF17" s="26" t="s">
        <v>297</v>
      </c>
      <c r="DG17" s="26" t="s">
        <v>297</v>
      </c>
      <c r="DH17" s="26" t="s">
        <v>297</v>
      </c>
      <c r="DI17" s="26" t="s">
        <v>297</v>
      </c>
      <c r="DJ17" s="26">
        <v>1.3887323943661971</v>
      </c>
      <c r="DK17" s="26" t="s">
        <v>297</v>
      </c>
      <c r="DL17" s="26" t="s">
        <v>297</v>
      </c>
      <c r="DM17" s="26" t="s">
        <v>297</v>
      </c>
      <c r="DN17" s="26" t="s">
        <v>297</v>
      </c>
      <c r="DO17" s="26" t="s">
        <v>297</v>
      </c>
      <c r="DP17" s="26">
        <v>1.0016393442622951</v>
      </c>
      <c r="DQ17" s="26">
        <v>0.72224999999999995</v>
      </c>
      <c r="DR17" s="26">
        <v>1.1120000000000001</v>
      </c>
      <c r="DS17" s="26">
        <v>1.3340611353711791</v>
      </c>
      <c r="DT17" s="26">
        <v>3.7726244343891402</v>
      </c>
      <c r="DU17" s="26" t="s">
        <v>297</v>
      </c>
      <c r="DV17" s="26">
        <v>0.70921985815602839</v>
      </c>
      <c r="DW17" s="26" t="s">
        <v>297</v>
      </c>
      <c r="DX17" s="26" t="s">
        <v>297</v>
      </c>
      <c r="DY17" s="26" t="s">
        <v>297</v>
      </c>
      <c r="DZ17" s="26" t="s">
        <v>297</v>
      </c>
      <c r="EA17" s="26" t="s">
        <v>297</v>
      </c>
      <c r="EB17" s="26" t="s">
        <v>297</v>
      </c>
      <c r="EC17" s="26">
        <v>18.091954022988507</v>
      </c>
      <c r="ED17" s="26" t="s">
        <v>297</v>
      </c>
      <c r="EE17" s="26" t="s">
        <v>297</v>
      </c>
      <c r="EF17" s="26" t="s">
        <v>297</v>
      </c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7"/>
      <c r="ES17" s="27"/>
      <c r="ET17" s="27"/>
      <c r="EU17" s="27"/>
    </row>
    <row r="18" spans="1:152" x14ac:dyDescent="0.2">
      <c r="A18" s="25" t="s">
        <v>305</v>
      </c>
      <c r="C18" s="26" t="s">
        <v>297</v>
      </c>
      <c r="D18" s="26">
        <v>12.571428571428571</v>
      </c>
      <c r="E18" s="26">
        <v>2.06</v>
      </c>
      <c r="F18" s="26" t="s">
        <v>297</v>
      </c>
      <c r="G18" s="26" t="s">
        <v>297</v>
      </c>
      <c r="H18" s="26">
        <v>2.35</v>
      </c>
      <c r="I18" s="26" t="s">
        <v>297</v>
      </c>
      <c r="J18" s="26"/>
      <c r="K18" s="26">
        <v>0.36454545454545456</v>
      </c>
      <c r="L18" s="26" t="s">
        <v>297</v>
      </c>
      <c r="M18" s="26" t="s">
        <v>297</v>
      </c>
      <c r="N18" s="26">
        <v>0.14714285714285713</v>
      </c>
      <c r="O18" s="26" t="s">
        <v>297</v>
      </c>
      <c r="P18" s="26" t="s">
        <v>297</v>
      </c>
      <c r="Q18" s="26">
        <v>3.5293333333333332</v>
      </c>
      <c r="R18" s="26">
        <v>0.67846153846153845</v>
      </c>
      <c r="S18" s="26" t="s">
        <v>297</v>
      </c>
      <c r="T18" s="26">
        <v>13.150232867598136</v>
      </c>
      <c r="U18" s="26">
        <v>10.520026613439786</v>
      </c>
      <c r="V18" s="26">
        <v>5.9774995463618215</v>
      </c>
      <c r="W18" s="26">
        <v>3.9451497005988023</v>
      </c>
      <c r="X18" s="26">
        <v>5.158912943344081</v>
      </c>
      <c r="Y18" s="26">
        <v>7.8895542248835655</v>
      </c>
      <c r="Z18" s="26">
        <v>0.88249999999999995</v>
      </c>
      <c r="AA18" s="26">
        <v>2.94</v>
      </c>
      <c r="AB18" s="26">
        <v>0.17646875000000001</v>
      </c>
      <c r="AC18" s="26">
        <v>0.64203389830508473</v>
      </c>
      <c r="AD18" s="26">
        <v>0.50511382382052128</v>
      </c>
      <c r="AE18" s="26" t="s">
        <v>297</v>
      </c>
      <c r="AF18" s="26" t="s">
        <v>297</v>
      </c>
      <c r="AG18" s="26" t="s">
        <v>297</v>
      </c>
      <c r="AH18" s="26">
        <v>0.6095454545454545</v>
      </c>
      <c r="AI18" s="26" t="s">
        <v>297</v>
      </c>
      <c r="AJ18" s="26" t="s">
        <v>297</v>
      </c>
      <c r="AK18" s="26" t="s">
        <v>297</v>
      </c>
      <c r="AL18" s="26" t="s">
        <v>297</v>
      </c>
      <c r="AM18" s="26" t="s">
        <v>297</v>
      </c>
      <c r="AN18" s="26" t="s">
        <v>297</v>
      </c>
      <c r="AO18" s="26">
        <v>2.7415254237288137E-2</v>
      </c>
      <c r="AP18" s="26" t="s">
        <v>297</v>
      </c>
      <c r="AQ18" s="26" t="s">
        <v>297</v>
      </c>
      <c r="AR18" s="26" t="s">
        <v>297</v>
      </c>
      <c r="AS18" s="26" t="s">
        <v>297</v>
      </c>
      <c r="AT18" s="26" t="s">
        <v>297</v>
      </c>
      <c r="AU18" s="26">
        <v>1.1766666666666667</v>
      </c>
      <c r="AV18" s="26">
        <v>1.1754385964912282</v>
      </c>
      <c r="AW18" s="26">
        <v>0.58666666666666667</v>
      </c>
      <c r="AX18" s="26" t="s">
        <v>297</v>
      </c>
      <c r="AY18" s="26">
        <v>0.30468468468468468</v>
      </c>
      <c r="AZ18" s="26">
        <v>0.1804</v>
      </c>
      <c r="BA18" s="26">
        <v>0.39215833333333333</v>
      </c>
      <c r="BB18" s="26">
        <v>0.32037037037037036</v>
      </c>
      <c r="BC18" s="26" t="s">
        <v>297</v>
      </c>
      <c r="BD18" s="26"/>
      <c r="BE18" s="26">
        <v>14.714285714285714</v>
      </c>
      <c r="BF18" s="26" t="s">
        <v>297</v>
      </c>
      <c r="BG18" s="26"/>
      <c r="BH18" s="26">
        <v>5.8809523809523814</v>
      </c>
      <c r="BI18" s="26">
        <v>14.666666666666666</v>
      </c>
      <c r="BJ18" s="26" t="s">
        <v>297</v>
      </c>
      <c r="BK18" s="26" t="s">
        <v>297</v>
      </c>
      <c r="BL18" s="26" t="s">
        <v>297</v>
      </c>
      <c r="BM18" s="26">
        <v>3.5249999999999999</v>
      </c>
      <c r="BN18" s="26"/>
      <c r="BO18" s="26">
        <v>0.58769230769230774</v>
      </c>
      <c r="BP18" s="26" t="s">
        <v>297</v>
      </c>
      <c r="BQ18" s="26" t="s">
        <v>297</v>
      </c>
      <c r="BR18" s="26" t="s">
        <v>297</v>
      </c>
      <c r="BS18" s="26" t="s">
        <v>297</v>
      </c>
      <c r="BT18" s="26" t="s">
        <v>297</v>
      </c>
      <c r="BU18" s="26" t="s">
        <v>297</v>
      </c>
      <c r="BV18" s="26" t="s">
        <v>297</v>
      </c>
      <c r="BW18" s="26" t="s">
        <v>297</v>
      </c>
      <c r="BX18" s="26">
        <v>2.910891089108911E-2</v>
      </c>
      <c r="BY18" s="26" t="s">
        <v>297</v>
      </c>
      <c r="BZ18" s="26">
        <v>3.1835294117647059</v>
      </c>
      <c r="CA18" s="26">
        <v>0.58799999999999997</v>
      </c>
      <c r="CB18" s="26">
        <v>1.18</v>
      </c>
      <c r="CC18" s="26">
        <v>0.58799999999999997</v>
      </c>
      <c r="CD18" s="26" t="s">
        <v>297</v>
      </c>
      <c r="CE18" s="26">
        <v>0.72399999999999998</v>
      </c>
      <c r="CF18" s="26" t="s">
        <v>297</v>
      </c>
      <c r="CG18" s="26" t="s">
        <v>297</v>
      </c>
      <c r="CH18" s="26">
        <v>0.4117777777777778</v>
      </c>
      <c r="CI18" s="26">
        <v>1.0587500000000001</v>
      </c>
      <c r="CJ18" s="26" t="s">
        <v>297</v>
      </c>
      <c r="CK18" s="26" t="s">
        <v>297</v>
      </c>
      <c r="CL18" s="26">
        <v>2.9411764705882355</v>
      </c>
      <c r="CM18" s="26" t="s">
        <v>297</v>
      </c>
      <c r="CN18" s="26">
        <v>0.78500000000000003</v>
      </c>
      <c r="CO18" s="26">
        <v>0.87738095238095237</v>
      </c>
      <c r="CP18" s="26" t="s">
        <v>297</v>
      </c>
      <c r="CQ18" s="26">
        <v>0.58799999999999997</v>
      </c>
      <c r="CR18" s="26" t="s">
        <v>297</v>
      </c>
      <c r="CS18" s="26">
        <v>2.4808324205914567</v>
      </c>
      <c r="CT18" s="26" t="s">
        <v>297</v>
      </c>
      <c r="CU18" s="26" t="s">
        <v>297</v>
      </c>
      <c r="CV18" s="26" t="s">
        <v>297</v>
      </c>
      <c r="CW18" s="26" t="s">
        <v>297</v>
      </c>
      <c r="CX18" s="26">
        <v>0.29416666666666669</v>
      </c>
      <c r="CY18" s="26" t="s">
        <v>297</v>
      </c>
      <c r="CZ18" s="26">
        <v>0.29399999999999998</v>
      </c>
      <c r="DA18" s="26">
        <v>0.41333333333333333</v>
      </c>
      <c r="DB18" s="26">
        <v>0.78846153846153844</v>
      </c>
      <c r="DC18" s="26">
        <v>1.3108571428571429</v>
      </c>
      <c r="DD18" s="26">
        <v>65.706666666666678</v>
      </c>
      <c r="DE18" s="26" t="s">
        <v>297</v>
      </c>
      <c r="DF18" s="26" t="s">
        <v>297</v>
      </c>
      <c r="DG18" s="26" t="s">
        <v>297</v>
      </c>
      <c r="DH18" s="26" t="s">
        <v>297</v>
      </c>
      <c r="DI18" s="26" t="s">
        <v>297</v>
      </c>
      <c r="DJ18" s="26" t="s">
        <v>297</v>
      </c>
      <c r="DK18" s="26">
        <v>0.58833333333333337</v>
      </c>
      <c r="DL18" s="26">
        <v>1.4119999999999999</v>
      </c>
      <c r="DM18" s="26">
        <v>1.4706896551724138</v>
      </c>
      <c r="DN18" s="26">
        <v>1.6785714285714286</v>
      </c>
      <c r="DO18" s="26" t="s">
        <v>297</v>
      </c>
      <c r="DP18" s="26">
        <v>1.0587337909992371</v>
      </c>
      <c r="DQ18" s="26">
        <v>0.76466666666666672</v>
      </c>
      <c r="DR18" s="26">
        <v>1.1775</v>
      </c>
      <c r="DS18" s="26">
        <v>1.4106666666666667</v>
      </c>
      <c r="DT18" s="26">
        <v>4.3269230769230766</v>
      </c>
      <c r="DU18" s="26" t="s">
        <v>297</v>
      </c>
      <c r="DV18" s="26" t="s">
        <v>297</v>
      </c>
      <c r="DW18" s="26" t="s">
        <v>297</v>
      </c>
      <c r="DX18" s="26" t="s">
        <v>297</v>
      </c>
      <c r="DY18" s="26">
        <v>1.0533557046979867</v>
      </c>
      <c r="DZ18" s="26" t="s">
        <v>297</v>
      </c>
      <c r="EA18" s="26" t="s">
        <v>297</v>
      </c>
      <c r="EB18" s="26" t="s">
        <v>297</v>
      </c>
      <c r="EC18" s="26" t="s">
        <v>297</v>
      </c>
      <c r="ED18" s="26" t="s">
        <v>297</v>
      </c>
      <c r="EE18" s="26">
        <v>19.600000000000001</v>
      </c>
      <c r="EF18" s="26">
        <v>19.625</v>
      </c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7"/>
      <c r="ES18" s="27"/>
      <c r="ET18" s="27"/>
      <c r="EU18" s="27"/>
    </row>
    <row r="19" spans="1:152" x14ac:dyDescent="0.2">
      <c r="A19" s="25" t="s">
        <v>306</v>
      </c>
      <c r="C19" s="26" t="s">
        <v>297</v>
      </c>
      <c r="D19" s="26" t="s">
        <v>297</v>
      </c>
      <c r="E19" s="26">
        <v>1.8761904761904762</v>
      </c>
      <c r="F19" s="26">
        <v>2.4941176470588236</v>
      </c>
      <c r="G19" s="26" t="s">
        <v>297</v>
      </c>
      <c r="H19" s="26">
        <v>2.5</v>
      </c>
      <c r="I19" s="26" t="s">
        <v>297</v>
      </c>
      <c r="J19" s="26"/>
      <c r="K19" s="26">
        <v>0.23413333333333333</v>
      </c>
      <c r="L19" s="26" t="s">
        <v>297</v>
      </c>
      <c r="M19" s="26" t="s">
        <v>297</v>
      </c>
      <c r="N19" s="26">
        <v>0.15633333333333332</v>
      </c>
      <c r="O19" s="26">
        <v>2.4603174603174605</v>
      </c>
      <c r="P19" s="26" t="s">
        <v>297</v>
      </c>
      <c r="Q19" s="26">
        <v>3.125</v>
      </c>
      <c r="R19" s="26">
        <v>0.75</v>
      </c>
      <c r="S19" s="26" t="s">
        <v>297</v>
      </c>
      <c r="T19" s="26">
        <v>8.3832335329341312</v>
      </c>
      <c r="U19" s="26" t="s">
        <v>297</v>
      </c>
      <c r="V19" s="26">
        <v>6.2874251497005993</v>
      </c>
      <c r="W19" s="26">
        <v>10.478562874251496</v>
      </c>
      <c r="X19" s="26" t="s">
        <v>297</v>
      </c>
      <c r="Y19" s="26">
        <v>10.167783245390407</v>
      </c>
      <c r="Z19" s="26">
        <v>0.98250000000000004</v>
      </c>
      <c r="AA19" s="26">
        <v>3.1240000000000001</v>
      </c>
      <c r="AB19" s="26">
        <v>0.1874945054945055</v>
      </c>
      <c r="AC19" s="26">
        <v>0.66065573770491803</v>
      </c>
      <c r="AD19" s="26">
        <v>0.48952164009111615</v>
      </c>
      <c r="AE19" s="26" t="s">
        <v>297</v>
      </c>
      <c r="AF19" s="26" t="s">
        <v>297</v>
      </c>
      <c r="AG19" s="26" t="s">
        <v>297</v>
      </c>
      <c r="AH19" s="26" t="s">
        <v>297</v>
      </c>
      <c r="AI19" s="26">
        <v>0.75</v>
      </c>
      <c r="AJ19" s="26">
        <v>0.43733333333333335</v>
      </c>
      <c r="AK19" s="26">
        <v>0.62307692307692308</v>
      </c>
      <c r="AL19" s="26" t="s">
        <v>297</v>
      </c>
      <c r="AM19" s="26">
        <v>7.767857142857143E-2</v>
      </c>
      <c r="AN19" s="26" t="s">
        <v>297</v>
      </c>
      <c r="AO19" s="26">
        <v>3.0866935483870969E-2</v>
      </c>
      <c r="AP19" s="26" t="s">
        <v>297</v>
      </c>
      <c r="AQ19" s="26" t="s">
        <v>297</v>
      </c>
      <c r="AR19" s="26" t="s">
        <v>297</v>
      </c>
      <c r="AS19" s="26" t="s">
        <v>297</v>
      </c>
      <c r="AT19" s="26" t="s">
        <v>297</v>
      </c>
      <c r="AU19" s="26">
        <v>1.2454545454545454</v>
      </c>
      <c r="AV19" s="26">
        <v>1.2516129032258065</v>
      </c>
      <c r="AW19" s="26">
        <v>3.125</v>
      </c>
      <c r="AX19" s="26" t="s">
        <v>297</v>
      </c>
      <c r="AY19" s="26">
        <v>0.43751219512195122</v>
      </c>
      <c r="AZ19" s="26">
        <v>0.18740000000000001</v>
      </c>
      <c r="BA19" s="26">
        <v>0.54166666666666663</v>
      </c>
      <c r="BB19" s="26">
        <v>0.625</v>
      </c>
      <c r="BC19" s="26" t="s">
        <v>297</v>
      </c>
      <c r="BD19" s="26"/>
      <c r="BE19" s="26">
        <v>15.583333333333334</v>
      </c>
      <c r="BF19" s="26" t="s">
        <v>297</v>
      </c>
      <c r="BG19" s="26"/>
      <c r="BH19" s="26">
        <v>0.625</v>
      </c>
      <c r="BI19" s="26">
        <v>14.384615384615385</v>
      </c>
      <c r="BJ19" s="26" t="s">
        <v>297</v>
      </c>
      <c r="BK19" s="26" t="s">
        <v>297</v>
      </c>
      <c r="BL19" s="26" t="s">
        <v>297</v>
      </c>
      <c r="BM19" s="26">
        <v>1.88</v>
      </c>
      <c r="BN19" s="26"/>
      <c r="BO19" s="26">
        <v>0.64555555555555555</v>
      </c>
      <c r="BP19" s="26" t="s">
        <v>297</v>
      </c>
      <c r="BQ19" s="26" t="s">
        <v>297</v>
      </c>
      <c r="BR19" s="26" t="s">
        <v>297</v>
      </c>
      <c r="BS19" s="26" t="s">
        <v>297</v>
      </c>
      <c r="BT19" s="26" t="s">
        <v>297</v>
      </c>
      <c r="BU19" s="26" t="s">
        <v>297</v>
      </c>
      <c r="BV19" s="26" t="s">
        <v>297</v>
      </c>
      <c r="BW19" s="26">
        <v>2.0833333333333335</v>
      </c>
      <c r="BX19" s="26">
        <v>3.0773993808049536E-2</v>
      </c>
      <c r="BY19" s="26" t="s">
        <v>297</v>
      </c>
      <c r="BZ19" s="26">
        <v>3.1246153846153848</v>
      </c>
      <c r="CA19" s="26" t="s">
        <v>297</v>
      </c>
      <c r="CB19" s="26">
        <v>1.25</v>
      </c>
      <c r="CC19" s="26">
        <v>0.6246666666666667</v>
      </c>
      <c r="CD19" s="26">
        <v>2.48</v>
      </c>
      <c r="CE19" s="26">
        <v>0.625</v>
      </c>
      <c r="CF19" s="26" t="s">
        <v>297</v>
      </c>
      <c r="CG19" s="26" t="s">
        <v>297</v>
      </c>
      <c r="CH19" s="26">
        <v>0.375</v>
      </c>
      <c r="CI19" s="26">
        <v>1.25</v>
      </c>
      <c r="CJ19" s="26" t="s">
        <v>297</v>
      </c>
      <c r="CK19" s="26" t="s">
        <v>297</v>
      </c>
      <c r="CL19" s="26">
        <v>3.125</v>
      </c>
      <c r="CM19" s="26" t="s">
        <v>297</v>
      </c>
      <c r="CN19" s="26" t="s">
        <v>297</v>
      </c>
      <c r="CO19" s="26">
        <v>0.81200000000000006</v>
      </c>
      <c r="CP19" s="26" t="s">
        <v>297</v>
      </c>
      <c r="CQ19" s="26">
        <v>0.62444444444444447</v>
      </c>
      <c r="CR19" s="26" t="s">
        <v>297</v>
      </c>
      <c r="CS19" s="26">
        <v>2.5</v>
      </c>
      <c r="CT19" s="26" t="s">
        <v>297</v>
      </c>
      <c r="CU19" s="26" t="s">
        <v>297</v>
      </c>
      <c r="CV19" s="26" t="s">
        <v>297</v>
      </c>
      <c r="CW19" s="26" t="s">
        <v>297</v>
      </c>
      <c r="CX19" s="26">
        <v>0.31254545454545457</v>
      </c>
      <c r="CY19" s="26" t="s">
        <v>297</v>
      </c>
      <c r="CZ19" s="26">
        <v>0.31233333333333335</v>
      </c>
      <c r="DA19" s="26">
        <v>0.4375</v>
      </c>
      <c r="DB19" s="26">
        <v>0.62285714285714289</v>
      </c>
      <c r="DC19" s="26">
        <v>0.97711864406779658</v>
      </c>
      <c r="DD19" s="26">
        <v>69.813333333333333</v>
      </c>
      <c r="DE19" s="26" t="s">
        <v>297</v>
      </c>
      <c r="DF19" s="26"/>
      <c r="DG19" s="26" t="s">
        <v>297</v>
      </c>
      <c r="DH19" s="26" t="s">
        <v>297</v>
      </c>
      <c r="DI19" s="26" t="s">
        <v>297</v>
      </c>
      <c r="DJ19" s="26" t="s">
        <v>297</v>
      </c>
      <c r="DK19" s="26">
        <v>0.9375</v>
      </c>
      <c r="DL19" s="26">
        <v>1.5625</v>
      </c>
      <c r="DM19" s="26">
        <v>0.92592592592592593</v>
      </c>
      <c r="DN19" s="26">
        <v>3.1228571428571428</v>
      </c>
      <c r="DO19" s="26" t="s">
        <v>297</v>
      </c>
      <c r="DP19" s="26">
        <v>0.93647058823529417</v>
      </c>
      <c r="DQ19" s="26">
        <v>0.81244444444444441</v>
      </c>
      <c r="DR19" s="26">
        <v>1.2485714285714287</v>
      </c>
      <c r="DS19" s="26">
        <v>0.9375</v>
      </c>
      <c r="DT19" s="26">
        <v>4.2383107088989442</v>
      </c>
      <c r="DU19" s="26" t="s">
        <v>297</v>
      </c>
      <c r="DV19" s="26">
        <v>1.28</v>
      </c>
      <c r="DW19" s="26" t="s">
        <v>297</v>
      </c>
      <c r="DX19" s="26" t="s">
        <v>297</v>
      </c>
      <c r="DY19" s="26" t="s">
        <v>297</v>
      </c>
      <c r="DZ19" s="26" t="s">
        <v>297</v>
      </c>
      <c r="EA19" s="26" t="s">
        <v>297</v>
      </c>
      <c r="EB19" s="26" t="s">
        <v>297</v>
      </c>
      <c r="EC19" s="26" t="s">
        <v>297</v>
      </c>
      <c r="ED19" s="26" t="s">
        <v>297</v>
      </c>
      <c r="EE19" s="26">
        <v>20.8</v>
      </c>
      <c r="EF19" s="26" t="s">
        <v>297</v>
      </c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7"/>
      <c r="ES19" s="27"/>
      <c r="ET19" s="27"/>
      <c r="EU19" s="27"/>
    </row>
    <row r="20" spans="1:152" x14ac:dyDescent="0.2">
      <c r="A20" s="25" t="s">
        <v>307</v>
      </c>
      <c r="C20" s="26" t="s">
        <v>297</v>
      </c>
      <c r="D20" s="26" t="s">
        <v>297</v>
      </c>
      <c r="E20" s="26">
        <v>1.9</v>
      </c>
      <c r="F20" s="26">
        <v>2.5</v>
      </c>
      <c r="G20" s="26" t="s">
        <v>297</v>
      </c>
      <c r="H20" s="26" t="s">
        <v>297</v>
      </c>
      <c r="I20" s="26" t="s">
        <v>297</v>
      </c>
      <c r="J20" s="26" t="s">
        <v>297</v>
      </c>
      <c r="K20" s="26" t="s">
        <v>297</v>
      </c>
      <c r="L20" s="26" t="s">
        <v>297</v>
      </c>
      <c r="M20" s="26" t="s">
        <v>297</v>
      </c>
      <c r="N20" s="26">
        <v>0.125</v>
      </c>
      <c r="O20" s="26">
        <v>2.3126984126984129</v>
      </c>
      <c r="P20" s="26" t="s">
        <v>297</v>
      </c>
      <c r="Q20" s="26">
        <v>1.875</v>
      </c>
      <c r="R20" s="26">
        <v>0.75</v>
      </c>
      <c r="S20" s="26" t="s">
        <v>297</v>
      </c>
      <c r="T20" s="26">
        <v>8.3832335329341312</v>
      </c>
      <c r="U20" s="26" t="s">
        <v>297</v>
      </c>
      <c r="V20" s="26">
        <v>6.2874251497005984</v>
      </c>
      <c r="W20" s="26">
        <v>10.479041916167665</v>
      </c>
      <c r="X20" s="26" t="s">
        <v>297</v>
      </c>
      <c r="Y20" s="26">
        <v>10.19937724550898</v>
      </c>
      <c r="Z20" s="26">
        <v>0.78125</v>
      </c>
      <c r="AA20" s="26">
        <v>3.1259999999999999</v>
      </c>
      <c r="AB20" s="26">
        <v>0.25</v>
      </c>
      <c r="AC20" s="26" t="s">
        <v>297</v>
      </c>
      <c r="AD20" s="26">
        <v>0.62322946175637395</v>
      </c>
      <c r="AE20" s="26" t="s">
        <v>297</v>
      </c>
      <c r="AF20" s="26" t="s">
        <v>297</v>
      </c>
      <c r="AG20" s="26" t="s">
        <v>297</v>
      </c>
      <c r="AH20" s="26" t="s">
        <v>297</v>
      </c>
      <c r="AI20" s="26">
        <v>0.93666666666666665</v>
      </c>
      <c r="AJ20" s="26">
        <v>0.6253333333333333</v>
      </c>
      <c r="AK20" s="26">
        <v>0.62452830188679243</v>
      </c>
      <c r="AL20" s="26" t="s">
        <v>297</v>
      </c>
      <c r="AM20" s="26">
        <v>9.6666666666666665E-2</v>
      </c>
      <c r="AN20" s="26" t="s">
        <v>297</v>
      </c>
      <c r="AO20" s="26">
        <v>2.1876923076923079E-2</v>
      </c>
      <c r="AP20" s="26" t="s">
        <v>297</v>
      </c>
      <c r="AQ20" s="26" t="s">
        <v>297</v>
      </c>
      <c r="AR20" s="26" t="s">
        <v>297</v>
      </c>
      <c r="AS20" s="26" t="s">
        <v>297</v>
      </c>
      <c r="AT20" s="26" t="s">
        <v>297</v>
      </c>
      <c r="AU20" s="26">
        <v>1.25</v>
      </c>
      <c r="AV20" s="26">
        <v>1.2454545454545454</v>
      </c>
      <c r="AW20" s="26">
        <v>3.13</v>
      </c>
      <c r="AX20" s="26" t="s">
        <v>297</v>
      </c>
      <c r="AY20" s="26">
        <v>0.31365116279069766</v>
      </c>
      <c r="AZ20" s="26">
        <v>0.21807971014492752</v>
      </c>
      <c r="BA20" s="26">
        <v>0.375</v>
      </c>
      <c r="BB20" s="26">
        <v>0.37549549549549549</v>
      </c>
      <c r="BC20" s="26" t="s">
        <v>297</v>
      </c>
      <c r="BD20" s="26"/>
      <c r="BE20" s="26">
        <v>15.6</v>
      </c>
      <c r="BF20" s="26"/>
      <c r="BG20" s="26" t="s">
        <v>297</v>
      </c>
      <c r="BH20" s="26">
        <v>0.625</v>
      </c>
      <c r="BI20" s="26">
        <v>15.75</v>
      </c>
      <c r="BJ20" s="26" t="s">
        <v>297</v>
      </c>
      <c r="BK20" s="26" t="s">
        <v>297</v>
      </c>
      <c r="BL20" s="26" t="s">
        <v>297</v>
      </c>
      <c r="BM20" s="26" t="s">
        <v>297</v>
      </c>
      <c r="BN20" s="26" t="s">
        <v>297</v>
      </c>
      <c r="BO20" s="26">
        <v>0.6253333333333333</v>
      </c>
      <c r="BP20" s="26" t="s">
        <v>297</v>
      </c>
      <c r="BQ20" s="26" t="s">
        <v>297</v>
      </c>
      <c r="BR20" s="26" t="s">
        <v>297</v>
      </c>
      <c r="BS20" s="26" t="s">
        <v>297</v>
      </c>
      <c r="BT20" s="26" t="s">
        <v>297</v>
      </c>
      <c r="BU20" s="26" t="s">
        <v>297</v>
      </c>
      <c r="BV20" s="26" t="s">
        <v>297</v>
      </c>
      <c r="BW20" s="26">
        <v>2.08</v>
      </c>
      <c r="BX20" s="26" t="s">
        <v>297</v>
      </c>
      <c r="BY20" s="26" t="s">
        <v>297</v>
      </c>
      <c r="BZ20" s="26">
        <v>3.1233333333333335</v>
      </c>
      <c r="CA20" s="26" t="s">
        <v>297</v>
      </c>
      <c r="CB20" s="26">
        <v>1.2533333333333334</v>
      </c>
      <c r="CC20" s="26">
        <v>0.625</v>
      </c>
      <c r="CD20" s="26">
        <v>2.5</v>
      </c>
      <c r="CE20" s="26">
        <v>0.625</v>
      </c>
      <c r="CF20" s="26" t="s">
        <v>297</v>
      </c>
      <c r="CG20" s="26" t="s">
        <v>297</v>
      </c>
      <c r="CH20" s="26">
        <v>0.25004444444444446</v>
      </c>
      <c r="CI20" s="26">
        <v>1</v>
      </c>
      <c r="CJ20" s="26" t="s">
        <v>297</v>
      </c>
      <c r="CK20" s="26">
        <v>1.5</v>
      </c>
      <c r="CL20" s="26">
        <v>1.88</v>
      </c>
      <c r="CM20" s="26" t="s">
        <v>297</v>
      </c>
      <c r="CN20" s="26" t="s">
        <v>297</v>
      </c>
      <c r="CO20" s="26">
        <v>0.75</v>
      </c>
      <c r="CP20" s="26" t="s">
        <v>297</v>
      </c>
      <c r="CQ20" s="26">
        <v>0.3125</v>
      </c>
      <c r="CR20" s="26" t="s">
        <v>297</v>
      </c>
      <c r="CS20" s="26">
        <v>3.124705882352941</v>
      </c>
      <c r="CT20" s="26" t="s">
        <v>297</v>
      </c>
      <c r="CU20" s="26" t="s">
        <v>297</v>
      </c>
      <c r="CV20" s="26" t="s">
        <v>297</v>
      </c>
      <c r="CW20" s="26" t="s">
        <v>297</v>
      </c>
      <c r="CX20" s="26">
        <v>0.3125</v>
      </c>
      <c r="CY20" s="26" t="s">
        <v>297</v>
      </c>
      <c r="CZ20" s="26" t="s">
        <v>297</v>
      </c>
      <c r="DA20" s="26">
        <v>0.436</v>
      </c>
      <c r="DB20" s="26">
        <v>0.62</v>
      </c>
      <c r="DC20" s="26">
        <v>0.4013210039630119</v>
      </c>
      <c r="DD20" s="26">
        <v>69.937777777777768</v>
      </c>
      <c r="DE20" s="26" t="s">
        <v>297</v>
      </c>
      <c r="DF20" s="26"/>
      <c r="DG20" s="26">
        <v>3.124242424242424</v>
      </c>
      <c r="DH20" s="26" t="s">
        <v>297</v>
      </c>
      <c r="DI20" s="26" t="s">
        <v>297</v>
      </c>
      <c r="DJ20" s="26">
        <v>1.481111111111111</v>
      </c>
      <c r="DK20" s="26" t="s">
        <v>297</v>
      </c>
      <c r="DL20" s="26" t="s">
        <v>297</v>
      </c>
      <c r="DM20" s="26" t="s">
        <v>297</v>
      </c>
      <c r="DN20" s="26" t="s">
        <v>297</v>
      </c>
      <c r="DO20" s="26" t="s">
        <v>297</v>
      </c>
      <c r="DP20" s="26">
        <v>0.9382835101253616</v>
      </c>
      <c r="DQ20" s="26">
        <v>0.75</v>
      </c>
      <c r="DR20" s="26">
        <v>1.25</v>
      </c>
      <c r="DS20" s="26">
        <v>0.93666666666666665</v>
      </c>
      <c r="DT20" s="26">
        <v>4.2420814479638009</v>
      </c>
      <c r="DU20" s="26" t="s">
        <v>297</v>
      </c>
      <c r="DV20" s="26">
        <v>1.3123076923076924</v>
      </c>
      <c r="DW20" s="26" t="s">
        <v>297</v>
      </c>
      <c r="DX20" s="26" t="s">
        <v>297</v>
      </c>
      <c r="DY20" s="26" t="s">
        <v>297</v>
      </c>
      <c r="DZ20" s="26" t="s">
        <v>297</v>
      </c>
      <c r="EA20" s="26" t="s">
        <v>297</v>
      </c>
      <c r="EB20" s="26" t="s">
        <v>297</v>
      </c>
      <c r="EC20" s="26" t="s">
        <v>297</v>
      </c>
      <c r="ED20" s="26" t="s">
        <v>297</v>
      </c>
      <c r="EE20" s="26" t="s">
        <v>297</v>
      </c>
      <c r="EF20" s="26" t="s">
        <v>297</v>
      </c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7"/>
      <c r="ES20" s="27"/>
      <c r="ET20" s="27"/>
      <c r="EU20" s="27"/>
    </row>
    <row r="21" spans="1:152" x14ac:dyDescent="0.2">
      <c r="A21" s="25" t="s">
        <v>308</v>
      </c>
      <c r="C21" s="26" t="s">
        <v>297</v>
      </c>
      <c r="D21" s="26" t="s">
        <v>297</v>
      </c>
      <c r="E21" s="26">
        <v>2</v>
      </c>
      <c r="F21" s="26" t="s">
        <v>297</v>
      </c>
      <c r="G21" s="26" t="s">
        <v>297</v>
      </c>
      <c r="H21" s="26">
        <v>2.6666666666666665</v>
      </c>
      <c r="I21" s="26" t="s">
        <v>297</v>
      </c>
      <c r="J21" s="26" t="s">
        <v>297</v>
      </c>
      <c r="K21" s="26" t="s">
        <v>297</v>
      </c>
      <c r="L21" s="26" t="s">
        <v>297</v>
      </c>
      <c r="M21" s="26" t="s">
        <v>297</v>
      </c>
      <c r="N21" s="26">
        <v>0.13333333333333333</v>
      </c>
      <c r="O21" s="26">
        <v>2.2962962962962963</v>
      </c>
      <c r="P21" s="26" t="s">
        <v>297</v>
      </c>
      <c r="Q21" s="26">
        <v>1.6666666666666667</v>
      </c>
      <c r="R21" s="26">
        <v>0.8</v>
      </c>
      <c r="S21" s="26" t="s">
        <v>297</v>
      </c>
      <c r="T21" s="26">
        <v>9.4998802395209569</v>
      </c>
      <c r="U21" s="26" t="s">
        <v>297</v>
      </c>
      <c r="V21" s="26">
        <v>6.706586826347305</v>
      </c>
      <c r="W21" s="26">
        <v>11.177197604790418</v>
      </c>
      <c r="X21" s="26" t="s">
        <v>297</v>
      </c>
      <c r="Y21" s="26">
        <v>10.839568500050937</v>
      </c>
      <c r="Z21" s="26">
        <v>1.0357142857142858</v>
      </c>
      <c r="AA21" s="26">
        <v>3.3333333333333335</v>
      </c>
      <c r="AB21" s="26">
        <v>0.31381924198250727</v>
      </c>
      <c r="AC21" s="26" t="s">
        <v>297</v>
      </c>
      <c r="AD21" s="26">
        <v>0.52243589743589747</v>
      </c>
      <c r="AE21" s="26" t="s">
        <v>297</v>
      </c>
      <c r="AF21" s="26" t="s">
        <v>297</v>
      </c>
      <c r="AG21" s="26" t="s">
        <v>297</v>
      </c>
      <c r="AH21" s="26" t="s">
        <v>297</v>
      </c>
      <c r="AI21" s="26">
        <v>1</v>
      </c>
      <c r="AJ21" s="26">
        <v>0.66666666666666663</v>
      </c>
      <c r="AK21" s="26">
        <v>0.66666666666666663</v>
      </c>
      <c r="AL21" s="26" t="s">
        <v>297</v>
      </c>
      <c r="AM21" s="26">
        <v>0.13362831858407079</v>
      </c>
      <c r="AN21" s="26" t="s">
        <v>297</v>
      </c>
      <c r="AO21" s="26">
        <v>2.3336842105263159E-2</v>
      </c>
      <c r="AP21" s="26" t="s">
        <v>297</v>
      </c>
      <c r="AQ21" s="26" t="s">
        <v>297</v>
      </c>
      <c r="AR21" s="26" t="s">
        <v>297</v>
      </c>
      <c r="AS21" s="26" t="s">
        <v>297</v>
      </c>
      <c r="AT21" s="26" t="s">
        <v>297</v>
      </c>
      <c r="AU21" s="26">
        <v>1.3333333333333333</v>
      </c>
      <c r="AV21" s="26">
        <v>1.3333333333333333</v>
      </c>
      <c r="AW21" s="26">
        <v>3.3316582914572863</v>
      </c>
      <c r="AX21" s="26" t="s">
        <v>297</v>
      </c>
      <c r="AY21" s="26">
        <v>0.33333333333333331</v>
      </c>
      <c r="AZ21" s="26">
        <v>0.23198305084745763</v>
      </c>
      <c r="BA21" s="26">
        <v>0.4</v>
      </c>
      <c r="BB21" s="26">
        <v>0.64605837738450933</v>
      </c>
      <c r="BC21" s="26" t="s">
        <v>297</v>
      </c>
      <c r="BD21" s="26"/>
      <c r="BE21" s="26">
        <v>20</v>
      </c>
      <c r="BF21" s="26"/>
      <c r="BG21" s="26" t="s">
        <v>297</v>
      </c>
      <c r="BH21" s="26">
        <v>0.66817042606516286</v>
      </c>
      <c r="BI21" s="26">
        <v>16.625</v>
      </c>
      <c r="BJ21" s="26" t="s">
        <v>297</v>
      </c>
      <c r="BK21" s="26" t="s">
        <v>297</v>
      </c>
      <c r="BL21" s="26" t="s">
        <v>297</v>
      </c>
      <c r="BM21" s="26" t="s">
        <v>297</v>
      </c>
      <c r="BN21" s="26" t="s">
        <v>297</v>
      </c>
      <c r="BO21" s="26">
        <v>0.66666666666666663</v>
      </c>
      <c r="BP21" s="26" t="s">
        <v>297</v>
      </c>
      <c r="BQ21" s="26">
        <v>1.625</v>
      </c>
      <c r="BR21" s="26"/>
      <c r="BS21" s="26" t="s">
        <v>297</v>
      </c>
      <c r="BT21" s="26" t="s">
        <v>297</v>
      </c>
      <c r="BU21" s="26" t="s">
        <v>297</v>
      </c>
      <c r="BV21" s="26" t="s">
        <v>297</v>
      </c>
      <c r="BW21" s="26">
        <v>1.7777777777777777</v>
      </c>
      <c r="BX21" s="26" t="s">
        <v>297</v>
      </c>
      <c r="BY21" s="26" t="s">
        <v>297</v>
      </c>
      <c r="BZ21" s="26">
        <v>3.3333333333333335</v>
      </c>
      <c r="CA21" s="26" t="s">
        <v>297</v>
      </c>
      <c r="CB21" s="26">
        <v>2.3333333333333335</v>
      </c>
      <c r="CC21" s="26">
        <v>0.66666666666666663</v>
      </c>
      <c r="CD21" s="26">
        <v>2.6666666666666665</v>
      </c>
      <c r="CE21" s="26">
        <v>0.66666666666666663</v>
      </c>
      <c r="CF21" s="26" t="s">
        <v>297</v>
      </c>
      <c r="CG21" s="26" t="s">
        <v>297</v>
      </c>
      <c r="CH21" s="26">
        <v>0.26669629958884322</v>
      </c>
      <c r="CI21" s="26">
        <v>1.133</v>
      </c>
      <c r="CJ21" s="26" t="s">
        <v>297</v>
      </c>
      <c r="CK21" s="26">
        <v>1.6666666666666667</v>
      </c>
      <c r="CL21" s="26">
        <v>3.3333333333333335</v>
      </c>
      <c r="CM21" s="26" t="s">
        <v>297</v>
      </c>
      <c r="CN21" s="26" t="s">
        <v>297</v>
      </c>
      <c r="CO21" s="26">
        <v>1.2</v>
      </c>
      <c r="CP21" s="26" t="s">
        <v>297</v>
      </c>
      <c r="CQ21" s="26">
        <v>0.33339999999999997</v>
      </c>
      <c r="CR21" s="26" t="s">
        <v>297</v>
      </c>
      <c r="CS21" s="26">
        <v>3.3320261437908498</v>
      </c>
      <c r="CT21" s="26" t="s">
        <v>297</v>
      </c>
      <c r="CU21" s="26" t="s">
        <v>297</v>
      </c>
      <c r="CV21" s="26" t="s">
        <v>297</v>
      </c>
      <c r="CW21" s="26" t="s">
        <v>297</v>
      </c>
      <c r="CX21" s="26">
        <v>0.33333333333333331</v>
      </c>
      <c r="CY21" s="26" t="s">
        <v>297</v>
      </c>
      <c r="CZ21" s="26" t="s">
        <v>297</v>
      </c>
      <c r="DA21" s="26">
        <v>0.46724890829694321</v>
      </c>
      <c r="DB21" s="26">
        <v>0.33333333333333331</v>
      </c>
      <c r="DC21" s="26">
        <v>1.0485436893203883</v>
      </c>
      <c r="DD21" s="26">
        <v>74.666666666666671</v>
      </c>
      <c r="DE21" s="26" t="s">
        <v>297</v>
      </c>
      <c r="DF21" s="26"/>
      <c r="DG21" s="26">
        <v>3.3359999999999999</v>
      </c>
      <c r="DH21" s="26" t="s">
        <v>297</v>
      </c>
      <c r="DI21" s="26" t="s">
        <v>297</v>
      </c>
      <c r="DJ21" s="26">
        <v>1.6346153846153846</v>
      </c>
      <c r="DK21" s="26" t="s">
        <v>297</v>
      </c>
      <c r="DL21" s="26" t="s">
        <v>297</v>
      </c>
      <c r="DM21" s="26" t="s">
        <v>297</v>
      </c>
      <c r="DN21" s="26" t="s">
        <v>297</v>
      </c>
      <c r="DO21" s="26" t="s">
        <v>297</v>
      </c>
      <c r="DP21" s="26">
        <v>1</v>
      </c>
      <c r="DQ21" s="26">
        <v>0.8</v>
      </c>
      <c r="DR21" s="26">
        <v>1.3333333333333333</v>
      </c>
      <c r="DS21" s="26">
        <v>1</v>
      </c>
      <c r="DT21" s="26">
        <v>7.239819004524886</v>
      </c>
      <c r="DU21" s="26" t="s">
        <v>297</v>
      </c>
      <c r="DV21" s="26">
        <v>1.2242268041237114</v>
      </c>
      <c r="DW21" s="26" t="s">
        <v>297</v>
      </c>
      <c r="DX21" s="26" t="s">
        <v>297</v>
      </c>
      <c r="DY21" s="26" t="s">
        <v>297</v>
      </c>
      <c r="DZ21" s="26" t="s">
        <v>297</v>
      </c>
      <c r="EA21" s="26" t="s">
        <v>297</v>
      </c>
      <c r="EB21" s="26" t="s">
        <v>297</v>
      </c>
      <c r="EC21" s="26" t="s">
        <v>297</v>
      </c>
      <c r="ED21" s="26" t="s">
        <v>297</v>
      </c>
      <c r="EE21" s="26" t="s">
        <v>297</v>
      </c>
      <c r="EF21" s="26" t="s">
        <v>297</v>
      </c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7"/>
      <c r="ES21" s="27"/>
      <c r="ET21" s="27"/>
      <c r="EU21" s="27"/>
    </row>
    <row r="22" spans="1:152" x14ac:dyDescent="0.2">
      <c r="A22" s="25" t="s">
        <v>309</v>
      </c>
      <c r="C22" s="26" t="s">
        <v>297</v>
      </c>
      <c r="D22" s="26" t="s">
        <v>297</v>
      </c>
      <c r="E22" s="26">
        <v>2</v>
      </c>
      <c r="F22" s="26" t="s">
        <v>297</v>
      </c>
      <c r="G22" s="26" t="s">
        <v>297</v>
      </c>
      <c r="H22" s="26">
        <v>2.625</v>
      </c>
      <c r="I22" s="26" t="s">
        <v>297</v>
      </c>
      <c r="J22" s="26" t="s">
        <v>297</v>
      </c>
      <c r="K22" s="26" t="s">
        <v>297</v>
      </c>
      <c r="L22" s="26">
        <v>8</v>
      </c>
      <c r="M22" s="26" t="s">
        <v>297</v>
      </c>
      <c r="N22" s="26">
        <v>0.13329411764705881</v>
      </c>
      <c r="O22" s="26">
        <v>2.2880952380952384</v>
      </c>
      <c r="P22" s="26" t="s">
        <v>297</v>
      </c>
      <c r="Q22" s="26">
        <v>1.66675</v>
      </c>
      <c r="R22" s="26">
        <v>0.8</v>
      </c>
      <c r="S22" s="26">
        <v>9.6549579102664236</v>
      </c>
      <c r="T22" s="26" t="s">
        <v>297</v>
      </c>
      <c r="U22" s="26" t="s">
        <v>297</v>
      </c>
      <c r="V22" s="26" t="s">
        <v>297</v>
      </c>
      <c r="W22" s="26" t="s">
        <v>297</v>
      </c>
      <c r="X22" s="26" t="s">
        <v>297</v>
      </c>
      <c r="Y22" s="26" t="s">
        <v>297</v>
      </c>
      <c r="Z22" s="26">
        <v>1.1586956521739131</v>
      </c>
      <c r="AA22" s="26">
        <v>3.3333333333333335</v>
      </c>
      <c r="AB22" s="26">
        <v>0.24869230769230768</v>
      </c>
      <c r="AC22" s="26" t="s">
        <v>297</v>
      </c>
      <c r="AD22" s="26">
        <v>1.0562091503267974</v>
      </c>
      <c r="AE22" s="26" t="s">
        <v>297</v>
      </c>
      <c r="AF22" s="26" t="s">
        <v>297</v>
      </c>
      <c r="AG22" s="26" t="s">
        <v>297</v>
      </c>
      <c r="AH22" s="26" t="s">
        <v>297</v>
      </c>
      <c r="AI22" s="26">
        <v>1</v>
      </c>
      <c r="AJ22" s="26">
        <v>0.66666666666666663</v>
      </c>
      <c r="AK22" s="26">
        <v>0.7142857142857143</v>
      </c>
      <c r="AL22" s="26" t="s">
        <v>297</v>
      </c>
      <c r="AM22" s="26">
        <v>0.13306666666666667</v>
      </c>
      <c r="AN22" s="26" t="s">
        <v>297</v>
      </c>
      <c r="AO22" s="26">
        <v>2.4250000000000001E-2</v>
      </c>
      <c r="AP22" s="26" t="s">
        <v>297</v>
      </c>
      <c r="AQ22" s="26" t="s">
        <v>297</v>
      </c>
      <c r="AR22" s="26" t="s">
        <v>297</v>
      </c>
      <c r="AS22" s="26" t="s">
        <v>297</v>
      </c>
      <c r="AT22" s="26" t="s">
        <v>297</v>
      </c>
      <c r="AU22" s="26" t="s">
        <v>297</v>
      </c>
      <c r="AV22" s="26" t="s">
        <v>297</v>
      </c>
      <c r="AW22" s="26" t="s">
        <v>297</v>
      </c>
      <c r="AX22" s="26">
        <v>0.30821484172288532</v>
      </c>
      <c r="AY22" s="26" t="s">
        <v>297</v>
      </c>
      <c r="AZ22" s="26" t="s">
        <v>297</v>
      </c>
      <c r="BA22" s="26" t="s">
        <v>297</v>
      </c>
      <c r="BB22" s="26" t="s">
        <v>297</v>
      </c>
      <c r="BC22" s="26" t="s">
        <v>297</v>
      </c>
      <c r="BD22" s="26" t="s">
        <v>297</v>
      </c>
      <c r="BE22" s="26" t="s">
        <v>297</v>
      </c>
      <c r="BF22" s="26"/>
      <c r="BG22" s="26" t="s">
        <v>297</v>
      </c>
      <c r="BH22" s="26">
        <v>0.66657142857142859</v>
      </c>
      <c r="BI22" s="26">
        <v>16.8</v>
      </c>
      <c r="BJ22" s="26" t="s">
        <v>297</v>
      </c>
      <c r="BK22" s="26" t="s">
        <v>297</v>
      </c>
      <c r="BL22" s="26" t="s">
        <v>297</v>
      </c>
      <c r="BM22" s="26" t="s">
        <v>297</v>
      </c>
      <c r="BN22" s="26" t="s">
        <v>297</v>
      </c>
      <c r="BO22" s="26">
        <v>0.66666666666666663</v>
      </c>
      <c r="BP22" s="26" t="s">
        <v>297</v>
      </c>
      <c r="BQ22" s="26" t="s">
        <v>297</v>
      </c>
      <c r="BR22" s="26" t="s">
        <v>297</v>
      </c>
      <c r="BS22" s="26" t="s">
        <v>297</v>
      </c>
      <c r="BT22" s="26" t="s">
        <v>297</v>
      </c>
      <c r="BU22" s="26" t="s">
        <v>297</v>
      </c>
      <c r="BV22" s="26" t="s">
        <v>297</v>
      </c>
      <c r="BW22" s="26">
        <v>1.7777777777777777</v>
      </c>
      <c r="BX22" s="26" t="s">
        <v>297</v>
      </c>
      <c r="BY22" s="26" t="s">
        <v>297</v>
      </c>
      <c r="BZ22" s="26">
        <v>3.3333333333333335</v>
      </c>
      <c r="CA22" s="26" t="s">
        <v>297</v>
      </c>
      <c r="CB22" s="26">
        <v>2.3250000000000002</v>
      </c>
      <c r="CC22" s="26">
        <v>0.66657142857142859</v>
      </c>
      <c r="CD22" s="26">
        <v>2.6666666666666665</v>
      </c>
      <c r="CE22" s="26">
        <v>0.67</v>
      </c>
      <c r="CF22" s="26" t="s">
        <v>297</v>
      </c>
      <c r="CG22" s="26" t="s">
        <v>297</v>
      </c>
      <c r="CH22" s="26">
        <v>0.33339285714285716</v>
      </c>
      <c r="CI22" s="26">
        <v>1.1325000000000001</v>
      </c>
      <c r="CJ22" s="26" t="s">
        <v>297</v>
      </c>
      <c r="CK22" s="26">
        <v>1.66</v>
      </c>
      <c r="CL22" s="26">
        <v>3.3333333333333335</v>
      </c>
      <c r="CM22" s="26" t="s">
        <v>297</v>
      </c>
      <c r="CN22" s="26" t="s">
        <v>297</v>
      </c>
      <c r="CO22" s="26">
        <v>1.3333333333333333</v>
      </c>
      <c r="CP22" s="26" t="s">
        <v>297</v>
      </c>
      <c r="CQ22" s="26" t="s">
        <v>297</v>
      </c>
      <c r="CR22" s="26" t="s">
        <v>297</v>
      </c>
      <c r="CS22" s="26">
        <v>2.4994520547945207</v>
      </c>
      <c r="CT22" s="26" t="s">
        <v>297</v>
      </c>
      <c r="CU22" s="26" t="s">
        <v>297</v>
      </c>
      <c r="CV22" s="26" t="s">
        <v>297</v>
      </c>
      <c r="CW22" s="26" t="s">
        <v>297</v>
      </c>
      <c r="CX22" s="26">
        <v>0.4</v>
      </c>
      <c r="CY22" s="26">
        <v>0.40627906976744188</v>
      </c>
      <c r="CZ22" s="26" t="s">
        <v>297</v>
      </c>
      <c r="DA22" s="26" t="s">
        <v>297</v>
      </c>
      <c r="DB22" s="26" t="s">
        <v>297</v>
      </c>
      <c r="DC22" s="26">
        <v>1.0461111111111112</v>
      </c>
      <c r="DD22" s="26">
        <v>74.666666666666657</v>
      </c>
      <c r="DE22" s="26" t="s">
        <v>297</v>
      </c>
      <c r="DF22" s="26"/>
      <c r="DG22" s="26" t="s">
        <v>297</v>
      </c>
      <c r="DH22" s="26" t="s">
        <v>297</v>
      </c>
      <c r="DI22" s="26" t="s">
        <v>297</v>
      </c>
      <c r="DJ22" s="26">
        <v>1.8995348837209303</v>
      </c>
      <c r="DK22" s="26" t="s">
        <v>297</v>
      </c>
      <c r="DL22" s="26" t="s">
        <v>297</v>
      </c>
      <c r="DM22" s="26" t="s">
        <v>297</v>
      </c>
      <c r="DN22" s="26" t="s">
        <v>297</v>
      </c>
      <c r="DO22" s="26" t="s">
        <v>297</v>
      </c>
      <c r="DP22" s="26">
        <v>1</v>
      </c>
      <c r="DQ22" s="26">
        <v>0.8</v>
      </c>
      <c r="DR22" s="26">
        <v>1.335</v>
      </c>
      <c r="DS22" s="26">
        <v>1</v>
      </c>
      <c r="DT22" s="26">
        <v>4.5248868778280542</v>
      </c>
      <c r="DU22" s="26" t="s">
        <v>297</v>
      </c>
      <c r="DV22" s="26">
        <v>0.92</v>
      </c>
      <c r="DW22" s="26" t="s">
        <v>297</v>
      </c>
      <c r="DX22" s="26" t="s">
        <v>297</v>
      </c>
      <c r="DY22" s="26" t="s">
        <v>297</v>
      </c>
      <c r="DZ22" s="26" t="s">
        <v>297</v>
      </c>
      <c r="EA22" s="26" t="s">
        <v>297</v>
      </c>
      <c r="EB22" s="26" t="s">
        <v>297</v>
      </c>
      <c r="EC22" s="26" t="s">
        <v>297</v>
      </c>
      <c r="ED22" s="26" t="s">
        <v>297</v>
      </c>
      <c r="EE22" s="26" t="s">
        <v>297</v>
      </c>
      <c r="EF22" s="26" t="s">
        <v>297</v>
      </c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7"/>
      <c r="ES22" s="27"/>
      <c r="ET22" s="27"/>
      <c r="EU22" s="27"/>
    </row>
    <row r="23" spans="1:152" x14ac:dyDescent="0.2">
      <c r="A23" s="25" t="s">
        <v>310</v>
      </c>
      <c r="C23" s="26" t="s">
        <v>297</v>
      </c>
      <c r="D23" s="26" t="s">
        <v>297</v>
      </c>
      <c r="E23" s="26">
        <v>2</v>
      </c>
      <c r="F23" s="26" t="s">
        <v>297</v>
      </c>
      <c r="G23" s="26" t="s">
        <v>297</v>
      </c>
      <c r="H23" s="26">
        <v>3.225806451612903</v>
      </c>
      <c r="I23" s="26" t="s">
        <v>297</v>
      </c>
      <c r="J23" s="26" t="s">
        <v>297</v>
      </c>
      <c r="K23" s="26" t="s">
        <v>297</v>
      </c>
      <c r="L23" s="26" t="s">
        <v>297</v>
      </c>
      <c r="M23" s="26" t="s">
        <v>297</v>
      </c>
      <c r="N23" s="26">
        <v>0.13333333333333333</v>
      </c>
      <c r="O23" s="26">
        <v>2.2962962962962963</v>
      </c>
      <c r="P23" s="26" t="s">
        <v>297</v>
      </c>
      <c r="Q23" s="26">
        <v>1.6666666666666667</v>
      </c>
      <c r="R23" s="26">
        <v>0.8</v>
      </c>
      <c r="S23" s="26">
        <v>6.254272311799574</v>
      </c>
      <c r="T23" s="26" t="s">
        <v>297</v>
      </c>
      <c r="U23" s="26" t="s">
        <v>297</v>
      </c>
      <c r="V23" s="26" t="s">
        <v>297</v>
      </c>
      <c r="W23" s="26" t="s">
        <v>297</v>
      </c>
      <c r="X23" s="26" t="s">
        <v>297</v>
      </c>
      <c r="Y23" s="26" t="s">
        <v>297</v>
      </c>
      <c r="Z23" s="26">
        <v>1.0457142857142858</v>
      </c>
      <c r="AA23" s="26">
        <v>3.3622183708838822</v>
      </c>
      <c r="AB23" s="26">
        <v>0.21907142857142858</v>
      </c>
      <c r="AC23" s="26" t="s">
        <v>297</v>
      </c>
      <c r="AD23" s="26">
        <v>0.7116438356164384</v>
      </c>
      <c r="AE23" s="26" t="s">
        <v>297</v>
      </c>
      <c r="AF23" s="26" t="s">
        <v>297</v>
      </c>
      <c r="AG23" s="26" t="s">
        <v>297</v>
      </c>
      <c r="AH23" s="26" t="s">
        <v>297</v>
      </c>
      <c r="AI23" s="26" t="s">
        <v>297</v>
      </c>
      <c r="AJ23" s="26" t="s">
        <v>297</v>
      </c>
      <c r="AK23" s="26">
        <v>0.66666666666666663</v>
      </c>
      <c r="AL23" s="26" t="s">
        <v>297</v>
      </c>
      <c r="AM23" s="26">
        <v>0.13333333333333333</v>
      </c>
      <c r="AN23" s="26" t="s">
        <v>297</v>
      </c>
      <c r="AO23" s="26">
        <v>2.3333333333333334E-2</v>
      </c>
      <c r="AP23" s="26" t="s">
        <v>297</v>
      </c>
      <c r="AQ23" s="26" t="s">
        <v>297</v>
      </c>
      <c r="AR23" s="26" t="s">
        <v>297</v>
      </c>
      <c r="AS23" s="26" t="s">
        <v>297</v>
      </c>
      <c r="AT23" s="26" t="s">
        <v>297</v>
      </c>
      <c r="AU23" s="26" t="s">
        <v>297</v>
      </c>
      <c r="AV23" s="26" t="s">
        <v>297</v>
      </c>
      <c r="AW23" s="26" t="s">
        <v>297</v>
      </c>
      <c r="AX23" s="26">
        <v>0.434822427379006</v>
      </c>
      <c r="AY23" s="26" t="s">
        <v>297</v>
      </c>
      <c r="AZ23" s="26" t="s">
        <v>297</v>
      </c>
      <c r="BA23" s="26" t="s">
        <v>297</v>
      </c>
      <c r="BB23" s="26" t="s">
        <v>297</v>
      </c>
      <c r="BC23" s="26" t="s">
        <v>297</v>
      </c>
      <c r="BD23" s="26" t="s">
        <v>297</v>
      </c>
      <c r="BE23" s="26" t="s">
        <v>297</v>
      </c>
      <c r="BF23" s="26"/>
      <c r="BG23" s="26" t="s">
        <v>297</v>
      </c>
      <c r="BH23" s="26">
        <v>0.66649999999999998</v>
      </c>
      <c r="BI23" s="26">
        <v>16.666666666666668</v>
      </c>
      <c r="BJ23" s="26" t="s">
        <v>297</v>
      </c>
      <c r="BK23" s="26" t="s">
        <v>297</v>
      </c>
      <c r="BL23" s="26" t="s">
        <v>297</v>
      </c>
      <c r="BM23" s="26" t="s">
        <v>297</v>
      </c>
      <c r="BN23" s="26" t="s">
        <v>297</v>
      </c>
      <c r="BO23" s="26">
        <v>0.83333333333333337</v>
      </c>
      <c r="BP23" s="26" t="s">
        <v>297</v>
      </c>
      <c r="BQ23" s="26" t="s">
        <v>297</v>
      </c>
      <c r="BR23" s="26" t="s">
        <v>297</v>
      </c>
      <c r="BS23" s="26" t="s">
        <v>297</v>
      </c>
      <c r="BT23" s="26" t="s">
        <v>297</v>
      </c>
      <c r="BU23" s="26" t="s">
        <v>297</v>
      </c>
      <c r="BV23" s="26" t="s">
        <v>297</v>
      </c>
      <c r="BW23" s="26">
        <v>1.7733333333333334</v>
      </c>
      <c r="BX23" s="26" t="s">
        <v>297</v>
      </c>
      <c r="BY23" s="26" t="s">
        <v>297</v>
      </c>
      <c r="BZ23" s="26">
        <v>3.3333333333333335</v>
      </c>
      <c r="CA23" s="26" t="s">
        <v>297</v>
      </c>
      <c r="CB23" s="26" t="s">
        <v>297</v>
      </c>
      <c r="CC23" s="26">
        <v>0.66679360243716679</v>
      </c>
      <c r="CD23" s="26" t="s">
        <v>297</v>
      </c>
      <c r="CE23" s="26">
        <v>0.66878980891719741</v>
      </c>
      <c r="CF23" s="26" t="s">
        <v>297</v>
      </c>
      <c r="CG23" s="26" t="s">
        <v>297</v>
      </c>
      <c r="CH23" s="26">
        <v>0.36675900277008311</v>
      </c>
      <c r="CI23" s="26">
        <v>1.1325000000000001</v>
      </c>
      <c r="CJ23" s="26" t="s">
        <v>297</v>
      </c>
      <c r="CK23" s="26">
        <v>1.6639999999999999</v>
      </c>
      <c r="CL23" s="26">
        <v>3.33</v>
      </c>
      <c r="CM23" s="26" t="s">
        <v>297</v>
      </c>
      <c r="CN23" s="26" t="s">
        <v>297</v>
      </c>
      <c r="CO23" s="26">
        <v>1.3333333333333333</v>
      </c>
      <c r="CP23" s="26" t="s">
        <v>297</v>
      </c>
      <c r="CQ23" s="26" t="s">
        <v>297</v>
      </c>
      <c r="CR23" s="26" t="s">
        <v>297</v>
      </c>
      <c r="CS23" s="26">
        <v>2.9661224489795917</v>
      </c>
      <c r="CT23" s="26" t="s">
        <v>297</v>
      </c>
      <c r="CU23" s="26" t="s">
        <v>297</v>
      </c>
      <c r="CV23" s="26" t="s">
        <v>297</v>
      </c>
      <c r="CW23" s="26" t="s">
        <v>297</v>
      </c>
      <c r="CX23" s="26">
        <v>0.45</v>
      </c>
      <c r="CY23" s="26">
        <v>0.46268656716417911</v>
      </c>
      <c r="CZ23" s="26" t="s">
        <v>297</v>
      </c>
      <c r="DA23" s="26" t="s">
        <v>297</v>
      </c>
      <c r="DB23" s="26" t="s">
        <v>297</v>
      </c>
      <c r="DC23" s="26">
        <v>1.0137190082644627</v>
      </c>
      <c r="DD23" s="26">
        <v>74.666666666666671</v>
      </c>
      <c r="DE23" s="26" t="s">
        <v>297</v>
      </c>
      <c r="DF23" s="26" t="s">
        <v>297</v>
      </c>
      <c r="DG23" s="26" t="s">
        <v>297</v>
      </c>
      <c r="DH23" s="26" t="s">
        <v>297</v>
      </c>
      <c r="DI23" s="26" t="s">
        <v>297</v>
      </c>
      <c r="DJ23" s="26">
        <v>1.5029663810151614</v>
      </c>
      <c r="DK23" s="26" t="s">
        <v>297</v>
      </c>
      <c r="DL23" s="26" t="s">
        <v>297</v>
      </c>
      <c r="DM23" s="26" t="s">
        <v>297</v>
      </c>
      <c r="DN23" s="26" t="s">
        <v>297</v>
      </c>
      <c r="DO23" s="26" t="s">
        <v>297</v>
      </c>
      <c r="DP23" s="26">
        <v>1</v>
      </c>
      <c r="DQ23" s="26">
        <v>0.66671999999999998</v>
      </c>
      <c r="DR23" s="26">
        <v>1</v>
      </c>
      <c r="DS23" s="26">
        <v>1</v>
      </c>
      <c r="DT23" s="26">
        <v>4.5248868778280542</v>
      </c>
      <c r="DU23" s="26" t="s">
        <v>297</v>
      </c>
      <c r="DV23" s="26" t="s">
        <v>297</v>
      </c>
      <c r="DW23" s="26" t="s">
        <v>297</v>
      </c>
      <c r="DX23" s="26" t="s">
        <v>297</v>
      </c>
      <c r="DY23" s="26" t="s">
        <v>297</v>
      </c>
      <c r="DZ23" s="26" t="s">
        <v>297</v>
      </c>
      <c r="EA23" s="26" t="s">
        <v>297</v>
      </c>
      <c r="EB23" s="26" t="s">
        <v>297</v>
      </c>
      <c r="EC23" s="26" t="s">
        <v>297</v>
      </c>
      <c r="ED23" s="26" t="s">
        <v>297</v>
      </c>
      <c r="EE23" s="26" t="s">
        <v>297</v>
      </c>
      <c r="EF23" s="26" t="s">
        <v>297</v>
      </c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7"/>
      <c r="ES23" s="27"/>
      <c r="ET23" s="27"/>
      <c r="EU23" s="27"/>
    </row>
    <row r="24" spans="1:152" x14ac:dyDescent="0.2">
      <c r="A24" s="25" t="s">
        <v>311</v>
      </c>
      <c r="C24" s="26" t="s">
        <v>297</v>
      </c>
      <c r="D24" s="26">
        <v>6.8571428571428568</v>
      </c>
      <c r="E24" s="26">
        <v>2.5735294117647061</v>
      </c>
      <c r="F24" s="26" t="s">
        <v>297</v>
      </c>
      <c r="G24" s="26" t="s">
        <v>297</v>
      </c>
      <c r="H24" s="26">
        <v>0.13636363636363635</v>
      </c>
      <c r="I24" s="26">
        <v>0.21433311214333112</v>
      </c>
      <c r="J24" s="26">
        <v>8</v>
      </c>
      <c r="K24" s="26"/>
      <c r="L24" s="26" t="s">
        <v>297</v>
      </c>
      <c r="M24" s="26">
        <v>2.183098591549296</v>
      </c>
      <c r="N24" s="26" t="s">
        <v>297</v>
      </c>
      <c r="O24" s="26">
        <v>2.0939226519337018</v>
      </c>
      <c r="P24" s="26" t="s">
        <v>297</v>
      </c>
      <c r="Q24" s="26" t="s">
        <v>297</v>
      </c>
      <c r="R24" s="26">
        <v>0.75284738041002275</v>
      </c>
      <c r="S24" s="26">
        <v>4.3284662576687118</v>
      </c>
      <c r="T24" s="26" t="s">
        <v>297</v>
      </c>
      <c r="U24" s="26" t="s">
        <v>297</v>
      </c>
      <c r="V24" s="26" t="s">
        <v>297</v>
      </c>
      <c r="W24" s="26" t="s">
        <v>297</v>
      </c>
      <c r="X24" s="26" t="s">
        <v>297</v>
      </c>
      <c r="Y24" s="26" t="s">
        <v>297</v>
      </c>
      <c r="Z24" s="26" t="s">
        <v>297</v>
      </c>
      <c r="AA24" s="26" t="s">
        <v>297</v>
      </c>
      <c r="AB24" s="26">
        <v>0.24704890387858347</v>
      </c>
      <c r="AC24" s="26">
        <v>1.5009980039920159</v>
      </c>
      <c r="AD24" s="26" t="s">
        <v>297</v>
      </c>
      <c r="AE24" s="26">
        <v>1.3244274809160306</v>
      </c>
      <c r="AF24" s="26" t="s">
        <v>297</v>
      </c>
      <c r="AG24" s="26" t="s">
        <v>297</v>
      </c>
      <c r="AH24" s="26">
        <v>0.41816009557945044</v>
      </c>
      <c r="AI24" s="26" t="s">
        <v>297</v>
      </c>
      <c r="AJ24" s="26" t="s">
        <v>297</v>
      </c>
      <c r="AK24" s="26" t="s">
        <v>297</v>
      </c>
      <c r="AL24" s="26" t="s">
        <v>297</v>
      </c>
      <c r="AM24" s="26" t="s">
        <v>297</v>
      </c>
      <c r="AN24" s="26">
        <v>0.17494226327944573</v>
      </c>
      <c r="AO24" s="26">
        <v>0.19593757740896706</v>
      </c>
      <c r="AP24" s="26">
        <v>1.611764705882353</v>
      </c>
      <c r="AQ24" s="26">
        <v>2.2063492063492065</v>
      </c>
      <c r="AR24" s="26">
        <v>1.5</v>
      </c>
      <c r="AS24" s="26">
        <v>32.5</v>
      </c>
      <c r="AT24" s="26"/>
      <c r="AU24" s="26" t="s">
        <v>297</v>
      </c>
      <c r="AV24" s="26" t="s">
        <v>297</v>
      </c>
      <c r="AW24" s="26">
        <v>2.5555555555555554</v>
      </c>
      <c r="AX24" s="26" t="s">
        <v>297</v>
      </c>
      <c r="AY24" s="26" t="s">
        <v>297</v>
      </c>
      <c r="AZ24" s="26" t="s">
        <v>297</v>
      </c>
      <c r="BA24" s="26">
        <v>0.48840275899377872</v>
      </c>
      <c r="BB24" s="26">
        <v>0.40555555555555556</v>
      </c>
      <c r="BC24" s="26" t="s">
        <v>297</v>
      </c>
      <c r="BD24" s="26">
        <v>4</v>
      </c>
      <c r="BE24" s="26"/>
      <c r="BF24" s="26"/>
      <c r="BG24" s="26">
        <v>0.86493184634448572</v>
      </c>
      <c r="BH24" s="26" t="s">
        <v>297</v>
      </c>
      <c r="BI24" s="26" t="s">
        <v>297</v>
      </c>
      <c r="BJ24" s="26">
        <v>1.6576576576576576</v>
      </c>
      <c r="BK24" s="26" t="s">
        <v>297</v>
      </c>
      <c r="BL24" s="26" t="s">
        <v>297</v>
      </c>
      <c r="BM24" s="26"/>
      <c r="BN24" s="26">
        <v>1.3043478260869565</v>
      </c>
      <c r="BO24" s="26" t="s">
        <v>297</v>
      </c>
      <c r="BP24" s="26">
        <v>4.7058823529411766</v>
      </c>
      <c r="BQ24" s="26" t="s">
        <v>297</v>
      </c>
      <c r="BR24" s="26" t="s">
        <v>297</v>
      </c>
      <c r="BS24" s="26" t="s">
        <v>297</v>
      </c>
      <c r="BT24" s="26">
        <v>6</v>
      </c>
      <c r="BU24" s="26">
        <v>1.75</v>
      </c>
      <c r="BV24" s="26" t="s">
        <v>297</v>
      </c>
      <c r="BW24" s="26">
        <v>1.1052631578947369</v>
      </c>
      <c r="BX24" s="26">
        <v>0.27561327561327559</v>
      </c>
      <c r="BY24" s="26" t="s">
        <v>297</v>
      </c>
      <c r="BZ24" s="26">
        <v>1.7659574468085106</v>
      </c>
      <c r="CA24" s="26">
        <v>1.8032786885245902</v>
      </c>
      <c r="CB24" s="26">
        <v>1</v>
      </c>
      <c r="CC24" s="26">
        <v>0.41342756183745583</v>
      </c>
      <c r="CD24" s="26" t="s">
        <v>297</v>
      </c>
      <c r="CE24" s="26">
        <v>2.021505376344086</v>
      </c>
      <c r="CF24" s="26" t="s">
        <v>297</v>
      </c>
      <c r="CG24" s="26" t="s">
        <v>297</v>
      </c>
      <c r="CH24" s="26">
        <v>0.71171171171171166</v>
      </c>
      <c r="CI24" s="26">
        <v>0.93867120954003402</v>
      </c>
      <c r="CJ24" s="26">
        <v>2.8181818181818183</v>
      </c>
      <c r="CK24" s="26" t="s">
        <v>297</v>
      </c>
      <c r="CL24" s="26" t="s">
        <v>297</v>
      </c>
      <c r="CM24" s="26" t="s">
        <v>297</v>
      </c>
      <c r="CN24" s="26" t="s">
        <v>297</v>
      </c>
      <c r="CO24" s="26" t="s">
        <v>297</v>
      </c>
      <c r="CP24" s="26">
        <v>0.17438692098092642</v>
      </c>
      <c r="CQ24" s="26">
        <v>0.32628726287262871</v>
      </c>
      <c r="CR24" s="26" t="s">
        <v>297</v>
      </c>
      <c r="CS24" s="26">
        <v>2.5633187772925763</v>
      </c>
      <c r="CT24" s="26" t="s">
        <v>297</v>
      </c>
      <c r="CU24" s="26">
        <v>0.37909516380655228</v>
      </c>
      <c r="CV24" s="26" t="s">
        <v>297</v>
      </c>
      <c r="CW24" s="26" t="s">
        <v>297</v>
      </c>
      <c r="CX24" s="26" t="s">
        <v>297</v>
      </c>
      <c r="CY24" s="26" t="s">
        <v>297</v>
      </c>
      <c r="CZ24" s="26" t="s">
        <v>297</v>
      </c>
      <c r="DA24" s="26" t="s">
        <v>297</v>
      </c>
      <c r="DB24" s="26" t="s">
        <v>297</v>
      </c>
      <c r="DC24" s="26" t="s">
        <v>297</v>
      </c>
      <c r="DD24" s="26" t="s">
        <v>297</v>
      </c>
      <c r="DE24" s="26" t="s">
        <v>297</v>
      </c>
      <c r="DF24" s="26">
        <v>41.96875</v>
      </c>
      <c r="DG24" s="26"/>
      <c r="DH24" s="26" t="s">
        <v>297</v>
      </c>
      <c r="DI24" s="26">
        <v>1.1309523809523809</v>
      </c>
      <c r="DJ24" s="26">
        <v>1.3457189014539579</v>
      </c>
      <c r="DK24" s="26" t="s">
        <v>297</v>
      </c>
      <c r="DL24" s="26" t="s">
        <v>297</v>
      </c>
      <c r="DM24" s="26" t="s">
        <v>297</v>
      </c>
      <c r="DN24" s="26" t="s">
        <v>297</v>
      </c>
      <c r="DO24" s="26">
        <v>1.125</v>
      </c>
      <c r="DP24" s="26">
        <v>0.83718520053891599</v>
      </c>
      <c r="DQ24" s="26">
        <v>0.72310377657886382</v>
      </c>
      <c r="DR24" s="26">
        <v>2.13953488372093</v>
      </c>
      <c r="DS24" s="26" t="s">
        <v>297</v>
      </c>
      <c r="DT24" s="26">
        <v>4.4124999999999996</v>
      </c>
      <c r="DU24" s="26">
        <v>0.8</v>
      </c>
      <c r="DV24" s="26">
        <v>2.965568862275449</v>
      </c>
      <c r="DW24" s="26">
        <v>7.4</v>
      </c>
      <c r="DX24" s="26" t="s">
        <v>297</v>
      </c>
      <c r="DY24" s="26" t="s">
        <v>297</v>
      </c>
      <c r="DZ24" s="26" t="s">
        <v>297</v>
      </c>
      <c r="EA24" s="26">
        <v>0.8</v>
      </c>
      <c r="EB24" s="26" t="s">
        <v>297</v>
      </c>
      <c r="EC24" s="26" t="s">
        <v>297</v>
      </c>
      <c r="ED24" s="26">
        <v>16.333333333333332</v>
      </c>
      <c r="EE24" s="26" t="s">
        <v>297</v>
      </c>
      <c r="EF24" s="26">
        <v>6.8571428571428568</v>
      </c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7"/>
      <c r="ES24" s="27"/>
      <c r="ET24" s="27"/>
      <c r="EU24" s="27"/>
    </row>
    <row r="25" spans="1:152" x14ac:dyDescent="0.2">
      <c r="A25" s="25" t="s">
        <v>312</v>
      </c>
      <c r="C25" s="26" t="s">
        <v>297</v>
      </c>
      <c r="D25" s="26">
        <v>38</v>
      </c>
      <c r="E25" s="26">
        <v>2.2000000000000002</v>
      </c>
      <c r="F25" s="26" t="s">
        <v>297</v>
      </c>
      <c r="G25" s="26" t="s">
        <v>297</v>
      </c>
      <c r="H25" s="26">
        <v>0.44</v>
      </c>
      <c r="I25" s="26">
        <v>0.28423056949974035</v>
      </c>
      <c r="J25" s="26">
        <v>39.090909090909093</v>
      </c>
      <c r="K25" s="26"/>
      <c r="L25" s="26" t="s">
        <v>297</v>
      </c>
      <c r="M25" s="26">
        <v>3.0666666666666669</v>
      </c>
      <c r="N25" s="26" t="s">
        <v>297</v>
      </c>
      <c r="O25" s="26">
        <v>2.0476190476190474</v>
      </c>
      <c r="P25" s="26" t="s">
        <v>297</v>
      </c>
      <c r="Q25" s="26">
        <v>5</v>
      </c>
      <c r="R25" s="26" t="s">
        <v>297</v>
      </c>
      <c r="S25" s="26">
        <v>6.9674506114769521</v>
      </c>
      <c r="T25" s="26" t="s">
        <v>297</v>
      </c>
      <c r="U25" s="26" t="s">
        <v>297</v>
      </c>
      <c r="V25" s="26" t="s">
        <v>297</v>
      </c>
      <c r="W25" s="26" t="s">
        <v>297</v>
      </c>
      <c r="X25" s="26" t="s">
        <v>297</v>
      </c>
      <c r="Y25" s="26" t="s">
        <v>297</v>
      </c>
      <c r="Z25" s="26">
        <v>1.71875</v>
      </c>
      <c r="AA25" s="26">
        <v>2.9681677018633539</v>
      </c>
      <c r="AB25" s="26">
        <v>0.84462616822429903</v>
      </c>
      <c r="AC25" s="26">
        <v>0.70596797671033484</v>
      </c>
      <c r="AD25" s="26">
        <v>7.7142857142857144</v>
      </c>
      <c r="AE25" s="26" t="s">
        <v>297</v>
      </c>
      <c r="AF25" s="26" t="s">
        <v>297</v>
      </c>
      <c r="AG25" s="26" t="s">
        <v>297</v>
      </c>
      <c r="AH25" s="26">
        <v>0.80502136752136755</v>
      </c>
      <c r="AI25" s="26" t="s">
        <v>297</v>
      </c>
      <c r="AJ25" s="26" t="s">
        <v>297</v>
      </c>
      <c r="AK25" s="26" t="s">
        <v>297</v>
      </c>
      <c r="AL25" s="26" t="s">
        <v>297</v>
      </c>
      <c r="AM25" s="26" t="s">
        <v>297</v>
      </c>
      <c r="AN25" s="26">
        <v>0.21</v>
      </c>
      <c r="AO25" s="26">
        <v>0.14317078807487868</v>
      </c>
      <c r="AP25" s="26">
        <v>2.2625000000000002</v>
      </c>
      <c r="AQ25" s="26">
        <v>4.734375</v>
      </c>
      <c r="AR25" s="26" t="s">
        <v>297</v>
      </c>
      <c r="AS25" s="26">
        <v>34.799999999999997</v>
      </c>
      <c r="AT25" s="26"/>
      <c r="AU25" s="26" t="s">
        <v>297</v>
      </c>
      <c r="AV25" s="26" t="s">
        <v>297</v>
      </c>
      <c r="AW25" s="26">
        <v>37.666666666666664</v>
      </c>
      <c r="AX25" s="26" t="s">
        <v>297</v>
      </c>
      <c r="AY25" s="26">
        <v>0.26304347826086955</v>
      </c>
      <c r="AZ25" s="26" t="s">
        <v>297</v>
      </c>
      <c r="BA25" s="26">
        <v>0.5811380024273578</v>
      </c>
      <c r="BB25" s="26">
        <v>0.6195965417867435</v>
      </c>
      <c r="BC25" s="26">
        <v>0.62962962962962965</v>
      </c>
      <c r="BD25" s="26" t="s">
        <v>297</v>
      </c>
      <c r="BE25" s="26"/>
      <c r="BF25" s="26"/>
      <c r="BG25" s="26">
        <v>10.052631578947368</v>
      </c>
      <c r="BH25" s="26" t="s">
        <v>297</v>
      </c>
      <c r="BI25" s="26" t="s">
        <v>297</v>
      </c>
      <c r="BJ25" s="26">
        <v>2.7545454545454544</v>
      </c>
      <c r="BK25" s="26" t="s">
        <v>297</v>
      </c>
      <c r="BL25" s="26" t="s">
        <v>297</v>
      </c>
      <c r="BM25" s="26" t="s">
        <v>297</v>
      </c>
      <c r="BN25" s="26" t="s">
        <v>297</v>
      </c>
      <c r="BO25" s="26">
        <v>1.4819277108433735</v>
      </c>
      <c r="BP25" s="26" t="s">
        <v>297</v>
      </c>
      <c r="BQ25" s="26" t="s">
        <v>297</v>
      </c>
      <c r="BR25" s="26" t="s">
        <v>297</v>
      </c>
      <c r="BS25" s="26" t="s">
        <v>297</v>
      </c>
      <c r="BT25" s="26" t="s">
        <v>297</v>
      </c>
      <c r="BU25" s="26" t="s">
        <v>297</v>
      </c>
      <c r="BV25" s="26">
        <v>3</v>
      </c>
      <c r="BW25" s="26">
        <v>2.7</v>
      </c>
      <c r="BX25" s="26" t="s">
        <v>297</v>
      </c>
      <c r="BY25" s="26" t="s">
        <v>297</v>
      </c>
      <c r="BZ25" s="26">
        <v>4.7407407407407405</v>
      </c>
      <c r="CA25" s="26" t="s">
        <v>297</v>
      </c>
      <c r="CB25" s="26">
        <v>2.9171597633136095</v>
      </c>
      <c r="CC25" s="26">
        <v>0.86115444617784709</v>
      </c>
      <c r="CD25" s="26" t="s">
        <v>297</v>
      </c>
      <c r="CE25" s="26">
        <v>1.0714285714285714</v>
      </c>
      <c r="CF25" s="26" t="s">
        <v>297</v>
      </c>
      <c r="CG25" s="26" t="s">
        <v>297</v>
      </c>
      <c r="CH25" s="26">
        <v>0.45871255998676153</v>
      </c>
      <c r="CI25" s="26">
        <v>1.0776942355889725</v>
      </c>
      <c r="CJ25" s="26">
        <v>0.20512820512820512</v>
      </c>
      <c r="CK25" s="26" t="s">
        <v>297</v>
      </c>
      <c r="CL25" s="26">
        <v>2.0422535211267605</v>
      </c>
      <c r="CM25" s="26" t="s">
        <v>297</v>
      </c>
      <c r="CN25" s="26" t="s">
        <v>297</v>
      </c>
      <c r="CO25" s="26" t="s">
        <v>297</v>
      </c>
      <c r="CP25" s="26">
        <v>0.19553805774278216</v>
      </c>
      <c r="CQ25" s="26">
        <v>0.40860624523990863</v>
      </c>
      <c r="CR25" s="26" t="s">
        <v>297</v>
      </c>
      <c r="CS25" s="26">
        <v>3.4613970588235294</v>
      </c>
      <c r="CT25" s="26" t="s">
        <v>297</v>
      </c>
      <c r="CU25" s="26">
        <v>1.2173913043478262</v>
      </c>
      <c r="CV25" s="26" t="s">
        <v>297</v>
      </c>
      <c r="CW25" s="26">
        <v>0.87951807228915657</v>
      </c>
      <c r="CX25" s="26">
        <v>2.2727272727272728E-2</v>
      </c>
      <c r="CY25" s="26" t="s">
        <v>297</v>
      </c>
      <c r="CZ25" s="26" t="s">
        <v>297</v>
      </c>
      <c r="DA25" s="26" t="s">
        <v>297</v>
      </c>
      <c r="DB25" s="26" t="s">
        <v>297</v>
      </c>
      <c r="DC25" s="26" t="s">
        <v>297</v>
      </c>
      <c r="DD25" s="26" t="s">
        <v>297</v>
      </c>
      <c r="DE25" s="26" t="s">
        <v>297</v>
      </c>
      <c r="DF25" s="26">
        <v>64.368421052631575</v>
      </c>
      <c r="DG25" s="26"/>
      <c r="DH25" s="26" t="s">
        <v>297</v>
      </c>
      <c r="DI25" s="26">
        <v>1.5394736842105263</v>
      </c>
      <c r="DJ25" s="26">
        <v>0.72592592592592597</v>
      </c>
      <c r="DK25" s="26" t="s">
        <v>297</v>
      </c>
      <c r="DL25" s="26" t="s">
        <v>297</v>
      </c>
      <c r="DM25" s="26" t="s">
        <v>297</v>
      </c>
      <c r="DN25" s="26" t="s">
        <v>297</v>
      </c>
      <c r="DO25" s="26">
        <v>2.7878787878787881</v>
      </c>
      <c r="DP25" s="26">
        <v>0.97041338310521219</v>
      </c>
      <c r="DQ25" s="26">
        <v>0.7016914802400811</v>
      </c>
      <c r="DR25" s="26">
        <v>2.4871794871794872</v>
      </c>
      <c r="DS25" s="26" t="s">
        <v>297</v>
      </c>
      <c r="DT25" s="26">
        <v>5.5</v>
      </c>
      <c r="DU25" s="26" t="s">
        <v>297</v>
      </c>
      <c r="DV25" s="26">
        <v>2.0598404255319149</v>
      </c>
      <c r="DW25" s="26">
        <v>4.8636363636363633</v>
      </c>
      <c r="DX25" s="26" t="s">
        <v>297</v>
      </c>
      <c r="DY25" s="26" t="s">
        <v>297</v>
      </c>
      <c r="DZ25" s="26">
        <v>0.74172185430463577</v>
      </c>
      <c r="EA25" s="26">
        <v>1</v>
      </c>
      <c r="EB25" s="26">
        <v>0.90322580645161288</v>
      </c>
      <c r="EC25" s="26" t="s">
        <v>297</v>
      </c>
      <c r="ED25" s="26">
        <v>5.5666666666666664</v>
      </c>
      <c r="EE25" s="26" t="s">
        <v>297</v>
      </c>
      <c r="EF25" s="26" t="s">
        <v>297</v>
      </c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7"/>
      <c r="ES25" s="27"/>
      <c r="ET25" s="27"/>
      <c r="EU25" s="27"/>
    </row>
    <row r="26" spans="1:152" x14ac:dyDescent="0.2">
      <c r="A26" s="25" t="s">
        <v>313</v>
      </c>
      <c r="C26" s="26" t="s">
        <v>297</v>
      </c>
      <c r="D26" s="26">
        <v>10</v>
      </c>
      <c r="E26" s="26">
        <v>3.3846153846153846</v>
      </c>
      <c r="F26" s="26">
        <v>4.4444444444444446</v>
      </c>
      <c r="G26" s="26" t="s">
        <v>297</v>
      </c>
      <c r="H26" s="26">
        <v>0.20634920634920634</v>
      </c>
      <c r="I26" s="26">
        <v>16</v>
      </c>
      <c r="J26" s="26">
        <v>22.444444444444443</v>
      </c>
      <c r="K26" s="26"/>
      <c r="L26" s="26" t="s">
        <v>297</v>
      </c>
      <c r="M26" s="26">
        <v>2.4375</v>
      </c>
      <c r="N26" s="26">
        <v>0.20406165891852215</v>
      </c>
      <c r="O26" s="26">
        <v>1.7777777777777777</v>
      </c>
      <c r="P26" s="26" t="s">
        <v>297</v>
      </c>
      <c r="Q26" s="26">
        <v>3.9375</v>
      </c>
      <c r="R26" s="26">
        <v>0.96572580645161288</v>
      </c>
      <c r="S26" s="26">
        <v>5.7072402938090239</v>
      </c>
      <c r="T26" s="26" t="s">
        <v>297</v>
      </c>
      <c r="U26" s="26" t="s">
        <v>297</v>
      </c>
      <c r="V26" s="26" t="s">
        <v>297</v>
      </c>
      <c r="W26" s="26" t="s">
        <v>297</v>
      </c>
      <c r="X26" s="26" t="s">
        <v>297</v>
      </c>
      <c r="Y26" s="26" t="s">
        <v>297</v>
      </c>
      <c r="Z26" s="26" t="s">
        <v>297</v>
      </c>
      <c r="AA26" s="26">
        <v>3.2203124999999999</v>
      </c>
      <c r="AB26" s="26">
        <v>2.1750841750841752</v>
      </c>
      <c r="AC26" s="26" t="s">
        <v>297</v>
      </c>
      <c r="AD26" s="26">
        <v>1.1666666666666667</v>
      </c>
      <c r="AE26" s="26" t="s">
        <v>297</v>
      </c>
      <c r="AF26" s="26" t="s">
        <v>297</v>
      </c>
      <c r="AG26" s="26">
        <v>9.8030438675022383E-2</v>
      </c>
      <c r="AH26" s="26">
        <v>0.5005040322580645</v>
      </c>
      <c r="AI26" s="26" t="s">
        <v>297</v>
      </c>
      <c r="AJ26" s="26" t="s">
        <v>297</v>
      </c>
      <c r="AK26" s="26" t="s">
        <v>297</v>
      </c>
      <c r="AL26" s="26" t="s">
        <v>297</v>
      </c>
      <c r="AM26" s="26" t="s">
        <v>297</v>
      </c>
      <c r="AN26" s="26">
        <v>0.21138211382113822</v>
      </c>
      <c r="AO26" s="26">
        <v>4.4320334443791236E-2</v>
      </c>
      <c r="AP26" s="26" t="s">
        <v>297</v>
      </c>
      <c r="AQ26" s="26">
        <v>1.9555555555555555</v>
      </c>
      <c r="AR26" s="26" t="s">
        <v>297</v>
      </c>
      <c r="AS26" s="26">
        <v>36.333333333333336</v>
      </c>
      <c r="AT26" s="26"/>
      <c r="AU26" s="26" t="s">
        <v>297</v>
      </c>
      <c r="AV26" s="26" t="s">
        <v>297</v>
      </c>
      <c r="AW26" s="26">
        <v>69</v>
      </c>
      <c r="AX26" s="26" t="s">
        <v>297</v>
      </c>
      <c r="AY26" s="26">
        <v>0.3806206459784674</v>
      </c>
      <c r="AZ26" s="26">
        <v>0.27641693143384238</v>
      </c>
      <c r="BA26" s="26">
        <v>0.58749860364665429</v>
      </c>
      <c r="BB26" s="26" t="s">
        <v>297</v>
      </c>
      <c r="BC26" s="26">
        <v>1</v>
      </c>
      <c r="BD26" s="26" t="s">
        <v>297</v>
      </c>
      <c r="BE26" s="26"/>
      <c r="BF26" s="26"/>
      <c r="BG26" s="26">
        <v>3.1065292096219932</v>
      </c>
      <c r="BH26" s="26" t="s">
        <v>297</v>
      </c>
      <c r="BI26" s="26" t="s">
        <v>297</v>
      </c>
      <c r="BJ26" s="26">
        <v>1.681159420289855</v>
      </c>
      <c r="BK26" s="26" t="s">
        <v>297</v>
      </c>
      <c r="BL26" s="26" t="s">
        <v>297</v>
      </c>
      <c r="BM26" s="26" t="s">
        <v>297</v>
      </c>
      <c r="BN26" s="26" t="s">
        <v>297</v>
      </c>
      <c r="BO26" s="26">
        <v>1.3529411764705883</v>
      </c>
      <c r="BP26" s="26" t="s">
        <v>297</v>
      </c>
      <c r="BQ26" s="26"/>
      <c r="BR26" s="26">
        <v>0.77777777777777779</v>
      </c>
      <c r="BS26" s="26" t="s">
        <v>297</v>
      </c>
      <c r="BT26" s="26" t="s">
        <v>297</v>
      </c>
      <c r="BU26" s="26" t="s">
        <v>297</v>
      </c>
      <c r="BV26" s="26" t="s">
        <v>297</v>
      </c>
      <c r="BW26" s="26">
        <v>1.1610169491525424</v>
      </c>
      <c r="BX26" s="26" t="s">
        <v>297</v>
      </c>
      <c r="BY26" s="26" t="s">
        <v>297</v>
      </c>
      <c r="BZ26" s="26">
        <v>3.425925925925926</v>
      </c>
      <c r="CA26" s="26">
        <v>2.4944444444444445</v>
      </c>
      <c r="CB26" s="26" t="s">
        <v>297</v>
      </c>
      <c r="CC26" s="26">
        <v>0.88837209302325582</v>
      </c>
      <c r="CD26" s="26" t="s">
        <v>297</v>
      </c>
      <c r="CE26" s="26">
        <v>0.78846153846153844</v>
      </c>
      <c r="CF26" s="26" t="s">
        <v>297</v>
      </c>
      <c r="CG26" s="26" t="s">
        <v>297</v>
      </c>
      <c r="CH26" s="26">
        <v>0.29039242219215156</v>
      </c>
      <c r="CI26" s="26">
        <v>1.1663326653306614</v>
      </c>
      <c r="CJ26" s="26">
        <v>8.3617747440273033E-2</v>
      </c>
      <c r="CK26" s="26" t="s">
        <v>297</v>
      </c>
      <c r="CL26" s="26">
        <v>1.8776978417266188</v>
      </c>
      <c r="CM26" s="26" t="s">
        <v>297</v>
      </c>
      <c r="CN26" s="26" t="s">
        <v>297</v>
      </c>
      <c r="CO26" s="26" t="s">
        <v>297</v>
      </c>
      <c r="CP26" s="26">
        <v>0.29262394195888752</v>
      </c>
      <c r="CQ26" s="26">
        <v>0.48228346456692911</v>
      </c>
      <c r="CR26" s="26" t="s">
        <v>297</v>
      </c>
      <c r="CS26" s="26">
        <v>3.1131131131131129</v>
      </c>
      <c r="CT26" s="26" t="s">
        <v>297</v>
      </c>
      <c r="CU26" s="26">
        <v>1.536764705882353</v>
      </c>
      <c r="CV26" s="26" t="s">
        <v>297</v>
      </c>
      <c r="CW26" s="26">
        <v>1.8571428571428572</v>
      </c>
      <c r="CX26" s="26">
        <v>0.15625</v>
      </c>
      <c r="CY26" s="26" t="s">
        <v>297</v>
      </c>
      <c r="CZ26" s="26" t="s">
        <v>297</v>
      </c>
      <c r="DA26" s="26" t="s">
        <v>297</v>
      </c>
      <c r="DB26" s="26" t="s">
        <v>297</v>
      </c>
      <c r="DC26" s="26">
        <v>0.17286432160804019</v>
      </c>
      <c r="DD26" s="26" t="s">
        <v>297</v>
      </c>
      <c r="DE26" s="26" t="s">
        <v>297</v>
      </c>
      <c r="DF26" s="26">
        <v>59.75</v>
      </c>
      <c r="DG26" s="26"/>
      <c r="DH26" s="26" t="s">
        <v>297</v>
      </c>
      <c r="DI26" s="26">
        <v>1</v>
      </c>
      <c r="DJ26" s="26" t="s">
        <v>297</v>
      </c>
      <c r="DK26" s="26" t="s">
        <v>297</v>
      </c>
      <c r="DL26" s="26" t="s">
        <v>297</v>
      </c>
      <c r="DM26" s="26" t="s">
        <v>297</v>
      </c>
      <c r="DN26" s="26">
        <v>2.0808383233532934</v>
      </c>
      <c r="DO26" s="26">
        <v>2.15</v>
      </c>
      <c r="DP26" s="26">
        <v>0.9944495837187789</v>
      </c>
      <c r="DQ26" s="26">
        <v>0.71766939836098342</v>
      </c>
      <c r="DR26" s="26">
        <v>2.0454545454545454</v>
      </c>
      <c r="DS26" s="26" t="s">
        <v>297</v>
      </c>
      <c r="DT26" s="26">
        <v>6.65</v>
      </c>
      <c r="DU26" s="26" t="s">
        <v>297</v>
      </c>
      <c r="DV26" s="26" t="s">
        <v>297</v>
      </c>
      <c r="DW26" s="26">
        <v>4.1570247933884295</v>
      </c>
      <c r="DX26" s="26">
        <v>3.2673796791443852</v>
      </c>
      <c r="DY26" s="26" t="s">
        <v>297</v>
      </c>
      <c r="DZ26" s="26" t="s">
        <v>297</v>
      </c>
      <c r="EA26" s="26">
        <v>0.6875</v>
      </c>
      <c r="EB26" s="26">
        <v>1.6923076923076923</v>
      </c>
      <c r="EC26" s="26">
        <v>28.8</v>
      </c>
      <c r="ED26" s="26" t="s">
        <v>297</v>
      </c>
      <c r="EE26" s="26" t="s">
        <v>297</v>
      </c>
      <c r="EF26" s="26" t="s">
        <v>297</v>
      </c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7"/>
      <c r="ES26" s="27"/>
      <c r="ET26" s="27"/>
      <c r="EU26" s="27"/>
    </row>
    <row r="27" spans="1:152" x14ac:dyDescent="0.2">
      <c r="A27" s="25" t="s">
        <v>314</v>
      </c>
      <c r="C27" s="26" t="s">
        <v>297</v>
      </c>
      <c r="D27" s="26" t="s">
        <v>297</v>
      </c>
      <c r="E27" s="26">
        <v>4</v>
      </c>
      <c r="F27" s="26">
        <v>2</v>
      </c>
      <c r="G27" s="26" t="s">
        <v>297</v>
      </c>
      <c r="H27" s="26">
        <v>0.41666666666666669</v>
      </c>
      <c r="I27" s="26">
        <v>4.3461538461538458</v>
      </c>
      <c r="J27" s="26">
        <v>13.435897435897436</v>
      </c>
      <c r="K27" s="26"/>
      <c r="L27" s="26" t="s">
        <v>297</v>
      </c>
      <c r="M27" s="26">
        <v>6.1538461538461542</v>
      </c>
      <c r="N27" s="26">
        <v>0.3900003306768956</v>
      </c>
      <c r="O27" s="26">
        <v>2</v>
      </c>
      <c r="P27" s="26" t="s">
        <v>297</v>
      </c>
      <c r="Q27" s="26">
        <v>13.966101694915254</v>
      </c>
      <c r="R27" s="26">
        <v>0.71554252199413493</v>
      </c>
      <c r="S27" s="26">
        <v>6.7977382875605814</v>
      </c>
      <c r="T27" s="26" t="s">
        <v>297</v>
      </c>
      <c r="U27" s="26" t="s">
        <v>297</v>
      </c>
      <c r="V27" s="26" t="s">
        <v>297</v>
      </c>
      <c r="W27" s="26" t="s">
        <v>297</v>
      </c>
      <c r="X27" s="26" t="s">
        <v>297</v>
      </c>
      <c r="Y27" s="26" t="s">
        <v>297</v>
      </c>
      <c r="Z27" s="26" t="s">
        <v>297</v>
      </c>
      <c r="AA27" s="26">
        <v>2.5945945945945947</v>
      </c>
      <c r="AB27" s="26">
        <v>0.34342974265543158</v>
      </c>
      <c r="AC27" s="26" t="s">
        <v>297</v>
      </c>
      <c r="AD27" s="26">
        <v>0.94915254237288138</v>
      </c>
      <c r="AE27" s="26">
        <v>0.33898305084745761</v>
      </c>
      <c r="AF27" s="26">
        <v>2.3184713375796178</v>
      </c>
      <c r="AG27" s="26" t="s">
        <v>297</v>
      </c>
      <c r="AH27" s="26">
        <v>0.72222702515777648</v>
      </c>
      <c r="AI27" s="26" t="s">
        <v>297</v>
      </c>
      <c r="AJ27" s="26" t="s">
        <v>297</v>
      </c>
      <c r="AK27" s="26" t="s">
        <v>297</v>
      </c>
      <c r="AL27" s="26" t="s">
        <v>297</v>
      </c>
      <c r="AM27" s="26" t="s">
        <v>297</v>
      </c>
      <c r="AN27" s="26">
        <v>0.19676320272572401</v>
      </c>
      <c r="AO27" s="26" t="s">
        <v>297</v>
      </c>
      <c r="AP27" s="26" t="s">
        <v>297</v>
      </c>
      <c r="AQ27" s="26">
        <v>2.5384615384615383</v>
      </c>
      <c r="AR27" s="26" t="s">
        <v>297</v>
      </c>
      <c r="AS27" s="26">
        <v>62.769230769230766</v>
      </c>
      <c r="AT27" s="26"/>
      <c r="AU27" s="26" t="s">
        <v>297</v>
      </c>
      <c r="AV27" s="26" t="s">
        <v>297</v>
      </c>
      <c r="AW27" s="26" t="s">
        <v>297</v>
      </c>
      <c r="AX27" s="26" t="s">
        <v>297</v>
      </c>
      <c r="AY27" s="26">
        <v>0.51881060772732657</v>
      </c>
      <c r="AZ27" s="26">
        <v>0.35729491210015085</v>
      </c>
      <c r="BA27" s="26">
        <v>0.33265913583474366</v>
      </c>
      <c r="BB27" s="26">
        <v>1.388235294117647</v>
      </c>
      <c r="BC27" s="26" t="s">
        <v>297</v>
      </c>
      <c r="BD27" s="26" t="s">
        <v>297</v>
      </c>
      <c r="BE27" s="26"/>
      <c r="BF27" s="26"/>
      <c r="BG27" s="26" t="s">
        <v>297</v>
      </c>
      <c r="BH27" s="26" t="s">
        <v>297</v>
      </c>
      <c r="BI27" s="26" t="s">
        <v>297</v>
      </c>
      <c r="BJ27" s="26">
        <v>4.9230769230769234</v>
      </c>
      <c r="BK27" s="26" t="s">
        <v>297</v>
      </c>
      <c r="BL27" s="26" t="s">
        <v>297</v>
      </c>
      <c r="BM27" s="26" t="s">
        <v>297</v>
      </c>
      <c r="BN27" s="26" t="s">
        <v>297</v>
      </c>
      <c r="BO27" s="26">
        <v>2.2448979591836733</v>
      </c>
      <c r="BP27" s="26">
        <v>8.2105263157894743</v>
      </c>
      <c r="BQ27" s="26" t="s">
        <v>297</v>
      </c>
      <c r="BR27" s="26" t="s">
        <v>297</v>
      </c>
      <c r="BS27" s="26">
        <v>1.4166666666666667</v>
      </c>
      <c r="BT27" s="26" t="s">
        <v>297</v>
      </c>
      <c r="BU27" s="26" t="s">
        <v>297</v>
      </c>
      <c r="BV27" s="26" t="s">
        <v>297</v>
      </c>
      <c r="BW27" s="26">
        <v>1.0488599348534202</v>
      </c>
      <c r="BX27" s="26" t="s">
        <v>297</v>
      </c>
      <c r="BY27" s="26" t="s">
        <v>297</v>
      </c>
      <c r="BZ27" s="26">
        <v>1.4661921708185053</v>
      </c>
      <c r="CA27" s="26">
        <v>2.0546448087431695</v>
      </c>
      <c r="CB27" s="26" t="s">
        <v>297</v>
      </c>
      <c r="CC27" s="26">
        <v>0.83219315895372237</v>
      </c>
      <c r="CD27" s="26" t="s">
        <v>297</v>
      </c>
      <c r="CE27" s="26">
        <v>0.60869565217391308</v>
      </c>
      <c r="CF27" s="26" t="s">
        <v>297</v>
      </c>
      <c r="CG27" s="26" t="s">
        <v>297</v>
      </c>
      <c r="CH27" s="26">
        <v>0.44736565359133451</v>
      </c>
      <c r="CI27" s="26">
        <v>1.1939307728781412</v>
      </c>
      <c r="CJ27" s="26" t="s">
        <v>297</v>
      </c>
      <c r="CK27" s="26" t="s">
        <v>297</v>
      </c>
      <c r="CL27" s="26">
        <v>1.8238021638330757</v>
      </c>
      <c r="CM27" s="26" t="s">
        <v>297</v>
      </c>
      <c r="CN27" s="26" t="s">
        <v>297</v>
      </c>
      <c r="CO27" s="26" t="s">
        <v>297</v>
      </c>
      <c r="CP27" s="26">
        <v>0.29286798179059181</v>
      </c>
      <c r="CQ27" s="26">
        <v>0.48289193891358978</v>
      </c>
      <c r="CR27" s="26" t="s">
        <v>297</v>
      </c>
      <c r="CS27" s="26">
        <v>5.1934493346980553</v>
      </c>
      <c r="CT27" s="26">
        <v>3.1578947368421053</v>
      </c>
      <c r="CU27" s="26" t="s">
        <v>297</v>
      </c>
      <c r="CV27" s="26">
        <v>0.67759562841530052</v>
      </c>
      <c r="CW27" s="26">
        <v>4.6315789473684212</v>
      </c>
      <c r="CX27" s="26" t="s">
        <v>297</v>
      </c>
      <c r="CY27" s="26" t="s">
        <v>297</v>
      </c>
      <c r="CZ27" s="26" t="s">
        <v>297</v>
      </c>
      <c r="DA27" s="26" t="s">
        <v>297</v>
      </c>
      <c r="DB27" s="26" t="s">
        <v>297</v>
      </c>
      <c r="DC27" s="26">
        <v>0.13215988986675845</v>
      </c>
      <c r="DD27" s="26">
        <v>41.684210526315788</v>
      </c>
      <c r="DE27" s="26" t="s">
        <v>297</v>
      </c>
      <c r="DF27" s="26">
        <v>59.794871794871796</v>
      </c>
      <c r="DG27" s="26"/>
      <c r="DH27" s="26">
        <v>42.666666666666664</v>
      </c>
      <c r="DI27" s="26">
        <v>1.435483870967742</v>
      </c>
      <c r="DJ27" s="26" t="s">
        <v>297</v>
      </c>
      <c r="DK27" s="26" t="s">
        <v>297</v>
      </c>
      <c r="DL27" s="26" t="s">
        <v>297</v>
      </c>
      <c r="DM27" s="26">
        <v>1.6605042016806724</v>
      </c>
      <c r="DN27" s="26">
        <v>2.8957055214723928</v>
      </c>
      <c r="DO27" s="26">
        <v>2.4406779661016951</v>
      </c>
      <c r="DP27" s="26">
        <v>0.92796504989326312</v>
      </c>
      <c r="DQ27" s="26">
        <v>0.74346683160661819</v>
      </c>
      <c r="DR27" s="26">
        <v>2.5762711864406778</v>
      </c>
      <c r="DS27" s="26" t="s">
        <v>297</v>
      </c>
      <c r="DT27" s="26">
        <v>6.6933333333333334</v>
      </c>
      <c r="DU27" s="26" t="s">
        <v>297</v>
      </c>
      <c r="DV27" s="26" t="s">
        <v>297</v>
      </c>
      <c r="DW27" s="26">
        <v>16.666666666666668</v>
      </c>
      <c r="DX27" s="26">
        <v>3.0331325301204819</v>
      </c>
      <c r="DY27" s="26" t="s">
        <v>297</v>
      </c>
      <c r="DZ27" s="26">
        <v>0.16134453781512606</v>
      </c>
      <c r="EA27" s="26">
        <v>0.5</v>
      </c>
      <c r="EB27" s="26" t="s">
        <v>297</v>
      </c>
      <c r="EC27" s="26">
        <v>36.4</v>
      </c>
      <c r="ED27" s="26" t="s">
        <v>297</v>
      </c>
      <c r="EE27" s="26" t="s">
        <v>297</v>
      </c>
      <c r="EF27" s="26" t="s">
        <v>297</v>
      </c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7"/>
      <c r="ET27" s="27"/>
      <c r="EU27" s="27"/>
      <c r="EV27" s="27"/>
    </row>
    <row r="28" spans="1:152" x14ac:dyDescent="0.2">
      <c r="A28" s="25" t="s">
        <v>315</v>
      </c>
      <c r="C28" s="26" t="s">
        <v>297</v>
      </c>
      <c r="D28" s="26" t="s">
        <v>297</v>
      </c>
      <c r="E28" s="26">
        <v>3.8666666666666667</v>
      </c>
      <c r="F28" s="26">
        <v>1.5</v>
      </c>
      <c r="G28" s="26" t="s">
        <v>297</v>
      </c>
      <c r="H28" s="26">
        <v>0.34523809523809523</v>
      </c>
      <c r="I28" s="26" t="s">
        <v>297</v>
      </c>
      <c r="J28" s="26">
        <v>13.033333333333333</v>
      </c>
      <c r="K28" s="26"/>
      <c r="L28" s="26" t="s">
        <v>297</v>
      </c>
      <c r="M28" s="26">
        <v>2.7</v>
      </c>
      <c r="N28" s="26">
        <v>0.18440204563335955</v>
      </c>
      <c r="O28" s="26">
        <v>2.4</v>
      </c>
      <c r="P28" s="26" t="s">
        <v>297</v>
      </c>
      <c r="Q28" s="26">
        <v>4.3380281690140849</v>
      </c>
      <c r="R28" s="26">
        <v>0.62504816955684006</v>
      </c>
      <c r="S28" s="26">
        <v>6.8740825197748165</v>
      </c>
      <c r="T28" s="26" t="s">
        <v>297</v>
      </c>
      <c r="U28" s="26" t="s">
        <v>297</v>
      </c>
      <c r="V28" s="26" t="s">
        <v>297</v>
      </c>
      <c r="W28" s="26" t="s">
        <v>297</v>
      </c>
      <c r="X28" s="26" t="s">
        <v>297</v>
      </c>
      <c r="Y28" s="26" t="s">
        <v>297</v>
      </c>
      <c r="Z28" s="26">
        <v>1.0909090909090908</v>
      </c>
      <c r="AA28" s="26">
        <v>2.9690949227373067</v>
      </c>
      <c r="AB28" s="26">
        <v>0.36827637444279349</v>
      </c>
      <c r="AC28" s="26" t="s">
        <v>297</v>
      </c>
      <c r="AD28" s="26">
        <v>1.5294117647058822</v>
      </c>
      <c r="AE28" s="26">
        <v>0.2</v>
      </c>
      <c r="AF28" s="26">
        <v>2.094736842105263</v>
      </c>
      <c r="AG28" s="26">
        <v>0.10764872521246459</v>
      </c>
      <c r="AH28" s="26">
        <v>0.39607635206786851</v>
      </c>
      <c r="AI28" s="26" t="s">
        <v>297</v>
      </c>
      <c r="AJ28" s="26" t="s">
        <v>297</v>
      </c>
      <c r="AK28" s="26" t="s">
        <v>297</v>
      </c>
      <c r="AL28" s="26" t="s">
        <v>297</v>
      </c>
      <c r="AM28" s="26" t="s">
        <v>297</v>
      </c>
      <c r="AN28" s="26">
        <v>0.16156282998944033</v>
      </c>
      <c r="AO28" s="26" t="s">
        <v>297</v>
      </c>
      <c r="AP28" s="26" t="s">
        <v>297</v>
      </c>
      <c r="AQ28" s="26">
        <v>1.9743589743589745</v>
      </c>
      <c r="AR28" s="26" t="s">
        <v>297</v>
      </c>
      <c r="AS28" s="26">
        <v>37.5</v>
      </c>
      <c r="AT28" s="26"/>
      <c r="AU28" s="26" t="s">
        <v>297</v>
      </c>
      <c r="AV28" s="26" t="s">
        <v>297</v>
      </c>
      <c r="AW28" s="26">
        <v>8.5</v>
      </c>
      <c r="AX28" s="26" t="s">
        <v>297</v>
      </c>
      <c r="AY28" s="26">
        <v>0.51192730026505107</v>
      </c>
      <c r="AZ28" s="26">
        <v>0.35813953488372091</v>
      </c>
      <c r="BA28" s="26">
        <v>0.53861544126672389</v>
      </c>
      <c r="BB28" s="26">
        <v>0.51782363977485923</v>
      </c>
      <c r="BC28" s="26" t="s">
        <v>297</v>
      </c>
      <c r="BD28" s="26">
        <v>0.3159328188833409</v>
      </c>
      <c r="BE28" s="26"/>
      <c r="BF28" s="26"/>
      <c r="BG28" s="26">
        <v>3.2532247114731838</v>
      </c>
      <c r="BH28" s="26" t="s">
        <v>297</v>
      </c>
      <c r="BI28" s="26" t="s">
        <v>297</v>
      </c>
      <c r="BJ28" s="26" t="s">
        <v>297</v>
      </c>
      <c r="BK28" s="26" t="s">
        <v>297</v>
      </c>
      <c r="BL28" s="26" t="s">
        <v>297</v>
      </c>
      <c r="BM28" s="26" t="s">
        <v>297</v>
      </c>
      <c r="BN28" s="26" t="s">
        <v>297</v>
      </c>
      <c r="BO28" s="26" t="s">
        <v>297</v>
      </c>
      <c r="BP28" s="26">
        <v>24.470588235294116</v>
      </c>
      <c r="BQ28" s="26" t="s">
        <v>297</v>
      </c>
      <c r="BR28" s="26" t="s">
        <v>297</v>
      </c>
      <c r="BS28" s="26">
        <v>0.81944444444444442</v>
      </c>
      <c r="BT28" s="26" t="s">
        <v>297</v>
      </c>
      <c r="BU28" s="26" t="s">
        <v>297</v>
      </c>
      <c r="BV28" s="26" t="s">
        <v>297</v>
      </c>
      <c r="BW28" s="26">
        <v>1.2313432835820894</v>
      </c>
      <c r="BX28" s="26" t="s">
        <v>297</v>
      </c>
      <c r="BY28" s="26" t="s">
        <v>297</v>
      </c>
      <c r="BZ28" s="26">
        <v>1.7</v>
      </c>
      <c r="CA28" s="26">
        <v>1.693121693121693</v>
      </c>
      <c r="CB28" s="26" t="s">
        <v>297</v>
      </c>
      <c r="CC28" s="26">
        <v>0.70035460992907805</v>
      </c>
      <c r="CD28" s="26" t="s">
        <v>297</v>
      </c>
      <c r="CE28" s="26">
        <v>21</v>
      </c>
      <c r="CF28" s="26" t="s">
        <v>297</v>
      </c>
      <c r="CG28" s="26">
        <v>3.75</v>
      </c>
      <c r="CH28" s="26">
        <v>0.45889133751483302</v>
      </c>
      <c r="CI28" s="26">
        <v>1.2910216718266254</v>
      </c>
      <c r="CJ28" s="26">
        <v>2.6160337552742614E-2</v>
      </c>
      <c r="CK28" s="26" t="s">
        <v>297</v>
      </c>
      <c r="CL28" s="26">
        <v>1.7889273356401385</v>
      </c>
      <c r="CM28" s="26" t="s">
        <v>297</v>
      </c>
      <c r="CN28" s="26" t="s">
        <v>297</v>
      </c>
      <c r="CO28" s="26" t="s">
        <v>297</v>
      </c>
      <c r="CP28" s="26">
        <v>0.36124634858812071</v>
      </c>
      <c r="CQ28" s="26">
        <v>0.49349240780911063</v>
      </c>
      <c r="CR28" s="26">
        <v>1.1818181818181819</v>
      </c>
      <c r="CS28" s="26">
        <v>3.0345471521942109</v>
      </c>
      <c r="CT28" s="26">
        <v>4</v>
      </c>
      <c r="CU28" s="26">
        <v>1.7765957446808511</v>
      </c>
      <c r="CV28" s="26">
        <v>0.48571428571428571</v>
      </c>
      <c r="CW28" s="26">
        <v>1.2</v>
      </c>
      <c r="CX28" s="26">
        <v>9.0909090909090912E-2</v>
      </c>
      <c r="CY28" s="26" t="s">
        <v>297</v>
      </c>
      <c r="CZ28" s="26" t="s">
        <v>297</v>
      </c>
      <c r="DA28" s="26" t="s">
        <v>297</v>
      </c>
      <c r="DB28" s="26" t="s">
        <v>297</v>
      </c>
      <c r="DC28" s="26">
        <v>0.19561243144424131</v>
      </c>
      <c r="DD28" s="26">
        <v>67.862068965517238</v>
      </c>
      <c r="DE28" s="26" t="s">
        <v>297</v>
      </c>
      <c r="DF28" s="26">
        <v>62.8</v>
      </c>
      <c r="DG28" s="26"/>
      <c r="DH28" s="26">
        <v>96</v>
      </c>
      <c r="DI28" s="26">
        <v>1.8666666666666667</v>
      </c>
      <c r="DJ28" s="26" t="s">
        <v>297</v>
      </c>
      <c r="DK28" s="26" t="s">
        <v>297</v>
      </c>
      <c r="DL28" s="26" t="s">
        <v>297</v>
      </c>
      <c r="DM28" s="26">
        <v>2.1413612565445028</v>
      </c>
      <c r="DN28" s="26">
        <v>1.4954954954954955</v>
      </c>
      <c r="DO28" s="26">
        <v>2.0697674418604652</v>
      </c>
      <c r="DP28" s="26">
        <v>0.95506291192330739</v>
      </c>
      <c r="DQ28" s="26">
        <v>0.78986220472440949</v>
      </c>
      <c r="DR28" s="26">
        <v>1.5555555555555556</v>
      </c>
      <c r="DS28" s="26" t="s">
        <v>297</v>
      </c>
      <c r="DT28" s="26">
        <v>7.7391304347826084</v>
      </c>
      <c r="DU28" s="26" t="s">
        <v>297</v>
      </c>
      <c r="DV28" s="26" t="s">
        <v>297</v>
      </c>
      <c r="DW28" s="26">
        <v>34</v>
      </c>
      <c r="DX28" s="26">
        <v>2.9546539379474939</v>
      </c>
      <c r="DY28" s="26" t="s">
        <v>297</v>
      </c>
      <c r="DZ28" s="26">
        <v>0.4732142857142857</v>
      </c>
      <c r="EA28" s="26">
        <v>1.3333333333333333</v>
      </c>
      <c r="EB28" s="26">
        <v>2</v>
      </c>
      <c r="EC28" s="26">
        <v>22.545454545454547</v>
      </c>
      <c r="ED28" s="26" t="s">
        <v>297</v>
      </c>
      <c r="EE28" s="26" t="s">
        <v>297</v>
      </c>
      <c r="EF28" s="26" t="s">
        <v>297</v>
      </c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7"/>
      <c r="ET28" s="27"/>
      <c r="EU28" s="27"/>
      <c r="EV28" s="27"/>
    </row>
    <row r="29" spans="1:152" x14ac:dyDescent="0.2">
      <c r="A29" s="25" t="s">
        <v>316</v>
      </c>
      <c r="C29" s="26" t="s">
        <v>297</v>
      </c>
      <c r="D29" s="26" t="s">
        <v>297</v>
      </c>
      <c r="E29" s="26">
        <v>4.3278688524590168</v>
      </c>
      <c r="F29" s="26">
        <v>13.333333333333334</v>
      </c>
      <c r="G29" s="26" t="s">
        <v>297</v>
      </c>
      <c r="H29" s="26">
        <v>0.68</v>
      </c>
      <c r="I29" s="26">
        <v>0.18611111111111112</v>
      </c>
      <c r="J29" s="26">
        <v>12.663414634146342</v>
      </c>
      <c r="K29" s="26"/>
      <c r="L29" s="26" t="s">
        <v>297</v>
      </c>
      <c r="M29" s="26">
        <v>3.7</v>
      </c>
      <c r="N29" s="26">
        <v>0.20465905304292509</v>
      </c>
      <c r="O29" s="26">
        <v>2.2121212121212119</v>
      </c>
      <c r="P29" s="26" t="s">
        <v>297</v>
      </c>
      <c r="Q29" s="26">
        <v>3.75</v>
      </c>
      <c r="R29" s="26">
        <v>0.59098143236074274</v>
      </c>
      <c r="S29" s="26">
        <v>10.234512648984783</v>
      </c>
      <c r="T29" s="26" t="s">
        <v>297</v>
      </c>
      <c r="U29" s="26" t="s">
        <v>297</v>
      </c>
      <c r="V29" s="26" t="s">
        <v>297</v>
      </c>
      <c r="W29" s="26" t="s">
        <v>297</v>
      </c>
      <c r="X29" s="26" t="s">
        <v>297</v>
      </c>
      <c r="Y29" s="26" t="s">
        <v>297</v>
      </c>
      <c r="Z29" s="26">
        <v>2.1265822784810124</v>
      </c>
      <c r="AA29" s="26">
        <v>3.6905278380332609</v>
      </c>
      <c r="AB29" s="26">
        <v>0.33056346044393853</v>
      </c>
      <c r="AC29" s="26" t="s">
        <v>297</v>
      </c>
      <c r="AD29" s="26">
        <v>1.6</v>
      </c>
      <c r="AE29" s="26">
        <v>0.28235294117647058</v>
      </c>
      <c r="AF29" s="26">
        <v>3.2921658986175113</v>
      </c>
      <c r="AG29" s="26">
        <v>0.2</v>
      </c>
      <c r="AH29" s="26">
        <v>1.2047720797720798</v>
      </c>
      <c r="AI29" s="26" t="s">
        <v>297</v>
      </c>
      <c r="AJ29" s="26" t="s">
        <v>297</v>
      </c>
      <c r="AK29" s="26" t="s">
        <v>297</v>
      </c>
      <c r="AL29" s="26" t="s">
        <v>297</v>
      </c>
      <c r="AM29" s="26" t="s">
        <v>297</v>
      </c>
      <c r="AN29" s="26">
        <v>0.21908906295329272</v>
      </c>
      <c r="AO29" s="26">
        <v>5.0685887003022553E-2</v>
      </c>
      <c r="AP29" s="26" t="s">
        <v>297</v>
      </c>
      <c r="AQ29" s="26">
        <v>2.5359477124183005</v>
      </c>
      <c r="AR29" s="26" t="s">
        <v>297</v>
      </c>
      <c r="AS29" s="26">
        <v>42.8</v>
      </c>
      <c r="AT29" s="26"/>
      <c r="AU29" s="26" t="s">
        <v>297</v>
      </c>
      <c r="AV29" s="26" t="s">
        <v>297</v>
      </c>
      <c r="AW29" s="26">
        <v>16.545454545454547</v>
      </c>
      <c r="AX29" s="26" t="s">
        <v>297</v>
      </c>
      <c r="AY29" s="26">
        <v>0.32011747430249632</v>
      </c>
      <c r="AZ29" s="26" t="s">
        <v>297</v>
      </c>
      <c r="BA29" s="26">
        <v>0.52574928087593953</v>
      </c>
      <c r="BB29" s="26">
        <v>0.83812845103167688</v>
      </c>
      <c r="BC29" s="26" t="s">
        <v>297</v>
      </c>
      <c r="BD29" s="26">
        <v>0.37333333333333335</v>
      </c>
      <c r="BE29" s="26"/>
      <c r="BF29" s="26"/>
      <c r="BG29" s="26">
        <v>6.4094827586206895</v>
      </c>
      <c r="BH29" s="26" t="s">
        <v>297</v>
      </c>
      <c r="BI29" s="26" t="s">
        <v>297</v>
      </c>
      <c r="BJ29" s="26">
        <v>4.8</v>
      </c>
      <c r="BK29" s="26">
        <v>0.49632892804698975</v>
      </c>
      <c r="BL29" s="26" t="s">
        <v>297</v>
      </c>
      <c r="BM29" s="26" t="s">
        <v>297</v>
      </c>
      <c r="BN29" s="26" t="s">
        <v>297</v>
      </c>
      <c r="BO29" s="26">
        <v>1.0079365079365079</v>
      </c>
      <c r="BP29" s="26">
        <v>6.8633093525179856</v>
      </c>
      <c r="BQ29" s="26" t="s">
        <v>297</v>
      </c>
      <c r="BR29" s="26" t="s">
        <v>297</v>
      </c>
      <c r="BS29" s="26">
        <v>4.5</v>
      </c>
      <c r="BT29" s="26" t="s">
        <v>297</v>
      </c>
      <c r="BU29" s="26">
        <v>1.0335570469798658</v>
      </c>
      <c r="BV29" s="26" t="s">
        <v>297</v>
      </c>
      <c r="BW29" s="26">
        <v>1.2926447574334898</v>
      </c>
      <c r="BX29" s="26" t="s">
        <v>297</v>
      </c>
      <c r="BY29" s="26" t="s">
        <v>297</v>
      </c>
      <c r="BZ29" s="26">
        <v>1.6253602305475505</v>
      </c>
      <c r="CA29" s="26">
        <v>3.0133333333333332</v>
      </c>
      <c r="CB29" s="26" t="s">
        <v>297</v>
      </c>
      <c r="CC29" s="26">
        <v>0.84151668705224536</v>
      </c>
      <c r="CD29" s="26" t="s">
        <v>297</v>
      </c>
      <c r="CE29" s="26">
        <v>16.571428571428573</v>
      </c>
      <c r="CF29" s="26" t="s">
        <v>297</v>
      </c>
      <c r="CG29" s="26" t="s">
        <v>297</v>
      </c>
      <c r="CH29" s="26">
        <v>0.40326108570292307</v>
      </c>
      <c r="CI29" s="26">
        <v>0.81640211640211635</v>
      </c>
      <c r="CJ29" s="26">
        <v>3.0750798722044729E-2</v>
      </c>
      <c r="CK29" s="26" t="s">
        <v>297</v>
      </c>
      <c r="CL29" s="26">
        <v>3.4138153647514526</v>
      </c>
      <c r="CM29" s="26" t="s">
        <v>297</v>
      </c>
      <c r="CN29" s="26" t="s">
        <v>297</v>
      </c>
      <c r="CO29" s="26" t="s">
        <v>297</v>
      </c>
      <c r="CP29" s="26">
        <v>0.20941176470588235</v>
      </c>
      <c r="CQ29" s="26">
        <v>0.69890510948905105</v>
      </c>
      <c r="CR29" s="26" t="s">
        <v>297</v>
      </c>
      <c r="CS29" s="26">
        <v>3.1578947368421053</v>
      </c>
      <c r="CT29" s="26">
        <v>8</v>
      </c>
      <c r="CU29" s="26">
        <v>1.8833333333333333</v>
      </c>
      <c r="CV29" s="26">
        <v>0.38834951456310679</v>
      </c>
      <c r="CW29" s="26">
        <v>2.4693877551020407</v>
      </c>
      <c r="CX29" s="26" t="s">
        <v>297</v>
      </c>
      <c r="CY29" s="26" t="s">
        <v>297</v>
      </c>
      <c r="CZ29" s="26" t="s">
        <v>297</v>
      </c>
      <c r="DA29" s="26" t="s">
        <v>297</v>
      </c>
      <c r="DB29" s="26" t="s">
        <v>297</v>
      </c>
      <c r="DC29" s="26" t="s">
        <v>297</v>
      </c>
      <c r="DD29" s="26">
        <v>34.25</v>
      </c>
      <c r="DE29" s="26" t="s">
        <v>297</v>
      </c>
      <c r="DF29" s="26">
        <v>43.358024691358025</v>
      </c>
      <c r="DG29" s="26"/>
      <c r="DH29" s="26" t="s">
        <v>297</v>
      </c>
      <c r="DI29" s="26">
        <v>1.3934142114384749</v>
      </c>
      <c r="DJ29" s="26" t="s">
        <v>297</v>
      </c>
      <c r="DK29" s="26" t="s">
        <v>297</v>
      </c>
      <c r="DL29" s="26" t="s">
        <v>297</v>
      </c>
      <c r="DM29" s="26">
        <v>2.792356687898089</v>
      </c>
      <c r="DN29" s="26">
        <v>1.3100436681222707</v>
      </c>
      <c r="DO29" s="26">
        <v>2.1111111111111112</v>
      </c>
      <c r="DP29" s="26">
        <v>1.0548251498077095</v>
      </c>
      <c r="DQ29" s="26">
        <v>0.81260906528256294</v>
      </c>
      <c r="DR29" s="26">
        <v>1.6353591160220995</v>
      </c>
      <c r="DS29" s="26" t="s">
        <v>297</v>
      </c>
      <c r="DT29" s="26">
        <v>7.2363636363636363</v>
      </c>
      <c r="DU29" s="26" t="s">
        <v>297</v>
      </c>
      <c r="DV29" s="26" t="s">
        <v>297</v>
      </c>
      <c r="DW29" s="26">
        <v>28</v>
      </c>
      <c r="DX29" s="26">
        <v>3.3571639586410633</v>
      </c>
      <c r="DY29" s="26" t="s">
        <v>297</v>
      </c>
      <c r="DZ29" s="26">
        <v>0.35325131810193322</v>
      </c>
      <c r="EA29" s="26">
        <v>0.7142857142857143</v>
      </c>
      <c r="EB29" s="26">
        <v>1.010752688172043</v>
      </c>
      <c r="EC29" s="26">
        <v>23.3</v>
      </c>
      <c r="ED29" s="26" t="s">
        <v>297</v>
      </c>
      <c r="EE29" s="26" t="s">
        <v>297</v>
      </c>
      <c r="EF29" s="26" t="s">
        <v>297</v>
      </c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7"/>
      <c r="ET29" s="27"/>
      <c r="EU29" s="27"/>
      <c r="EV29" s="27"/>
    </row>
    <row r="30" spans="1:152" x14ac:dyDescent="0.2">
      <c r="A30" s="25" t="s">
        <v>317</v>
      </c>
      <c r="C30" s="26" t="s">
        <v>297</v>
      </c>
      <c r="D30" s="26" t="s">
        <v>297</v>
      </c>
      <c r="E30" s="26">
        <v>5.1764705882352944</v>
      </c>
      <c r="F30" s="26" t="s">
        <v>297</v>
      </c>
      <c r="G30" s="26" t="s">
        <v>297</v>
      </c>
      <c r="H30" s="26">
        <v>0.4</v>
      </c>
      <c r="I30" s="26">
        <v>0.12320593452668924</v>
      </c>
      <c r="J30" s="26">
        <v>12.013071895424837</v>
      </c>
      <c r="K30" s="26"/>
      <c r="L30" s="26" t="s">
        <v>297</v>
      </c>
      <c r="M30" s="26">
        <v>3.4489795918367347</v>
      </c>
      <c r="N30" s="26">
        <v>0.20191756125542901</v>
      </c>
      <c r="O30" s="26">
        <v>1.240506329113924</v>
      </c>
      <c r="P30" s="26" t="s">
        <v>297</v>
      </c>
      <c r="Q30" s="26">
        <v>6.56</v>
      </c>
      <c r="R30" s="26" t="s">
        <v>297</v>
      </c>
      <c r="S30" s="26">
        <v>10.972816657027183</v>
      </c>
      <c r="T30" s="26" t="s">
        <v>297</v>
      </c>
      <c r="U30" s="26" t="s">
        <v>297</v>
      </c>
      <c r="V30" s="26" t="s">
        <v>297</v>
      </c>
      <c r="W30" s="26" t="s">
        <v>297</v>
      </c>
      <c r="X30" s="26" t="s">
        <v>297</v>
      </c>
      <c r="Y30" s="26" t="s">
        <v>297</v>
      </c>
      <c r="Z30" s="26">
        <v>2.347826086956522</v>
      </c>
      <c r="AA30" s="26">
        <v>3.8287714831317632</v>
      </c>
      <c r="AB30" s="26">
        <v>0.32093966537096502</v>
      </c>
      <c r="AC30" s="26" t="s">
        <v>297</v>
      </c>
      <c r="AD30" s="26">
        <v>2.4313725490196076</v>
      </c>
      <c r="AE30" s="26">
        <v>0.43870967741935485</v>
      </c>
      <c r="AF30" s="26">
        <v>3.262449528936743</v>
      </c>
      <c r="AG30" s="26">
        <v>0.2857142857142857</v>
      </c>
      <c r="AH30" s="26">
        <v>0.82992641046606708</v>
      </c>
      <c r="AI30" s="26" t="s">
        <v>297</v>
      </c>
      <c r="AJ30" s="26" t="s">
        <v>297</v>
      </c>
      <c r="AK30" s="26" t="s">
        <v>297</v>
      </c>
      <c r="AL30" s="26" t="s">
        <v>297</v>
      </c>
      <c r="AM30" s="26" t="s">
        <v>297</v>
      </c>
      <c r="AN30" s="26">
        <v>0.29415501905972047</v>
      </c>
      <c r="AO30" s="26" t="s">
        <v>297</v>
      </c>
      <c r="AP30" s="26">
        <v>1.8418803418803418</v>
      </c>
      <c r="AQ30" s="26">
        <v>2.7565217391304349</v>
      </c>
      <c r="AR30" s="26" t="s">
        <v>297</v>
      </c>
      <c r="AS30" s="26">
        <v>28.4</v>
      </c>
      <c r="AT30" s="26"/>
      <c r="AU30" s="26" t="s">
        <v>297</v>
      </c>
      <c r="AV30" s="26" t="s">
        <v>297</v>
      </c>
      <c r="AW30" s="26" t="s">
        <v>297</v>
      </c>
      <c r="AX30" s="26" t="s">
        <v>297</v>
      </c>
      <c r="AY30" s="26">
        <v>0.44132231404958677</v>
      </c>
      <c r="AZ30" s="26">
        <v>0.4</v>
      </c>
      <c r="BA30" s="26">
        <v>0.64510272555959003</v>
      </c>
      <c r="BB30" s="26">
        <v>0.64947622884770351</v>
      </c>
      <c r="BC30" s="26">
        <v>6</v>
      </c>
      <c r="BD30" s="26">
        <v>1.1370729649936735</v>
      </c>
      <c r="BE30" s="26"/>
      <c r="BF30" s="26"/>
      <c r="BG30" s="26">
        <v>7.4403292181069958</v>
      </c>
      <c r="BH30" s="26" t="s">
        <v>297</v>
      </c>
      <c r="BI30" s="26" t="s">
        <v>297</v>
      </c>
      <c r="BJ30" s="26">
        <v>1.1415929203539823</v>
      </c>
      <c r="BK30" s="26">
        <v>1.0168067226890756</v>
      </c>
      <c r="BL30" s="26" t="s">
        <v>297</v>
      </c>
      <c r="BM30" s="26" t="s">
        <v>297</v>
      </c>
      <c r="BN30" s="26" t="s">
        <v>297</v>
      </c>
      <c r="BO30" s="26" t="s">
        <v>297</v>
      </c>
      <c r="BP30" s="26">
        <v>6.5694444444444446</v>
      </c>
      <c r="BQ30" s="26" t="s">
        <v>297</v>
      </c>
      <c r="BR30" s="26" t="s">
        <v>297</v>
      </c>
      <c r="BS30" s="26">
        <v>5.1428571428571432</v>
      </c>
      <c r="BT30" s="26" t="s">
        <v>297</v>
      </c>
      <c r="BU30" s="26">
        <v>0.97560975609756095</v>
      </c>
      <c r="BV30" s="26" t="s">
        <v>297</v>
      </c>
      <c r="BW30" s="26">
        <v>1.5628415300546448</v>
      </c>
      <c r="BX30" s="26" t="s">
        <v>297</v>
      </c>
      <c r="BY30" s="26" t="s">
        <v>297</v>
      </c>
      <c r="BZ30" s="26">
        <v>3.7267759562841531</v>
      </c>
      <c r="CA30" s="26">
        <v>3.4571428571428573</v>
      </c>
      <c r="CB30" s="26" t="s">
        <v>297</v>
      </c>
      <c r="CC30" s="26">
        <v>0.81445783132530125</v>
      </c>
      <c r="CD30" s="26" t="s">
        <v>297</v>
      </c>
      <c r="CE30" s="26">
        <v>1.4901960784313726</v>
      </c>
      <c r="CF30" s="26" t="s">
        <v>297</v>
      </c>
      <c r="CG30" s="26">
        <v>44</v>
      </c>
      <c r="CH30" s="26">
        <v>0.44508982844792649</v>
      </c>
      <c r="CI30" s="26">
        <v>0.98543184183142563</v>
      </c>
      <c r="CJ30" s="26">
        <v>2.1897810218978103E-2</v>
      </c>
      <c r="CK30" s="26" t="s">
        <v>297</v>
      </c>
      <c r="CL30" s="26">
        <v>2.4818652849740932</v>
      </c>
      <c r="CM30" s="26" t="s">
        <v>297</v>
      </c>
      <c r="CN30" s="26" t="s">
        <v>297</v>
      </c>
      <c r="CO30" s="26" t="s">
        <v>297</v>
      </c>
      <c r="CP30" s="26">
        <v>0.28554143980641256</v>
      </c>
      <c r="CQ30" s="26">
        <v>0.54036458333333337</v>
      </c>
      <c r="CR30" s="26">
        <v>1.6</v>
      </c>
      <c r="CS30" s="26">
        <v>3.9354473386183466</v>
      </c>
      <c r="CT30" s="26">
        <v>9.3333333333333339</v>
      </c>
      <c r="CU30" s="26">
        <v>1.8247619047619048</v>
      </c>
      <c r="CV30" s="26">
        <v>0.53703703703703709</v>
      </c>
      <c r="CW30" s="26">
        <v>2</v>
      </c>
      <c r="CX30" s="26" t="s">
        <v>297</v>
      </c>
      <c r="CY30" s="26" t="s">
        <v>297</v>
      </c>
      <c r="CZ30" s="26" t="s">
        <v>297</v>
      </c>
      <c r="DA30" s="26" t="s">
        <v>297</v>
      </c>
      <c r="DB30" s="26" t="s">
        <v>297</v>
      </c>
      <c r="DC30" s="26" t="s">
        <v>297</v>
      </c>
      <c r="DD30" s="26">
        <v>23.411764705882351</v>
      </c>
      <c r="DE30" s="26" t="s">
        <v>297</v>
      </c>
      <c r="DF30" s="26">
        <v>46.534351145038165</v>
      </c>
      <c r="DG30" s="26"/>
      <c r="DH30" s="26" t="s">
        <v>297</v>
      </c>
      <c r="DI30" s="26">
        <v>1.1266233766233766</v>
      </c>
      <c r="DJ30" s="26" t="s">
        <v>297</v>
      </c>
      <c r="DK30" s="26" t="s">
        <v>297</v>
      </c>
      <c r="DL30" s="26" t="s">
        <v>297</v>
      </c>
      <c r="DM30" s="26">
        <v>2.44</v>
      </c>
      <c r="DN30" s="26">
        <v>1.6264367816091954</v>
      </c>
      <c r="DO30" s="26">
        <v>3.4567901234567899</v>
      </c>
      <c r="DP30" s="26">
        <v>1.1700861715223636</v>
      </c>
      <c r="DQ30" s="26">
        <v>0.85244381409557057</v>
      </c>
      <c r="DR30" s="26">
        <v>1.75</v>
      </c>
      <c r="DS30" s="26" t="s">
        <v>297</v>
      </c>
      <c r="DT30" s="26">
        <v>6.6373626373626378</v>
      </c>
      <c r="DU30" s="26" t="s">
        <v>297</v>
      </c>
      <c r="DV30" s="26" t="s">
        <v>297</v>
      </c>
      <c r="DW30" s="26">
        <v>12</v>
      </c>
      <c r="DX30" s="26">
        <v>3.1124595469255665</v>
      </c>
      <c r="DY30" s="26" t="s">
        <v>297</v>
      </c>
      <c r="DZ30" s="26">
        <v>0.38189533239038187</v>
      </c>
      <c r="EA30" s="26">
        <v>0.375</v>
      </c>
      <c r="EB30" s="26" t="s">
        <v>297</v>
      </c>
      <c r="EC30" s="26">
        <v>27.103448275862068</v>
      </c>
      <c r="ED30" s="26" t="s">
        <v>297</v>
      </c>
      <c r="EE30" s="26" t="s">
        <v>297</v>
      </c>
      <c r="EF30" s="26" t="s">
        <v>297</v>
      </c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7"/>
      <c r="ET30" s="27"/>
      <c r="EU30" s="27"/>
      <c r="EV30" s="27"/>
    </row>
    <row r="31" spans="1:152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</row>
    <row r="32" spans="1:152" x14ac:dyDescent="0.2"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</row>
    <row r="33" spans="3:148" x14ac:dyDescent="0.2"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</row>
    <row r="34" spans="3:148" x14ac:dyDescent="0.2"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Y31"/>
  <sheetViews>
    <sheetView zoomScaleNormal="100" zoomScaleSheetLayoutView="110" workbookViewId="0">
      <pane xSplit="2" ySplit="8" topLeftCell="V9" activePane="bottomRight" state="frozenSplit"/>
      <selection activeCell="A5" sqref="A5"/>
      <selection pane="topRight" activeCell="A5" sqref="A5"/>
      <selection pane="bottomLeft" activeCell="A5" sqref="A5"/>
      <selection pane="bottomRight" activeCell="AC29" sqref="AC29"/>
    </sheetView>
  </sheetViews>
  <sheetFormatPr defaultColWidth="9.6640625" defaultRowHeight="12" x14ac:dyDescent="0.2"/>
  <cols>
    <col min="1" max="1" width="6.44140625" style="11" customWidth="1"/>
    <col min="2" max="2" width="13.88671875" style="10" customWidth="1"/>
    <col min="3" max="23" width="12.109375" style="10" customWidth="1"/>
    <col min="24" max="24" width="15.109375" style="10" bestFit="1" customWidth="1"/>
    <col min="25" max="34" width="12.109375" style="10" customWidth="1"/>
    <col min="35" max="35" width="14.6640625" style="10" bestFit="1" customWidth="1"/>
    <col min="36" max="37" width="16.5546875" style="10" bestFit="1" customWidth="1"/>
    <col min="38" max="43" width="12.109375" style="10" customWidth="1"/>
    <col min="44" max="44" width="14.109375" style="10" bestFit="1" customWidth="1"/>
    <col min="45" max="81" width="12.109375" style="10" customWidth="1"/>
    <col min="82" max="82" width="14.109375" style="10" bestFit="1" customWidth="1"/>
    <col min="83" max="85" width="12.109375" style="10" customWidth="1"/>
    <col min="86" max="86" width="13.5546875" style="10" bestFit="1" customWidth="1"/>
    <col min="87" max="129" width="12.109375" style="10" customWidth="1"/>
    <col min="130" max="184" width="9.6640625" style="10"/>
    <col min="185" max="185" width="6.44140625" style="10" customWidth="1"/>
    <col min="186" max="186" width="13.88671875" style="10" customWidth="1"/>
    <col min="187" max="187" width="11.88671875" style="10" customWidth="1"/>
    <col min="188" max="190" width="9.6640625" style="10"/>
    <col min="191" max="191" width="15.44140625" style="10" customWidth="1"/>
    <col min="192" max="192" width="16.21875" style="10" customWidth="1"/>
    <col min="193" max="204" width="9.6640625" style="10"/>
    <col min="205" max="205" width="12" style="10" customWidth="1"/>
    <col min="206" max="206" width="12.77734375" style="10" customWidth="1"/>
    <col min="207" max="207" width="11.109375" style="10" customWidth="1"/>
    <col min="208" max="208" width="12" style="10" customWidth="1"/>
    <col min="209" max="209" width="9.6640625" style="10"/>
    <col min="210" max="210" width="15.33203125" style="10" customWidth="1"/>
    <col min="211" max="211" width="15.21875" style="10" customWidth="1"/>
    <col min="212" max="212" width="21.44140625" style="10" customWidth="1"/>
    <col min="213" max="228" width="9.6640625" style="10"/>
    <col min="229" max="230" width="13.44140625" style="10" customWidth="1"/>
    <col min="231" max="231" width="9.6640625" style="10"/>
    <col min="232" max="232" width="13.88671875" style="10" customWidth="1"/>
    <col min="233" max="233" width="10.6640625" style="10" customWidth="1"/>
    <col min="234" max="234" width="17.33203125" style="10" customWidth="1"/>
    <col min="235" max="236" width="12.6640625" style="10" customWidth="1"/>
    <col min="237" max="237" width="11.21875" style="10" customWidth="1"/>
    <col min="238" max="238" width="18.33203125" style="10" customWidth="1"/>
    <col min="239" max="239" width="12.88671875" style="10" customWidth="1"/>
    <col min="240" max="241" width="13.21875" style="10" customWidth="1"/>
    <col min="242" max="242" width="10.88671875" style="10" customWidth="1"/>
    <col min="243" max="243" width="11.109375" style="10" customWidth="1"/>
    <col min="244" max="244" width="15.21875" style="10" customWidth="1"/>
    <col min="245" max="245" width="9.6640625" style="10"/>
    <col min="246" max="246" width="11" style="10" customWidth="1"/>
    <col min="247" max="247" width="10.77734375" style="10" customWidth="1"/>
    <col min="248" max="248" width="11.44140625" style="10" customWidth="1"/>
    <col min="249" max="249" width="4" style="10" customWidth="1"/>
    <col min="250" max="440" width="9.6640625" style="10"/>
    <col min="441" max="441" width="6.44140625" style="10" customWidth="1"/>
    <col min="442" max="442" width="13.88671875" style="10" customWidth="1"/>
    <col min="443" max="443" width="11.88671875" style="10" customWidth="1"/>
    <col min="444" max="446" width="9.6640625" style="10"/>
    <col min="447" max="447" width="15.44140625" style="10" customWidth="1"/>
    <col min="448" max="448" width="16.21875" style="10" customWidth="1"/>
    <col min="449" max="460" width="9.6640625" style="10"/>
    <col min="461" max="461" width="12" style="10" customWidth="1"/>
    <col min="462" max="462" width="12.77734375" style="10" customWidth="1"/>
    <col min="463" max="463" width="11.109375" style="10" customWidth="1"/>
    <col min="464" max="464" width="12" style="10" customWidth="1"/>
    <col min="465" max="465" width="9.6640625" style="10"/>
    <col min="466" max="466" width="15.33203125" style="10" customWidth="1"/>
    <col min="467" max="467" width="15.21875" style="10" customWidth="1"/>
    <col min="468" max="468" width="21.44140625" style="10" customWidth="1"/>
    <col min="469" max="484" width="9.6640625" style="10"/>
    <col min="485" max="486" width="13.44140625" style="10" customWidth="1"/>
    <col min="487" max="487" width="9.6640625" style="10"/>
    <col min="488" max="488" width="13.88671875" style="10" customWidth="1"/>
    <col min="489" max="489" width="10.6640625" style="10" customWidth="1"/>
    <col min="490" max="490" width="17.33203125" style="10" customWidth="1"/>
    <col min="491" max="492" width="12.6640625" style="10" customWidth="1"/>
    <col min="493" max="493" width="11.21875" style="10" customWidth="1"/>
    <col min="494" max="494" width="18.33203125" style="10" customWidth="1"/>
    <col min="495" max="495" width="12.88671875" style="10" customWidth="1"/>
    <col min="496" max="497" width="13.21875" style="10" customWidth="1"/>
    <col min="498" max="498" width="10.88671875" style="10" customWidth="1"/>
    <col min="499" max="499" width="11.109375" style="10" customWidth="1"/>
    <col min="500" max="500" width="15.21875" style="10" customWidth="1"/>
    <col min="501" max="501" width="9.6640625" style="10"/>
    <col min="502" max="502" width="11" style="10" customWidth="1"/>
    <col min="503" max="503" width="10.77734375" style="10" customWidth="1"/>
    <col min="504" max="504" width="11.44140625" style="10" customWidth="1"/>
    <col min="505" max="505" width="4" style="10" customWidth="1"/>
    <col min="506" max="696" width="9.6640625" style="10"/>
    <col min="697" max="697" width="6.44140625" style="10" customWidth="1"/>
    <col min="698" max="698" width="13.88671875" style="10" customWidth="1"/>
    <col min="699" max="699" width="11.88671875" style="10" customWidth="1"/>
    <col min="700" max="702" width="9.6640625" style="10"/>
    <col min="703" max="703" width="15.44140625" style="10" customWidth="1"/>
    <col min="704" max="704" width="16.21875" style="10" customWidth="1"/>
    <col min="705" max="716" width="9.6640625" style="10"/>
    <col min="717" max="717" width="12" style="10" customWidth="1"/>
    <col min="718" max="718" width="12.77734375" style="10" customWidth="1"/>
    <col min="719" max="719" width="11.109375" style="10" customWidth="1"/>
    <col min="720" max="720" width="12" style="10" customWidth="1"/>
    <col min="721" max="721" width="9.6640625" style="10"/>
    <col min="722" max="722" width="15.33203125" style="10" customWidth="1"/>
    <col min="723" max="723" width="15.21875" style="10" customWidth="1"/>
    <col min="724" max="724" width="21.44140625" style="10" customWidth="1"/>
    <col min="725" max="740" width="9.6640625" style="10"/>
    <col min="741" max="742" width="13.44140625" style="10" customWidth="1"/>
    <col min="743" max="743" width="9.6640625" style="10"/>
    <col min="744" max="744" width="13.88671875" style="10" customWidth="1"/>
    <col min="745" max="745" width="10.6640625" style="10" customWidth="1"/>
    <col min="746" max="746" width="17.33203125" style="10" customWidth="1"/>
    <col min="747" max="748" width="12.6640625" style="10" customWidth="1"/>
    <col min="749" max="749" width="11.21875" style="10" customWidth="1"/>
    <col min="750" max="750" width="18.33203125" style="10" customWidth="1"/>
    <col min="751" max="751" width="12.88671875" style="10" customWidth="1"/>
    <col min="752" max="753" width="13.21875" style="10" customWidth="1"/>
    <col min="754" max="754" width="10.88671875" style="10" customWidth="1"/>
    <col min="755" max="755" width="11.109375" style="10" customWidth="1"/>
    <col min="756" max="756" width="15.21875" style="10" customWidth="1"/>
    <col min="757" max="757" width="9.6640625" style="10"/>
    <col min="758" max="758" width="11" style="10" customWidth="1"/>
    <col min="759" max="759" width="10.77734375" style="10" customWidth="1"/>
    <col min="760" max="760" width="11.44140625" style="10" customWidth="1"/>
    <col min="761" max="761" width="4" style="10" customWidth="1"/>
    <col min="762" max="952" width="9.6640625" style="10"/>
    <col min="953" max="953" width="6.44140625" style="10" customWidth="1"/>
    <col min="954" max="954" width="13.88671875" style="10" customWidth="1"/>
    <col min="955" max="955" width="11.88671875" style="10" customWidth="1"/>
    <col min="956" max="958" width="9.6640625" style="10"/>
    <col min="959" max="959" width="15.44140625" style="10" customWidth="1"/>
    <col min="960" max="960" width="16.21875" style="10" customWidth="1"/>
    <col min="961" max="972" width="9.6640625" style="10"/>
    <col min="973" max="973" width="12" style="10" customWidth="1"/>
    <col min="974" max="974" width="12.77734375" style="10" customWidth="1"/>
    <col min="975" max="975" width="11.109375" style="10" customWidth="1"/>
    <col min="976" max="976" width="12" style="10" customWidth="1"/>
    <col min="977" max="977" width="9.6640625" style="10"/>
    <col min="978" max="978" width="15.33203125" style="10" customWidth="1"/>
    <col min="979" max="979" width="15.21875" style="10" customWidth="1"/>
    <col min="980" max="980" width="21.44140625" style="10" customWidth="1"/>
    <col min="981" max="996" width="9.6640625" style="10"/>
    <col min="997" max="998" width="13.44140625" style="10" customWidth="1"/>
    <col min="999" max="999" width="9.6640625" style="10"/>
    <col min="1000" max="1000" width="13.88671875" style="10" customWidth="1"/>
    <col min="1001" max="1001" width="10.6640625" style="10" customWidth="1"/>
    <col min="1002" max="1002" width="17.33203125" style="10" customWidth="1"/>
    <col min="1003" max="1004" width="12.6640625" style="10" customWidth="1"/>
    <col min="1005" max="1005" width="11.21875" style="10" customWidth="1"/>
    <col min="1006" max="1006" width="18.33203125" style="10" customWidth="1"/>
    <col min="1007" max="1007" width="12.88671875" style="10" customWidth="1"/>
    <col min="1008" max="1009" width="13.21875" style="10" customWidth="1"/>
    <col min="1010" max="1010" width="10.88671875" style="10" customWidth="1"/>
    <col min="1011" max="1011" width="11.109375" style="10" customWidth="1"/>
    <col min="1012" max="1012" width="15.21875" style="10" customWidth="1"/>
    <col min="1013" max="1013" width="9.6640625" style="10"/>
    <col min="1014" max="1014" width="11" style="10" customWidth="1"/>
    <col min="1015" max="1015" width="10.77734375" style="10" customWidth="1"/>
    <col min="1016" max="1016" width="11.44140625" style="10" customWidth="1"/>
    <col min="1017" max="1017" width="4" style="10" customWidth="1"/>
    <col min="1018" max="1208" width="9.6640625" style="10"/>
    <col min="1209" max="1209" width="6.44140625" style="10" customWidth="1"/>
    <col min="1210" max="1210" width="13.88671875" style="10" customWidth="1"/>
    <col min="1211" max="1211" width="11.88671875" style="10" customWidth="1"/>
    <col min="1212" max="1214" width="9.6640625" style="10"/>
    <col min="1215" max="1215" width="15.44140625" style="10" customWidth="1"/>
    <col min="1216" max="1216" width="16.21875" style="10" customWidth="1"/>
    <col min="1217" max="1228" width="9.6640625" style="10"/>
    <col min="1229" max="1229" width="12" style="10" customWidth="1"/>
    <col min="1230" max="1230" width="12.77734375" style="10" customWidth="1"/>
    <col min="1231" max="1231" width="11.109375" style="10" customWidth="1"/>
    <col min="1232" max="1232" width="12" style="10" customWidth="1"/>
    <col min="1233" max="1233" width="9.6640625" style="10"/>
    <col min="1234" max="1234" width="15.33203125" style="10" customWidth="1"/>
    <col min="1235" max="1235" width="15.21875" style="10" customWidth="1"/>
    <col min="1236" max="1236" width="21.44140625" style="10" customWidth="1"/>
    <col min="1237" max="1252" width="9.6640625" style="10"/>
    <col min="1253" max="1254" width="13.44140625" style="10" customWidth="1"/>
    <col min="1255" max="1255" width="9.6640625" style="10"/>
    <col min="1256" max="1256" width="13.88671875" style="10" customWidth="1"/>
    <col min="1257" max="1257" width="10.6640625" style="10" customWidth="1"/>
    <col min="1258" max="1258" width="17.33203125" style="10" customWidth="1"/>
    <col min="1259" max="1260" width="12.6640625" style="10" customWidth="1"/>
    <col min="1261" max="1261" width="11.21875" style="10" customWidth="1"/>
    <col min="1262" max="1262" width="18.33203125" style="10" customWidth="1"/>
    <col min="1263" max="1263" width="12.88671875" style="10" customWidth="1"/>
    <col min="1264" max="1265" width="13.21875" style="10" customWidth="1"/>
    <col min="1266" max="1266" width="10.88671875" style="10" customWidth="1"/>
    <col min="1267" max="1267" width="11.109375" style="10" customWidth="1"/>
    <col min="1268" max="1268" width="15.21875" style="10" customWidth="1"/>
    <col min="1269" max="1269" width="9.6640625" style="10"/>
    <col min="1270" max="1270" width="11" style="10" customWidth="1"/>
    <col min="1271" max="1271" width="10.77734375" style="10" customWidth="1"/>
    <col min="1272" max="1272" width="11.44140625" style="10" customWidth="1"/>
    <col min="1273" max="1273" width="4" style="10" customWidth="1"/>
    <col min="1274" max="1464" width="9.6640625" style="10"/>
    <col min="1465" max="1465" width="6.44140625" style="10" customWidth="1"/>
    <col min="1466" max="1466" width="13.88671875" style="10" customWidth="1"/>
    <col min="1467" max="1467" width="11.88671875" style="10" customWidth="1"/>
    <col min="1468" max="1470" width="9.6640625" style="10"/>
    <col min="1471" max="1471" width="15.44140625" style="10" customWidth="1"/>
    <col min="1472" max="1472" width="16.21875" style="10" customWidth="1"/>
    <col min="1473" max="1484" width="9.6640625" style="10"/>
    <col min="1485" max="1485" width="12" style="10" customWidth="1"/>
    <col min="1486" max="1486" width="12.77734375" style="10" customWidth="1"/>
    <col min="1487" max="1487" width="11.109375" style="10" customWidth="1"/>
    <col min="1488" max="1488" width="12" style="10" customWidth="1"/>
    <col min="1489" max="1489" width="9.6640625" style="10"/>
    <col min="1490" max="1490" width="15.33203125" style="10" customWidth="1"/>
    <col min="1491" max="1491" width="15.21875" style="10" customWidth="1"/>
    <col min="1492" max="1492" width="21.44140625" style="10" customWidth="1"/>
    <col min="1493" max="1508" width="9.6640625" style="10"/>
    <col min="1509" max="1510" width="13.44140625" style="10" customWidth="1"/>
    <col min="1511" max="1511" width="9.6640625" style="10"/>
    <col min="1512" max="1512" width="13.88671875" style="10" customWidth="1"/>
    <col min="1513" max="1513" width="10.6640625" style="10" customWidth="1"/>
    <col min="1514" max="1514" width="17.33203125" style="10" customWidth="1"/>
    <col min="1515" max="1516" width="12.6640625" style="10" customWidth="1"/>
    <col min="1517" max="1517" width="11.21875" style="10" customWidth="1"/>
    <col min="1518" max="1518" width="18.33203125" style="10" customWidth="1"/>
    <col min="1519" max="1519" width="12.88671875" style="10" customWidth="1"/>
    <col min="1520" max="1521" width="13.21875" style="10" customWidth="1"/>
    <col min="1522" max="1522" width="10.88671875" style="10" customWidth="1"/>
    <col min="1523" max="1523" width="11.109375" style="10" customWidth="1"/>
    <col min="1524" max="1524" width="15.21875" style="10" customWidth="1"/>
    <col min="1525" max="1525" width="9.6640625" style="10"/>
    <col min="1526" max="1526" width="11" style="10" customWidth="1"/>
    <col min="1527" max="1527" width="10.77734375" style="10" customWidth="1"/>
    <col min="1528" max="1528" width="11.44140625" style="10" customWidth="1"/>
    <col min="1529" max="1529" width="4" style="10" customWidth="1"/>
    <col min="1530" max="1720" width="9.6640625" style="10"/>
    <col min="1721" max="1721" width="6.44140625" style="10" customWidth="1"/>
    <col min="1722" max="1722" width="13.88671875" style="10" customWidth="1"/>
    <col min="1723" max="1723" width="11.88671875" style="10" customWidth="1"/>
    <col min="1724" max="1726" width="9.6640625" style="10"/>
    <col min="1727" max="1727" width="15.44140625" style="10" customWidth="1"/>
    <col min="1728" max="1728" width="16.21875" style="10" customWidth="1"/>
    <col min="1729" max="1740" width="9.6640625" style="10"/>
    <col min="1741" max="1741" width="12" style="10" customWidth="1"/>
    <col min="1742" max="1742" width="12.77734375" style="10" customWidth="1"/>
    <col min="1743" max="1743" width="11.109375" style="10" customWidth="1"/>
    <col min="1744" max="1744" width="12" style="10" customWidth="1"/>
    <col min="1745" max="1745" width="9.6640625" style="10"/>
    <col min="1746" max="1746" width="15.33203125" style="10" customWidth="1"/>
    <col min="1747" max="1747" width="15.21875" style="10" customWidth="1"/>
    <col min="1748" max="1748" width="21.44140625" style="10" customWidth="1"/>
    <col min="1749" max="1764" width="9.6640625" style="10"/>
    <col min="1765" max="1766" width="13.44140625" style="10" customWidth="1"/>
    <col min="1767" max="1767" width="9.6640625" style="10"/>
    <col min="1768" max="1768" width="13.88671875" style="10" customWidth="1"/>
    <col min="1769" max="1769" width="10.6640625" style="10" customWidth="1"/>
    <col min="1770" max="1770" width="17.33203125" style="10" customWidth="1"/>
    <col min="1771" max="1772" width="12.6640625" style="10" customWidth="1"/>
    <col min="1773" max="1773" width="11.21875" style="10" customWidth="1"/>
    <col min="1774" max="1774" width="18.33203125" style="10" customWidth="1"/>
    <col min="1775" max="1775" width="12.88671875" style="10" customWidth="1"/>
    <col min="1776" max="1777" width="13.21875" style="10" customWidth="1"/>
    <col min="1778" max="1778" width="10.88671875" style="10" customWidth="1"/>
    <col min="1779" max="1779" width="11.109375" style="10" customWidth="1"/>
    <col min="1780" max="1780" width="15.21875" style="10" customWidth="1"/>
    <col min="1781" max="1781" width="9.6640625" style="10"/>
    <col min="1782" max="1782" width="11" style="10" customWidth="1"/>
    <col min="1783" max="1783" width="10.77734375" style="10" customWidth="1"/>
    <col min="1784" max="1784" width="11.44140625" style="10" customWidth="1"/>
    <col min="1785" max="1785" width="4" style="10" customWidth="1"/>
    <col min="1786" max="1976" width="9.6640625" style="10"/>
    <col min="1977" max="1977" width="6.44140625" style="10" customWidth="1"/>
    <col min="1978" max="1978" width="13.88671875" style="10" customWidth="1"/>
    <col min="1979" max="1979" width="11.88671875" style="10" customWidth="1"/>
    <col min="1980" max="1982" width="9.6640625" style="10"/>
    <col min="1983" max="1983" width="15.44140625" style="10" customWidth="1"/>
    <col min="1984" max="1984" width="16.21875" style="10" customWidth="1"/>
    <col min="1985" max="1996" width="9.6640625" style="10"/>
    <col min="1997" max="1997" width="12" style="10" customWidth="1"/>
    <col min="1998" max="1998" width="12.77734375" style="10" customWidth="1"/>
    <col min="1999" max="1999" width="11.109375" style="10" customWidth="1"/>
    <col min="2000" max="2000" width="12" style="10" customWidth="1"/>
    <col min="2001" max="2001" width="9.6640625" style="10"/>
    <col min="2002" max="2002" width="15.33203125" style="10" customWidth="1"/>
    <col min="2003" max="2003" width="15.21875" style="10" customWidth="1"/>
    <col min="2004" max="2004" width="21.44140625" style="10" customWidth="1"/>
    <col min="2005" max="2020" width="9.6640625" style="10"/>
    <col min="2021" max="2022" width="13.44140625" style="10" customWidth="1"/>
    <col min="2023" max="2023" width="9.6640625" style="10"/>
    <col min="2024" max="2024" width="13.88671875" style="10" customWidth="1"/>
    <col min="2025" max="2025" width="10.6640625" style="10" customWidth="1"/>
    <col min="2026" max="2026" width="17.33203125" style="10" customWidth="1"/>
    <col min="2027" max="2028" width="12.6640625" style="10" customWidth="1"/>
    <col min="2029" max="2029" width="11.21875" style="10" customWidth="1"/>
    <col min="2030" max="2030" width="18.33203125" style="10" customWidth="1"/>
    <col min="2031" max="2031" width="12.88671875" style="10" customWidth="1"/>
    <col min="2032" max="2033" width="13.21875" style="10" customWidth="1"/>
    <col min="2034" max="2034" width="10.88671875" style="10" customWidth="1"/>
    <col min="2035" max="2035" width="11.109375" style="10" customWidth="1"/>
    <col min="2036" max="2036" width="15.21875" style="10" customWidth="1"/>
    <col min="2037" max="2037" width="9.6640625" style="10"/>
    <col min="2038" max="2038" width="11" style="10" customWidth="1"/>
    <col min="2039" max="2039" width="10.77734375" style="10" customWidth="1"/>
    <col min="2040" max="2040" width="11.44140625" style="10" customWidth="1"/>
    <col min="2041" max="2041" width="4" style="10" customWidth="1"/>
    <col min="2042" max="2232" width="9.6640625" style="10"/>
    <col min="2233" max="2233" width="6.44140625" style="10" customWidth="1"/>
    <col min="2234" max="2234" width="13.88671875" style="10" customWidth="1"/>
    <col min="2235" max="2235" width="11.88671875" style="10" customWidth="1"/>
    <col min="2236" max="2238" width="9.6640625" style="10"/>
    <col min="2239" max="2239" width="15.44140625" style="10" customWidth="1"/>
    <col min="2240" max="2240" width="16.21875" style="10" customWidth="1"/>
    <col min="2241" max="2252" width="9.6640625" style="10"/>
    <col min="2253" max="2253" width="12" style="10" customWidth="1"/>
    <col min="2254" max="2254" width="12.77734375" style="10" customWidth="1"/>
    <col min="2255" max="2255" width="11.109375" style="10" customWidth="1"/>
    <col min="2256" max="2256" width="12" style="10" customWidth="1"/>
    <col min="2257" max="2257" width="9.6640625" style="10"/>
    <col min="2258" max="2258" width="15.33203125" style="10" customWidth="1"/>
    <col min="2259" max="2259" width="15.21875" style="10" customWidth="1"/>
    <col min="2260" max="2260" width="21.44140625" style="10" customWidth="1"/>
    <col min="2261" max="2276" width="9.6640625" style="10"/>
    <col min="2277" max="2278" width="13.44140625" style="10" customWidth="1"/>
    <col min="2279" max="2279" width="9.6640625" style="10"/>
    <col min="2280" max="2280" width="13.88671875" style="10" customWidth="1"/>
    <col min="2281" max="2281" width="10.6640625" style="10" customWidth="1"/>
    <col min="2282" max="2282" width="17.33203125" style="10" customWidth="1"/>
    <col min="2283" max="2284" width="12.6640625" style="10" customWidth="1"/>
    <col min="2285" max="2285" width="11.21875" style="10" customWidth="1"/>
    <col min="2286" max="2286" width="18.33203125" style="10" customWidth="1"/>
    <col min="2287" max="2287" width="12.88671875" style="10" customWidth="1"/>
    <col min="2288" max="2289" width="13.21875" style="10" customWidth="1"/>
    <col min="2290" max="2290" width="10.88671875" style="10" customWidth="1"/>
    <col min="2291" max="2291" width="11.109375" style="10" customWidth="1"/>
    <col min="2292" max="2292" width="15.21875" style="10" customWidth="1"/>
    <col min="2293" max="2293" width="9.6640625" style="10"/>
    <col min="2294" max="2294" width="11" style="10" customWidth="1"/>
    <col min="2295" max="2295" width="10.77734375" style="10" customWidth="1"/>
    <col min="2296" max="2296" width="11.44140625" style="10" customWidth="1"/>
    <col min="2297" max="2297" width="4" style="10" customWidth="1"/>
    <col min="2298" max="2488" width="9.6640625" style="10"/>
    <col min="2489" max="2489" width="6.44140625" style="10" customWidth="1"/>
    <col min="2490" max="2490" width="13.88671875" style="10" customWidth="1"/>
    <col min="2491" max="2491" width="11.88671875" style="10" customWidth="1"/>
    <col min="2492" max="2494" width="9.6640625" style="10"/>
    <col min="2495" max="2495" width="15.44140625" style="10" customWidth="1"/>
    <col min="2496" max="2496" width="16.21875" style="10" customWidth="1"/>
    <col min="2497" max="2508" width="9.6640625" style="10"/>
    <col min="2509" max="2509" width="12" style="10" customWidth="1"/>
    <col min="2510" max="2510" width="12.77734375" style="10" customWidth="1"/>
    <col min="2511" max="2511" width="11.109375" style="10" customWidth="1"/>
    <col min="2512" max="2512" width="12" style="10" customWidth="1"/>
    <col min="2513" max="2513" width="9.6640625" style="10"/>
    <col min="2514" max="2514" width="15.33203125" style="10" customWidth="1"/>
    <col min="2515" max="2515" width="15.21875" style="10" customWidth="1"/>
    <col min="2516" max="2516" width="21.44140625" style="10" customWidth="1"/>
    <col min="2517" max="2532" width="9.6640625" style="10"/>
    <col min="2533" max="2534" width="13.44140625" style="10" customWidth="1"/>
    <col min="2535" max="2535" width="9.6640625" style="10"/>
    <col min="2536" max="2536" width="13.88671875" style="10" customWidth="1"/>
    <col min="2537" max="2537" width="10.6640625" style="10" customWidth="1"/>
    <col min="2538" max="2538" width="17.33203125" style="10" customWidth="1"/>
    <col min="2539" max="2540" width="12.6640625" style="10" customWidth="1"/>
    <col min="2541" max="2541" width="11.21875" style="10" customWidth="1"/>
    <col min="2542" max="2542" width="18.33203125" style="10" customWidth="1"/>
    <col min="2543" max="2543" width="12.88671875" style="10" customWidth="1"/>
    <col min="2544" max="2545" width="13.21875" style="10" customWidth="1"/>
    <col min="2546" max="2546" width="10.88671875" style="10" customWidth="1"/>
    <col min="2547" max="2547" width="11.109375" style="10" customWidth="1"/>
    <col min="2548" max="2548" width="15.21875" style="10" customWidth="1"/>
    <col min="2549" max="2549" width="9.6640625" style="10"/>
    <col min="2550" max="2550" width="11" style="10" customWidth="1"/>
    <col min="2551" max="2551" width="10.77734375" style="10" customWidth="1"/>
    <col min="2552" max="2552" width="11.44140625" style="10" customWidth="1"/>
    <col min="2553" max="2553" width="4" style="10" customWidth="1"/>
    <col min="2554" max="2744" width="9.6640625" style="10"/>
    <col min="2745" max="2745" width="6.44140625" style="10" customWidth="1"/>
    <col min="2746" max="2746" width="13.88671875" style="10" customWidth="1"/>
    <col min="2747" max="2747" width="11.88671875" style="10" customWidth="1"/>
    <col min="2748" max="2750" width="9.6640625" style="10"/>
    <col min="2751" max="2751" width="15.44140625" style="10" customWidth="1"/>
    <col min="2752" max="2752" width="16.21875" style="10" customWidth="1"/>
    <col min="2753" max="2764" width="9.6640625" style="10"/>
    <col min="2765" max="2765" width="12" style="10" customWidth="1"/>
    <col min="2766" max="2766" width="12.77734375" style="10" customWidth="1"/>
    <col min="2767" max="2767" width="11.109375" style="10" customWidth="1"/>
    <col min="2768" max="2768" width="12" style="10" customWidth="1"/>
    <col min="2769" max="2769" width="9.6640625" style="10"/>
    <col min="2770" max="2770" width="15.33203125" style="10" customWidth="1"/>
    <col min="2771" max="2771" width="15.21875" style="10" customWidth="1"/>
    <col min="2772" max="2772" width="21.44140625" style="10" customWidth="1"/>
    <col min="2773" max="2788" width="9.6640625" style="10"/>
    <col min="2789" max="2790" width="13.44140625" style="10" customWidth="1"/>
    <col min="2791" max="2791" width="9.6640625" style="10"/>
    <col min="2792" max="2792" width="13.88671875" style="10" customWidth="1"/>
    <col min="2793" max="2793" width="10.6640625" style="10" customWidth="1"/>
    <col min="2794" max="2794" width="17.33203125" style="10" customWidth="1"/>
    <col min="2795" max="2796" width="12.6640625" style="10" customWidth="1"/>
    <col min="2797" max="2797" width="11.21875" style="10" customWidth="1"/>
    <col min="2798" max="2798" width="18.33203125" style="10" customWidth="1"/>
    <col min="2799" max="2799" width="12.88671875" style="10" customWidth="1"/>
    <col min="2800" max="2801" width="13.21875" style="10" customWidth="1"/>
    <col min="2802" max="2802" width="10.88671875" style="10" customWidth="1"/>
    <col min="2803" max="2803" width="11.109375" style="10" customWidth="1"/>
    <col min="2804" max="2804" width="15.21875" style="10" customWidth="1"/>
    <col min="2805" max="2805" width="9.6640625" style="10"/>
    <col min="2806" max="2806" width="11" style="10" customWidth="1"/>
    <col min="2807" max="2807" width="10.77734375" style="10" customWidth="1"/>
    <col min="2808" max="2808" width="11.44140625" style="10" customWidth="1"/>
    <col min="2809" max="2809" width="4" style="10" customWidth="1"/>
    <col min="2810" max="3000" width="9.6640625" style="10"/>
    <col min="3001" max="3001" width="6.44140625" style="10" customWidth="1"/>
    <col min="3002" max="3002" width="13.88671875" style="10" customWidth="1"/>
    <col min="3003" max="3003" width="11.88671875" style="10" customWidth="1"/>
    <col min="3004" max="3006" width="9.6640625" style="10"/>
    <col min="3007" max="3007" width="15.44140625" style="10" customWidth="1"/>
    <col min="3008" max="3008" width="16.21875" style="10" customWidth="1"/>
    <col min="3009" max="3020" width="9.6640625" style="10"/>
    <col min="3021" max="3021" width="12" style="10" customWidth="1"/>
    <col min="3022" max="3022" width="12.77734375" style="10" customWidth="1"/>
    <col min="3023" max="3023" width="11.109375" style="10" customWidth="1"/>
    <col min="3024" max="3024" width="12" style="10" customWidth="1"/>
    <col min="3025" max="3025" width="9.6640625" style="10"/>
    <col min="3026" max="3026" width="15.33203125" style="10" customWidth="1"/>
    <col min="3027" max="3027" width="15.21875" style="10" customWidth="1"/>
    <col min="3028" max="3028" width="21.44140625" style="10" customWidth="1"/>
    <col min="3029" max="3044" width="9.6640625" style="10"/>
    <col min="3045" max="3046" width="13.44140625" style="10" customWidth="1"/>
    <col min="3047" max="3047" width="9.6640625" style="10"/>
    <col min="3048" max="3048" width="13.88671875" style="10" customWidth="1"/>
    <col min="3049" max="3049" width="10.6640625" style="10" customWidth="1"/>
    <col min="3050" max="3050" width="17.33203125" style="10" customWidth="1"/>
    <col min="3051" max="3052" width="12.6640625" style="10" customWidth="1"/>
    <col min="3053" max="3053" width="11.21875" style="10" customWidth="1"/>
    <col min="3054" max="3054" width="18.33203125" style="10" customWidth="1"/>
    <col min="3055" max="3055" width="12.88671875" style="10" customWidth="1"/>
    <col min="3056" max="3057" width="13.21875" style="10" customWidth="1"/>
    <col min="3058" max="3058" width="10.88671875" style="10" customWidth="1"/>
    <col min="3059" max="3059" width="11.109375" style="10" customWidth="1"/>
    <col min="3060" max="3060" width="15.21875" style="10" customWidth="1"/>
    <col min="3061" max="3061" width="9.6640625" style="10"/>
    <col min="3062" max="3062" width="11" style="10" customWidth="1"/>
    <col min="3063" max="3063" width="10.77734375" style="10" customWidth="1"/>
    <col min="3064" max="3064" width="11.44140625" style="10" customWidth="1"/>
    <col min="3065" max="3065" width="4" style="10" customWidth="1"/>
    <col min="3066" max="3256" width="9.6640625" style="10"/>
    <col min="3257" max="3257" width="6.44140625" style="10" customWidth="1"/>
    <col min="3258" max="3258" width="13.88671875" style="10" customWidth="1"/>
    <col min="3259" max="3259" width="11.88671875" style="10" customWidth="1"/>
    <col min="3260" max="3262" width="9.6640625" style="10"/>
    <col min="3263" max="3263" width="15.44140625" style="10" customWidth="1"/>
    <col min="3264" max="3264" width="16.21875" style="10" customWidth="1"/>
    <col min="3265" max="3276" width="9.6640625" style="10"/>
    <col min="3277" max="3277" width="12" style="10" customWidth="1"/>
    <col min="3278" max="3278" width="12.77734375" style="10" customWidth="1"/>
    <col min="3279" max="3279" width="11.109375" style="10" customWidth="1"/>
    <col min="3280" max="3280" width="12" style="10" customWidth="1"/>
    <col min="3281" max="3281" width="9.6640625" style="10"/>
    <col min="3282" max="3282" width="15.33203125" style="10" customWidth="1"/>
    <col min="3283" max="3283" width="15.21875" style="10" customWidth="1"/>
    <col min="3284" max="3284" width="21.44140625" style="10" customWidth="1"/>
    <col min="3285" max="3300" width="9.6640625" style="10"/>
    <col min="3301" max="3302" width="13.44140625" style="10" customWidth="1"/>
    <col min="3303" max="3303" width="9.6640625" style="10"/>
    <col min="3304" max="3304" width="13.88671875" style="10" customWidth="1"/>
    <col min="3305" max="3305" width="10.6640625" style="10" customWidth="1"/>
    <col min="3306" max="3306" width="17.33203125" style="10" customWidth="1"/>
    <col min="3307" max="3308" width="12.6640625" style="10" customWidth="1"/>
    <col min="3309" max="3309" width="11.21875" style="10" customWidth="1"/>
    <col min="3310" max="3310" width="18.33203125" style="10" customWidth="1"/>
    <col min="3311" max="3311" width="12.88671875" style="10" customWidth="1"/>
    <col min="3312" max="3313" width="13.21875" style="10" customWidth="1"/>
    <col min="3314" max="3314" width="10.88671875" style="10" customWidth="1"/>
    <col min="3315" max="3315" width="11.109375" style="10" customWidth="1"/>
    <col min="3316" max="3316" width="15.21875" style="10" customWidth="1"/>
    <col min="3317" max="3317" width="9.6640625" style="10"/>
    <col min="3318" max="3318" width="11" style="10" customWidth="1"/>
    <col min="3319" max="3319" width="10.77734375" style="10" customWidth="1"/>
    <col min="3320" max="3320" width="11.44140625" style="10" customWidth="1"/>
    <col min="3321" max="3321" width="4" style="10" customWidth="1"/>
    <col min="3322" max="3512" width="9.6640625" style="10"/>
    <col min="3513" max="3513" width="6.44140625" style="10" customWidth="1"/>
    <col min="3514" max="3514" width="13.88671875" style="10" customWidth="1"/>
    <col min="3515" max="3515" width="11.88671875" style="10" customWidth="1"/>
    <col min="3516" max="3518" width="9.6640625" style="10"/>
    <col min="3519" max="3519" width="15.44140625" style="10" customWidth="1"/>
    <col min="3520" max="3520" width="16.21875" style="10" customWidth="1"/>
    <col min="3521" max="3532" width="9.6640625" style="10"/>
    <col min="3533" max="3533" width="12" style="10" customWidth="1"/>
    <col min="3534" max="3534" width="12.77734375" style="10" customWidth="1"/>
    <col min="3535" max="3535" width="11.109375" style="10" customWidth="1"/>
    <col min="3536" max="3536" width="12" style="10" customWidth="1"/>
    <col min="3537" max="3537" width="9.6640625" style="10"/>
    <col min="3538" max="3538" width="15.33203125" style="10" customWidth="1"/>
    <col min="3539" max="3539" width="15.21875" style="10" customWidth="1"/>
    <col min="3540" max="3540" width="21.44140625" style="10" customWidth="1"/>
    <col min="3541" max="3556" width="9.6640625" style="10"/>
    <col min="3557" max="3558" width="13.44140625" style="10" customWidth="1"/>
    <col min="3559" max="3559" width="9.6640625" style="10"/>
    <col min="3560" max="3560" width="13.88671875" style="10" customWidth="1"/>
    <col min="3561" max="3561" width="10.6640625" style="10" customWidth="1"/>
    <col min="3562" max="3562" width="17.33203125" style="10" customWidth="1"/>
    <col min="3563" max="3564" width="12.6640625" style="10" customWidth="1"/>
    <col min="3565" max="3565" width="11.21875" style="10" customWidth="1"/>
    <col min="3566" max="3566" width="18.33203125" style="10" customWidth="1"/>
    <col min="3567" max="3567" width="12.88671875" style="10" customWidth="1"/>
    <col min="3568" max="3569" width="13.21875" style="10" customWidth="1"/>
    <col min="3570" max="3570" width="10.88671875" style="10" customWidth="1"/>
    <col min="3571" max="3571" width="11.109375" style="10" customWidth="1"/>
    <col min="3572" max="3572" width="15.21875" style="10" customWidth="1"/>
    <col min="3573" max="3573" width="9.6640625" style="10"/>
    <col min="3574" max="3574" width="11" style="10" customWidth="1"/>
    <col min="3575" max="3575" width="10.77734375" style="10" customWidth="1"/>
    <col min="3576" max="3576" width="11.44140625" style="10" customWidth="1"/>
    <col min="3577" max="3577" width="4" style="10" customWidth="1"/>
    <col min="3578" max="3768" width="9.6640625" style="10"/>
    <col min="3769" max="3769" width="6.44140625" style="10" customWidth="1"/>
    <col min="3770" max="3770" width="13.88671875" style="10" customWidth="1"/>
    <col min="3771" max="3771" width="11.88671875" style="10" customWidth="1"/>
    <col min="3772" max="3774" width="9.6640625" style="10"/>
    <col min="3775" max="3775" width="15.44140625" style="10" customWidth="1"/>
    <col min="3776" max="3776" width="16.21875" style="10" customWidth="1"/>
    <col min="3777" max="3788" width="9.6640625" style="10"/>
    <col min="3789" max="3789" width="12" style="10" customWidth="1"/>
    <col min="3790" max="3790" width="12.77734375" style="10" customWidth="1"/>
    <col min="3791" max="3791" width="11.109375" style="10" customWidth="1"/>
    <col min="3792" max="3792" width="12" style="10" customWidth="1"/>
    <col min="3793" max="3793" width="9.6640625" style="10"/>
    <col min="3794" max="3794" width="15.33203125" style="10" customWidth="1"/>
    <col min="3795" max="3795" width="15.21875" style="10" customWidth="1"/>
    <col min="3796" max="3796" width="21.44140625" style="10" customWidth="1"/>
    <col min="3797" max="3812" width="9.6640625" style="10"/>
    <col min="3813" max="3814" width="13.44140625" style="10" customWidth="1"/>
    <col min="3815" max="3815" width="9.6640625" style="10"/>
    <col min="3816" max="3816" width="13.88671875" style="10" customWidth="1"/>
    <col min="3817" max="3817" width="10.6640625" style="10" customWidth="1"/>
    <col min="3818" max="3818" width="17.33203125" style="10" customWidth="1"/>
    <col min="3819" max="3820" width="12.6640625" style="10" customWidth="1"/>
    <col min="3821" max="3821" width="11.21875" style="10" customWidth="1"/>
    <col min="3822" max="3822" width="18.33203125" style="10" customWidth="1"/>
    <col min="3823" max="3823" width="12.88671875" style="10" customWidth="1"/>
    <col min="3824" max="3825" width="13.21875" style="10" customWidth="1"/>
    <col min="3826" max="3826" width="10.88671875" style="10" customWidth="1"/>
    <col min="3827" max="3827" width="11.109375" style="10" customWidth="1"/>
    <col min="3828" max="3828" width="15.21875" style="10" customWidth="1"/>
    <col min="3829" max="3829" width="9.6640625" style="10"/>
    <col min="3830" max="3830" width="11" style="10" customWidth="1"/>
    <col min="3831" max="3831" width="10.77734375" style="10" customWidth="1"/>
    <col min="3832" max="3832" width="11.44140625" style="10" customWidth="1"/>
    <col min="3833" max="3833" width="4" style="10" customWidth="1"/>
    <col min="3834" max="4024" width="9.6640625" style="10"/>
    <col min="4025" max="4025" width="6.44140625" style="10" customWidth="1"/>
    <col min="4026" max="4026" width="13.88671875" style="10" customWidth="1"/>
    <col min="4027" max="4027" width="11.88671875" style="10" customWidth="1"/>
    <col min="4028" max="4030" width="9.6640625" style="10"/>
    <col min="4031" max="4031" width="15.44140625" style="10" customWidth="1"/>
    <col min="4032" max="4032" width="16.21875" style="10" customWidth="1"/>
    <col min="4033" max="4044" width="9.6640625" style="10"/>
    <col min="4045" max="4045" width="12" style="10" customWidth="1"/>
    <col min="4046" max="4046" width="12.77734375" style="10" customWidth="1"/>
    <col min="4047" max="4047" width="11.109375" style="10" customWidth="1"/>
    <col min="4048" max="4048" width="12" style="10" customWidth="1"/>
    <col min="4049" max="4049" width="9.6640625" style="10"/>
    <col min="4050" max="4050" width="15.33203125" style="10" customWidth="1"/>
    <col min="4051" max="4051" width="15.21875" style="10" customWidth="1"/>
    <col min="4052" max="4052" width="21.44140625" style="10" customWidth="1"/>
    <col min="4053" max="4068" width="9.6640625" style="10"/>
    <col min="4069" max="4070" width="13.44140625" style="10" customWidth="1"/>
    <col min="4071" max="4071" width="9.6640625" style="10"/>
    <col min="4072" max="4072" width="13.88671875" style="10" customWidth="1"/>
    <col min="4073" max="4073" width="10.6640625" style="10" customWidth="1"/>
    <col min="4074" max="4074" width="17.33203125" style="10" customWidth="1"/>
    <col min="4075" max="4076" width="12.6640625" style="10" customWidth="1"/>
    <col min="4077" max="4077" width="11.21875" style="10" customWidth="1"/>
    <col min="4078" max="4078" width="18.33203125" style="10" customWidth="1"/>
    <col min="4079" max="4079" width="12.88671875" style="10" customWidth="1"/>
    <col min="4080" max="4081" width="13.21875" style="10" customWidth="1"/>
    <col min="4082" max="4082" width="10.88671875" style="10" customWidth="1"/>
    <col min="4083" max="4083" width="11.109375" style="10" customWidth="1"/>
    <col min="4084" max="4084" width="15.21875" style="10" customWidth="1"/>
    <col min="4085" max="4085" width="9.6640625" style="10"/>
    <col min="4086" max="4086" width="11" style="10" customWidth="1"/>
    <col min="4087" max="4087" width="10.77734375" style="10" customWidth="1"/>
    <col min="4088" max="4088" width="11.44140625" style="10" customWidth="1"/>
    <col min="4089" max="4089" width="4" style="10" customWidth="1"/>
    <col min="4090" max="4280" width="9.6640625" style="10"/>
    <col min="4281" max="4281" width="6.44140625" style="10" customWidth="1"/>
    <col min="4282" max="4282" width="13.88671875" style="10" customWidth="1"/>
    <col min="4283" max="4283" width="11.88671875" style="10" customWidth="1"/>
    <col min="4284" max="4286" width="9.6640625" style="10"/>
    <col min="4287" max="4287" width="15.44140625" style="10" customWidth="1"/>
    <col min="4288" max="4288" width="16.21875" style="10" customWidth="1"/>
    <col min="4289" max="4300" width="9.6640625" style="10"/>
    <col min="4301" max="4301" width="12" style="10" customWidth="1"/>
    <col min="4302" max="4302" width="12.77734375" style="10" customWidth="1"/>
    <col min="4303" max="4303" width="11.109375" style="10" customWidth="1"/>
    <col min="4304" max="4304" width="12" style="10" customWidth="1"/>
    <col min="4305" max="4305" width="9.6640625" style="10"/>
    <col min="4306" max="4306" width="15.33203125" style="10" customWidth="1"/>
    <col min="4307" max="4307" width="15.21875" style="10" customWidth="1"/>
    <col min="4308" max="4308" width="21.44140625" style="10" customWidth="1"/>
    <col min="4309" max="4324" width="9.6640625" style="10"/>
    <col min="4325" max="4326" width="13.44140625" style="10" customWidth="1"/>
    <col min="4327" max="4327" width="9.6640625" style="10"/>
    <col min="4328" max="4328" width="13.88671875" style="10" customWidth="1"/>
    <col min="4329" max="4329" width="10.6640625" style="10" customWidth="1"/>
    <col min="4330" max="4330" width="17.33203125" style="10" customWidth="1"/>
    <col min="4331" max="4332" width="12.6640625" style="10" customWidth="1"/>
    <col min="4333" max="4333" width="11.21875" style="10" customWidth="1"/>
    <col min="4334" max="4334" width="18.33203125" style="10" customWidth="1"/>
    <col min="4335" max="4335" width="12.88671875" style="10" customWidth="1"/>
    <col min="4336" max="4337" width="13.21875" style="10" customWidth="1"/>
    <col min="4338" max="4338" width="10.88671875" style="10" customWidth="1"/>
    <col min="4339" max="4339" width="11.109375" style="10" customWidth="1"/>
    <col min="4340" max="4340" width="15.21875" style="10" customWidth="1"/>
    <col min="4341" max="4341" width="9.6640625" style="10"/>
    <col min="4342" max="4342" width="11" style="10" customWidth="1"/>
    <col min="4343" max="4343" width="10.77734375" style="10" customWidth="1"/>
    <col min="4344" max="4344" width="11.44140625" style="10" customWidth="1"/>
    <col min="4345" max="4345" width="4" style="10" customWidth="1"/>
    <col min="4346" max="4536" width="9.6640625" style="10"/>
    <col min="4537" max="4537" width="6.44140625" style="10" customWidth="1"/>
    <col min="4538" max="4538" width="13.88671875" style="10" customWidth="1"/>
    <col min="4539" max="4539" width="11.88671875" style="10" customWidth="1"/>
    <col min="4540" max="4542" width="9.6640625" style="10"/>
    <col min="4543" max="4543" width="15.44140625" style="10" customWidth="1"/>
    <col min="4544" max="4544" width="16.21875" style="10" customWidth="1"/>
    <col min="4545" max="4556" width="9.6640625" style="10"/>
    <col min="4557" max="4557" width="12" style="10" customWidth="1"/>
    <col min="4558" max="4558" width="12.77734375" style="10" customWidth="1"/>
    <col min="4559" max="4559" width="11.109375" style="10" customWidth="1"/>
    <col min="4560" max="4560" width="12" style="10" customWidth="1"/>
    <col min="4561" max="4561" width="9.6640625" style="10"/>
    <col min="4562" max="4562" width="15.33203125" style="10" customWidth="1"/>
    <col min="4563" max="4563" width="15.21875" style="10" customWidth="1"/>
    <col min="4564" max="4564" width="21.44140625" style="10" customWidth="1"/>
    <col min="4565" max="4580" width="9.6640625" style="10"/>
    <col min="4581" max="4582" width="13.44140625" style="10" customWidth="1"/>
    <col min="4583" max="4583" width="9.6640625" style="10"/>
    <col min="4584" max="4584" width="13.88671875" style="10" customWidth="1"/>
    <col min="4585" max="4585" width="10.6640625" style="10" customWidth="1"/>
    <col min="4586" max="4586" width="17.33203125" style="10" customWidth="1"/>
    <col min="4587" max="4588" width="12.6640625" style="10" customWidth="1"/>
    <col min="4589" max="4589" width="11.21875" style="10" customWidth="1"/>
    <col min="4590" max="4590" width="18.33203125" style="10" customWidth="1"/>
    <col min="4591" max="4591" width="12.88671875" style="10" customWidth="1"/>
    <col min="4592" max="4593" width="13.21875" style="10" customWidth="1"/>
    <col min="4594" max="4594" width="10.88671875" style="10" customWidth="1"/>
    <col min="4595" max="4595" width="11.109375" style="10" customWidth="1"/>
    <col min="4596" max="4596" width="15.21875" style="10" customWidth="1"/>
    <col min="4597" max="4597" width="9.6640625" style="10"/>
    <col min="4598" max="4598" width="11" style="10" customWidth="1"/>
    <col min="4599" max="4599" width="10.77734375" style="10" customWidth="1"/>
    <col min="4600" max="4600" width="11.44140625" style="10" customWidth="1"/>
    <col min="4601" max="4601" width="4" style="10" customWidth="1"/>
    <col min="4602" max="4792" width="9.6640625" style="10"/>
    <col min="4793" max="4793" width="6.44140625" style="10" customWidth="1"/>
    <col min="4794" max="4794" width="13.88671875" style="10" customWidth="1"/>
    <col min="4795" max="4795" width="11.88671875" style="10" customWidth="1"/>
    <col min="4796" max="4798" width="9.6640625" style="10"/>
    <col min="4799" max="4799" width="15.44140625" style="10" customWidth="1"/>
    <col min="4800" max="4800" width="16.21875" style="10" customWidth="1"/>
    <col min="4801" max="4812" width="9.6640625" style="10"/>
    <col min="4813" max="4813" width="12" style="10" customWidth="1"/>
    <col min="4814" max="4814" width="12.77734375" style="10" customWidth="1"/>
    <col min="4815" max="4815" width="11.109375" style="10" customWidth="1"/>
    <col min="4816" max="4816" width="12" style="10" customWidth="1"/>
    <col min="4817" max="4817" width="9.6640625" style="10"/>
    <col min="4818" max="4818" width="15.33203125" style="10" customWidth="1"/>
    <col min="4819" max="4819" width="15.21875" style="10" customWidth="1"/>
    <col min="4820" max="4820" width="21.44140625" style="10" customWidth="1"/>
    <col min="4821" max="4836" width="9.6640625" style="10"/>
    <col min="4837" max="4838" width="13.44140625" style="10" customWidth="1"/>
    <col min="4839" max="4839" width="9.6640625" style="10"/>
    <col min="4840" max="4840" width="13.88671875" style="10" customWidth="1"/>
    <col min="4841" max="4841" width="10.6640625" style="10" customWidth="1"/>
    <col min="4842" max="4842" width="17.33203125" style="10" customWidth="1"/>
    <col min="4843" max="4844" width="12.6640625" style="10" customWidth="1"/>
    <col min="4845" max="4845" width="11.21875" style="10" customWidth="1"/>
    <col min="4846" max="4846" width="18.33203125" style="10" customWidth="1"/>
    <col min="4847" max="4847" width="12.88671875" style="10" customWidth="1"/>
    <col min="4848" max="4849" width="13.21875" style="10" customWidth="1"/>
    <col min="4850" max="4850" width="10.88671875" style="10" customWidth="1"/>
    <col min="4851" max="4851" width="11.109375" style="10" customWidth="1"/>
    <col min="4852" max="4852" width="15.21875" style="10" customWidth="1"/>
    <col min="4853" max="4853" width="9.6640625" style="10"/>
    <col min="4854" max="4854" width="11" style="10" customWidth="1"/>
    <col min="4855" max="4855" width="10.77734375" style="10" customWidth="1"/>
    <col min="4856" max="4856" width="11.44140625" style="10" customWidth="1"/>
    <col min="4857" max="4857" width="4" style="10" customWidth="1"/>
    <col min="4858" max="5048" width="9.6640625" style="10"/>
    <col min="5049" max="5049" width="6.44140625" style="10" customWidth="1"/>
    <col min="5050" max="5050" width="13.88671875" style="10" customWidth="1"/>
    <col min="5051" max="5051" width="11.88671875" style="10" customWidth="1"/>
    <col min="5052" max="5054" width="9.6640625" style="10"/>
    <col min="5055" max="5055" width="15.44140625" style="10" customWidth="1"/>
    <col min="5056" max="5056" width="16.21875" style="10" customWidth="1"/>
    <col min="5057" max="5068" width="9.6640625" style="10"/>
    <col min="5069" max="5069" width="12" style="10" customWidth="1"/>
    <col min="5070" max="5070" width="12.77734375" style="10" customWidth="1"/>
    <col min="5071" max="5071" width="11.109375" style="10" customWidth="1"/>
    <col min="5072" max="5072" width="12" style="10" customWidth="1"/>
    <col min="5073" max="5073" width="9.6640625" style="10"/>
    <col min="5074" max="5074" width="15.33203125" style="10" customWidth="1"/>
    <col min="5075" max="5075" width="15.21875" style="10" customWidth="1"/>
    <col min="5076" max="5076" width="21.44140625" style="10" customWidth="1"/>
    <col min="5077" max="5092" width="9.6640625" style="10"/>
    <col min="5093" max="5094" width="13.44140625" style="10" customWidth="1"/>
    <col min="5095" max="5095" width="9.6640625" style="10"/>
    <col min="5096" max="5096" width="13.88671875" style="10" customWidth="1"/>
    <col min="5097" max="5097" width="10.6640625" style="10" customWidth="1"/>
    <col min="5098" max="5098" width="17.33203125" style="10" customWidth="1"/>
    <col min="5099" max="5100" width="12.6640625" style="10" customWidth="1"/>
    <col min="5101" max="5101" width="11.21875" style="10" customWidth="1"/>
    <col min="5102" max="5102" width="18.33203125" style="10" customWidth="1"/>
    <col min="5103" max="5103" width="12.88671875" style="10" customWidth="1"/>
    <col min="5104" max="5105" width="13.21875" style="10" customWidth="1"/>
    <col min="5106" max="5106" width="10.88671875" style="10" customWidth="1"/>
    <col min="5107" max="5107" width="11.109375" style="10" customWidth="1"/>
    <col min="5108" max="5108" width="15.21875" style="10" customWidth="1"/>
    <col min="5109" max="5109" width="9.6640625" style="10"/>
    <col min="5110" max="5110" width="11" style="10" customWidth="1"/>
    <col min="5111" max="5111" width="10.77734375" style="10" customWidth="1"/>
    <col min="5112" max="5112" width="11.44140625" style="10" customWidth="1"/>
    <col min="5113" max="5113" width="4" style="10" customWidth="1"/>
    <col min="5114" max="5304" width="9.6640625" style="10"/>
    <col min="5305" max="5305" width="6.44140625" style="10" customWidth="1"/>
    <col min="5306" max="5306" width="13.88671875" style="10" customWidth="1"/>
    <col min="5307" max="5307" width="11.88671875" style="10" customWidth="1"/>
    <col min="5308" max="5310" width="9.6640625" style="10"/>
    <col min="5311" max="5311" width="15.44140625" style="10" customWidth="1"/>
    <col min="5312" max="5312" width="16.21875" style="10" customWidth="1"/>
    <col min="5313" max="5324" width="9.6640625" style="10"/>
    <col min="5325" max="5325" width="12" style="10" customWidth="1"/>
    <col min="5326" max="5326" width="12.77734375" style="10" customWidth="1"/>
    <col min="5327" max="5327" width="11.109375" style="10" customWidth="1"/>
    <col min="5328" max="5328" width="12" style="10" customWidth="1"/>
    <col min="5329" max="5329" width="9.6640625" style="10"/>
    <col min="5330" max="5330" width="15.33203125" style="10" customWidth="1"/>
    <col min="5331" max="5331" width="15.21875" style="10" customWidth="1"/>
    <col min="5332" max="5332" width="21.44140625" style="10" customWidth="1"/>
    <col min="5333" max="5348" width="9.6640625" style="10"/>
    <col min="5349" max="5350" width="13.44140625" style="10" customWidth="1"/>
    <col min="5351" max="5351" width="9.6640625" style="10"/>
    <col min="5352" max="5352" width="13.88671875" style="10" customWidth="1"/>
    <col min="5353" max="5353" width="10.6640625" style="10" customWidth="1"/>
    <col min="5354" max="5354" width="17.33203125" style="10" customWidth="1"/>
    <col min="5355" max="5356" width="12.6640625" style="10" customWidth="1"/>
    <col min="5357" max="5357" width="11.21875" style="10" customWidth="1"/>
    <col min="5358" max="5358" width="18.33203125" style="10" customWidth="1"/>
    <col min="5359" max="5359" width="12.88671875" style="10" customWidth="1"/>
    <col min="5360" max="5361" width="13.21875" style="10" customWidth="1"/>
    <col min="5362" max="5362" width="10.88671875" style="10" customWidth="1"/>
    <col min="5363" max="5363" width="11.109375" style="10" customWidth="1"/>
    <col min="5364" max="5364" width="15.21875" style="10" customWidth="1"/>
    <col min="5365" max="5365" width="9.6640625" style="10"/>
    <col min="5366" max="5366" width="11" style="10" customWidth="1"/>
    <col min="5367" max="5367" width="10.77734375" style="10" customWidth="1"/>
    <col min="5368" max="5368" width="11.44140625" style="10" customWidth="1"/>
    <col min="5369" max="5369" width="4" style="10" customWidth="1"/>
    <col min="5370" max="5560" width="9.6640625" style="10"/>
    <col min="5561" max="5561" width="6.44140625" style="10" customWidth="1"/>
    <col min="5562" max="5562" width="13.88671875" style="10" customWidth="1"/>
    <col min="5563" max="5563" width="11.88671875" style="10" customWidth="1"/>
    <col min="5564" max="5566" width="9.6640625" style="10"/>
    <col min="5567" max="5567" width="15.44140625" style="10" customWidth="1"/>
    <col min="5568" max="5568" width="16.21875" style="10" customWidth="1"/>
    <col min="5569" max="5580" width="9.6640625" style="10"/>
    <col min="5581" max="5581" width="12" style="10" customWidth="1"/>
    <col min="5582" max="5582" width="12.77734375" style="10" customWidth="1"/>
    <col min="5583" max="5583" width="11.109375" style="10" customWidth="1"/>
    <col min="5584" max="5584" width="12" style="10" customWidth="1"/>
    <col min="5585" max="5585" width="9.6640625" style="10"/>
    <col min="5586" max="5586" width="15.33203125" style="10" customWidth="1"/>
    <col min="5587" max="5587" width="15.21875" style="10" customWidth="1"/>
    <col min="5588" max="5588" width="21.44140625" style="10" customWidth="1"/>
    <col min="5589" max="5604" width="9.6640625" style="10"/>
    <col min="5605" max="5606" width="13.44140625" style="10" customWidth="1"/>
    <col min="5607" max="5607" width="9.6640625" style="10"/>
    <col min="5608" max="5608" width="13.88671875" style="10" customWidth="1"/>
    <col min="5609" max="5609" width="10.6640625" style="10" customWidth="1"/>
    <col min="5610" max="5610" width="17.33203125" style="10" customWidth="1"/>
    <col min="5611" max="5612" width="12.6640625" style="10" customWidth="1"/>
    <col min="5613" max="5613" width="11.21875" style="10" customWidth="1"/>
    <col min="5614" max="5614" width="18.33203125" style="10" customWidth="1"/>
    <col min="5615" max="5615" width="12.88671875" style="10" customWidth="1"/>
    <col min="5616" max="5617" width="13.21875" style="10" customWidth="1"/>
    <col min="5618" max="5618" width="10.88671875" style="10" customWidth="1"/>
    <col min="5619" max="5619" width="11.109375" style="10" customWidth="1"/>
    <col min="5620" max="5620" width="15.21875" style="10" customWidth="1"/>
    <col min="5621" max="5621" width="9.6640625" style="10"/>
    <col min="5622" max="5622" width="11" style="10" customWidth="1"/>
    <col min="5623" max="5623" width="10.77734375" style="10" customWidth="1"/>
    <col min="5624" max="5624" width="11.44140625" style="10" customWidth="1"/>
    <col min="5625" max="5625" width="4" style="10" customWidth="1"/>
    <col min="5626" max="5816" width="9.6640625" style="10"/>
    <col min="5817" max="5817" width="6.44140625" style="10" customWidth="1"/>
    <col min="5818" max="5818" width="13.88671875" style="10" customWidth="1"/>
    <col min="5819" max="5819" width="11.88671875" style="10" customWidth="1"/>
    <col min="5820" max="5822" width="9.6640625" style="10"/>
    <col min="5823" max="5823" width="15.44140625" style="10" customWidth="1"/>
    <col min="5824" max="5824" width="16.21875" style="10" customWidth="1"/>
    <col min="5825" max="5836" width="9.6640625" style="10"/>
    <col min="5837" max="5837" width="12" style="10" customWidth="1"/>
    <col min="5838" max="5838" width="12.77734375" style="10" customWidth="1"/>
    <col min="5839" max="5839" width="11.109375" style="10" customWidth="1"/>
    <col min="5840" max="5840" width="12" style="10" customWidth="1"/>
    <col min="5841" max="5841" width="9.6640625" style="10"/>
    <col min="5842" max="5842" width="15.33203125" style="10" customWidth="1"/>
    <col min="5843" max="5843" width="15.21875" style="10" customWidth="1"/>
    <col min="5844" max="5844" width="21.44140625" style="10" customWidth="1"/>
    <col min="5845" max="5860" width="9.6640625" style="10"/>
    <col min="5861" max="5862" width="13.44140625" style="10" customWidth="1"/>
    <col min="5863" max="5863" width="9.6640625" style="10"/>
    <col min="5864" max="5864" width="13.88671875" style="10" customWidth="1"/>
    <col min="5865" max="5865" width="10.6640625" style="10" customWidth="1"/>
    <col min="5866" max="5866" width="17.33203125" style="10" customWidth="1"/>
    <col min="5867" max="5868" width="12.6640625" style="10" customWidth="1"/>
    <col min="5869" max="5869" width="11.21875" style="10" customWidth="1"/>
    <col min="5870" max="5870" width="18.33203125" style="10" customWidth="1"/>
    <col min="5871" max="5871" width="12.88671875" style="10" customWidth="1"/>
    <col min="5872" max="5873" width="13.21875" style="10" customWidth="1"/>
    <col min="5874" max="5874" width="10.88671875" style="10" customWidth="1"/>
    <col min="5875" max="5875" width="11.109375" style="10" customWidth="1"/>
    <col min="5876" max="5876" width="15.21875" style="10" customWidth="1"/>
    <col min="5877" max="5877" width="9.6640625" style="10"/>
    <col min="5878" max="5878" width="11" style="10" customWidth="1"/>
    <col min="5879" max="5879" width="10.77734375" style="10" customWidth="1"/>
    <col min="5880" max="5880" width="11.44140625" style="10" customWidth="1"/>
    <col min="5881" max="5881" width="4" style="10" customWidth="1"/>
    <col min="5882" max="6072" width="9.6640625" style="10"/>
    <col min="6073" max="6073" width="6.44140625" style="10" customWidth="1"/>
    <col min="6074" max="6074" width="13.88671875" style="10" customWidth="1"/>
    <col min="6075" max="6075" width="11.88671875" style="10" customWidth="1"/>
    <col min="6076" max="6078" width="9.6640625" style="10"/>
    <col min="6079" max="6079" width="15.44140625" style="10" customWidth="1"/>
    <col min="6080" max="6080" width="16.21875" style="10" customWidth="1"/>
    <col min="6081" max="6092" width="9.6640625" style="10"/>
    <col min="6093" max="6093" width="12" style="10" customWidth="1"/>
    <col min="6094" max="6094" width="12.77734375" style="10" customWidth="1"/>
    <col min="6095" max="6095" width="11.109375" style="10" customWidth="1"/>
    <col min="6096" max="6096" width="12" style="10" customWidth="1"/>
    <col min="6097" max="6097" width="9.6640625" style="10"/>
    <col min="6098" max="6098" width="15.33203125" style="10" customWidth="1"/>
    <col min="6099" max="6099" width="15.21875" style="10" customWidth="1"/>
    <col min="6100" max="6100" width="21.44140625" style="10" customWidth="1"/>
    <col min="6101" max="6116" width="9.6640625" style="10"/>
    <col min="6117" max="6118" width="13.44140625" style="10" customWidth="1"/>
    <col min="6119" max="6119" width="9.6640625" style="10"/>
    <col min="6120" max="6120" width="13.88671875" style="10" customWidth="1"/>
    <col min="6121" max="6121" width="10.6640625" style="10" customWidth="1"/>
    <col min="6122" max="6122" width="17.33203125" style="10" customWidth="1"/>
    <col min="6123" max="6124" width="12.6640625" style="10" customWidth="1"/>
    <col min="6125" max="6125" width="11.21875" style="10" customWidth="1"/>
    <col min="6126" max="6126" width="18.33203125" style="10" customWidth="1"/>
    <col min="6127" max="6127" width="12.88671875" style="10" customWidth="1"/>
    <col min="6128" max="6129" width="13.21875" style="10" customWidth="1"/>
    <col min="6130" max="6130" width="10.88671875" style="10" customWidth="1"/>
    <col min="6131" max="6131" width="11.109375" style="10" customWidth="1"/>
    <col min="6132" max="6132" width="15.21875" style="10" customWidth="1"/>
    <col min="6133" max="6133" width="9.6640625" style="10"/>
    <col min="6134" max="6134" width="11" style="10" customWidth="1"/>
    <col min="6135" max="6135" width="10.77734375" style="10" customWidth="1"/>
    <col min="6136" max="6136" width="11.44140625" style="10" customWidth="1"/>
    <col min="6137" max="6137" width="4" style="10" customWidth="1"/>
    <col min="6138" max="6328" width="9.6640625" style="10"/>
    <col min="6329" max="6329" width="6.44140625" style="10" customWidth="1"/>
    <col min="6330" max="6330" width="13.88671875" style="10" customWidth="1"/>
    <col min="6331" max="6331" width="11.88671875" style="10" customWidth="1"/>
    <col min="6332" max="6334" width="9.6640625" style="10"/>
    <col min="6335" max="6335" width="15.44140625" style="10" customWidth="1"/>
    <col min="6336" max="6336" width="16.21875" style="10" customWidth="1"/>
    <col min="6337" max="6348" width="9.6640625" style="10"/>
    <col min="6349" max="6349" width="12" style="10" customWidth="1"/>
    <col min="6350" max="6350" width="12.77734375" style="10" customWidth="1"/>
    <col min="6351" max="6351" width="11.109375" style="10" customWidth="1"/>
    <col min="6352" max="6352" width="12" style="10" customWidth="1"/>
    <col min="6353" max="6353" width="9.6640625" style="10"/>
    <col min="6354" max="6354" width="15.33203125" style="10" customWidth="1"/>
    <col min="6355" max="6355" width="15.21875" style="10" customWidth="1"/>
    <col min="6356" max="6356" width="21.44140625" style="10" customWidth="1"/>
    <col min="6357" max="6372" width="9.6640625" style="10"/>
    <col min="6373" max="6374" width="13.44140625" style="10" customWidth="1"/>
    <col min="6375" max="6375" width="9.6640625" style="10"/>
    <col min="6376" max="6376" width="13.88671875" style="10" customWidth="1"/>
    <col min="6377" max="6377" width="10.6640625" style="10" customWidth="1"/>
    <col min="6378" max="6378" width="17.33203125" style="10" customWidth="1"/>
    <col min="6379" max="6380" width="12.6640625" style="10" customWidth="1"/>
    <col min="6381" max="6381" width="11.21875" style="10" customWidth="1"/>
    <col min="6382" max="6382" width="18.33203125" style="10" customWidth="1"/>
    <col min="6383" max="6383" width="12.88671875" style="10" customWidth="1"/>
    <col min="6384" max="6385" width="13.21875" style="10" customWidth="1"/>
    <col min="6386" max="6386" width="10.88671875" style="10" customWidth="1"/>
    <col min="6387" max="6387" width="11.109375" style="10" customWidth="1"/>
    <col min="6388" max="6388" width="15.21875" style="10" customWidth="1"/>
    <col min="6389" max="6389" width="9.6640625" style="10"/>
    <col min="6390" max="6390" width="11" style="10" customWidth="1"/>
    <col min="6391" max="6391" width="10.77734375" style="10" customWidth="1"/>
    <col min="6392" max="6392" width="11.44140625" style="10" customWidth="1"/>
    <col min="6393" max="6393" width="4" style="10" customWidth="1"/>
    <col min="6394" max="6584" width="9.6640625" style="10"/>
    <col min="6585" max="6585" width="6.44140625" style="10" customWidth="1"/>
    <col min="6586" max="6586" width="13.88671875" style="10" customWidth="1"/>
    <col min="6587" max="6587" width="11.88671875" style="10" customWidth="1"/>
    <col min="6588" max="6590" width="9.6640625" style="10"/>
    <col min="6591" max="6591" width="15.44140625" style="10" customWidth="1"/>
    <col min="6592" max="6592" width="16.21875" style="10" customWidth="1"/>
    <col min="6593" max="6604" width="9.6640625" style="10"/>
    <col min="6605" max="6605" width="12" style="10" customWidth="1"/>
    <col min="6606" max="6606" width="12.77734375" style="10" customWidth="1"/>
    <col min="6607" max="6607" width="11.109375" style="10" customWidth="1"/>
    <col min="6608" max="6608" width="12" style="10" customWidth="1"/>
    <col min="6609" max="6609" width="9.6640625" style="10"/>
    <col min="6610" max="6610" width="15.33203125" style="10" customWidth="1"/>
    <col min="6611" max="6611" width="15.21875" style="10" customWidth="1"/>
    <col min="6612" max="6612" width="21.44140625" style="10" customWidth="1"/>
    <col min="6613" max="6628" width="9.6640625" style="10"/>
    <col min="6629" max="6630" width="13.44140625" style="10" customWidth="1"/>
    <col min="6631" max="6631" width="9.6640625" style="10"/>
    <col min="6632" max="6632" width="13.88671875" style="10" customWidth="1"/>
    <col min="6633" max="6633" width="10.6640625" style="10" customWidth="1"/>
    <col min="6634" max="6634" width="17.33203125" style="10" customWidth="1"/>
    <col min="6635" max="6636" width="12.6640625" style="10" customWidth="1"/>
    <col min="6637" max="6637" width="11.21875" style="10" customWidth="1"/>
    <col min="6638" max="6638" width="18.33203125" style="10" customWidth="1"/>
    <col min="6639" max="6639" width="12.88671875" style="10" customWidth="1"/>
    <col min="6640" max="6641" width="13.21875" style="10" customWidth="1"/>
    <col min="6642" max="6642" width="10.88671875" style="10" customWidth="1"/>
    <col min="6643" max="6643" width="11.109375" style="10" customWidth="1"/>
    <col min="6644" max="6644" width="15.21875" style="10" customWidth="1"/>
    <col min="6645" max="6645" width="9.6640625" style="10"/>
    <col min="6646" max="6646" width="11" style="10" customWidth="1"/>
    <col min="6647" max="6647" width="10.77734375" style="10" customWidth="1"/>
    <col min="6648" max="6648" width="11.44140625" style="10" customWidth="1"/>
    <col min="6649" max="6649" width="4" style="10" customWidth="1"/>
    <col min="6650" max="6840" width="9.6640625" style="10"/>
    <col min="6841" max="6841" width="6.44140625" style="10" customWidth="1"/>
    <col min="6842" max="6842" width="13.88671875" style="10" customWidth="1"/>
    <col min="6843" max="6843" width="11.88671875" style="10" customWidth="1"/>
    <col min="6844" max="6846" width="9.6640625" style="10"/>
    <col min="6847" max="6847" width="15.44140625" style="10" customWidth="1"/>
    <col min="6848" max="6848" width="16.21875" style="10" customWidth="1"/>
    <col min="6849" max="6860" width="9.6640625" style="10"/>
    <col min="6861" max="6861" width="12" style="10" customWidth="1"/>
    <col min="6862" max="6862" width="12.77734375" style="10" customWidth="1"/>
    <col min="6863" max="6863" width="11.109375" style="10" customWidth="1"/>
    <col min="6864" max="6864" width="12" style="10" customWidth="1"/>
    <col min="6865" max="6865" width="9.6640625" style="10"/>
    <col min="6866" max="6866" width="15.33203125" style="10" customWidth="1"/>
    <col min="6867" max="6867" width="15.21875" style="10" customWidth="1"/>
    <col min="6868" max="6868" width="21.44140625" style="10" customWidth="1"/>
    <col min="6869" max="6884" width="9.6640625" style="10"/>
    <col min="6885" max="6886" width="13.44140625" style="10" customWidth="1"/>
    <col min="6887" max="6887" width="9.6640625" style="10"/>
    <col min="6888" max="6888" width="13.88671875" style="10" customWidth="1"/>
    <col min="6889" max="6889" width="10.6640625" style="10" customWidth="1"/>
    <col min="6890" max="6890" width="17.33203125" style="10" customWidth="1"/>
    <col min="6891" max="6892" width="12.6640625" style="10" customWidth="1"/>
    <col min="6893" max="6893" width="11.21875" style="10" customWidth="1"/>
    <col min="6894" max="6894" width="18.33203125" style="10" customWidth="1"/>
    <col min="6895" max="6895" width="12.88671875" style="10" customWidth="1"/>
    <col min="6896" max="6897" width="13.21875" style="10" customWidth="1"/>
    <col min="6898" max="6898" width="10.88671875" style="10" customWidth="1"/>
    <col min="6899" max="6899" width="11.109375" style="10" customWidth="1"/>
    <col min="6900" max="6900" width="15.21875" style="10" customWidth="1"/>
    <col min="6901" max="6901" width="9.6640625" style="10"/>
    <col min="6902" max="6902" width="11" style="10" customWidth="1"/>
    <col min="6903" max="6903" width="10.77734375" style="10" customWidth="1"/>
    <col min="6904" max="6904" width="11.44140625" style="10" customWidth="1"/>
    <col min="6905" max="6905" width="4" style="10" customWidth="1"/>
    <col min="6906" max="7096" width="9.6640625" style="10"/>
    <col min="7097" max="7097" width="6.44140625" style="10" customWidth="1"/>
    <col min="7098" max="7098" width="13.88671875" style="10" customWidth="1"/>
    <col min="7099" max="7099" width="11.88671875" style="10" customWidth="1"/>
    <col min="7100" max="7102" width="9.6640625" style="10"/>
    <col min="7103" max="7103" width="15.44140625" style="10" customWidth="1"/>
    <col min="7104" max="7104" width="16.21875" style="10" customWidth="1"/>
    <col min="7105" max="7116" width="9.6640625" style="10"/>
    <col min="7117" max="7117" width="12" style="10" customWidth="1"/>
    <col min="7118" max="7118" width="12.77734375" style="10" customWidth="1"/>
    <col min="7119" max="7119" width="11.109375" style="10" customWidth="1"/>
    <col min="7120" max="7120" width="12" style="10" customWidth="1"/>
    <col min="7121" max="7121" width="9.6640625" style="10"/>
    <col min="7122" max="7122" width="15.33203125" style="10" customWidth="1"/>
    <col min="7123" max="7123" width="15.21875" style="10" customWidth="1"/>
    <col min="7124" max="7124" width="21.44140625" style="10" customWidth="1"/>
    <col min="7125" max="7140" width="9.6640625" style="10"/>
    <col min="7141" max="7142" width="13.44140625" style="10" customWidth="1"/>
    <col min="7143" max="7143" width="9.6640625" style="10"/>
    <col min="7144" max="7144" width="13.88671875" style="10" customWidth="1"/>
    <col min="7145" max="7145" width="10.6640625" style="10" customWidth="1"/>
    <col min="7146" max="7146" width="17.33203125" style="10" customWidth="1"/>
    <col min="7147" max="7148" width="12.6640625" style="10" customWidth="1"/>
    <col min="7149" max="7149" width="11.21875" style="10" customWidth="1"/>
    <col min="7150" max="7150" width="18.33203125" style="10" customWidth="1"/>
    <col min="7151" max="7151" width="12.88671875" style="10" customWidth="1"/>
    <col min="7152" max="7153" width="13.21875" style="10" customWidth="1"/>
    <col min="7154" max="7154" width="10.88671875" style="10" customWidth="1"/>
    <col min="7155" max="7155" width="11.109375" style="10" customWidth="1"/>
    <col min="7156" max="7156" width="15.21875" style="10" customWidth="1"/>
    <col min="7157" max="7157" width="9.6640625" style="10"/>
    <col min="7158" max="7158" width="11" style="10" customWidth="1"/>
    <col min="7159" max="7159" width="10.77734375" style="10" customWidth="1"/>
    <col min="7160" max="7160" width="11.44140625" style="10" customWidth="1"/>
    <col min="7161" max="7161" width="4" style="10" customWidth="1"/>
    <col min="7162" max="7352" width="9.6640625" style="10"/>
    <col min="7353" max="7353" width="6.44140625" style="10" customWidth="1"/>
    <col min="7354" max="7354" width="13.88671875" style="10" customWidth="1"/>
    <col min="7355" max="7355" width="11.88671875" style="10" customWidth="1"/>
    <col min="7356" max="7358" width="9.6640625" style="10"/>
    <col min="7359" max="7359" width="15.44140625" style="10" customWidth="1"/>
    <col min="7360" max="7360" width="16.21875" style="10" customWidth="1"/>
    <col min="7361" max="7372" width="9.6640625" style="10"/>
    <col min="7373" max="7373" width="12" style="10" customWidth="1"/>
    <col min="7374" max="7374" width="12.77734375" style="10" customWidth="1"/>
    <col min="7375" max="7375" width="11.109375" style="10" customWidth="1"/>
    <col min="7376" max="7376" width="12" style="10" customWidth="1"/>
    <col min="7377" max="7377" width="9.6640625" style="10"/>
    <col min="7378" max="7378" width="15.33203125" style="10" customWidth="1"/>
    <col min="7379" max="7379" width="15.21875" style="10" customWidth="1"/>
    <col min="7380" max="7380" width="21.44140625" style="10" customWidth="1"/>
    <col min="7381" max="7396" width="9.6640625" style="10"/>
    <col min="7397" max="7398" width="13.44140625" style="10" customWidth="1"/>
    <col min="7399" max="7399" width="9.6640625" style="10"/>
    <col min="7400" max="7400" width="13.88671875" style="10" customWidth="1"/>
    <col min="7401" max="7401" width="10.6640625" style="10" customWidth="1"/>
    <col min="7402" max="7402" width="17.33203125" style="10" customWidth="1"/>
    <col min="7403" max="7404" width="12.6640625" style="10" customWidth="1"/>
    <col min="7405" max="7405" width="11.21875" style="10" customWidth="1"/>
    <col min="7406" max="7406" width="18.33203125" style="10" customWidth="1"/>
    <col min="7407" max="7407" width="12.88671875" style="10" customWidth="1"/>
    <col min="7408" max="7409" width="13.21875" style="10" customWidth="1"/>
    <col min="7410" max="7410" width="10.88671875" style="10" customWidth="1"/>
    <col min="7411" max="7411" width="11.109375" style="10" customWidth="1"/>
    <col min="7412" max="7412" width="15.21875" style="10" customWidth="1"/>
    <col min="7413" max="7413" width="9.6640625" style="10"/>
    <col min="7414" max="7414" width="11" style="10" customWidth="1"/>
    <col min="7415" max="7415" width="10.77734375" style="10" customWidth="1"/>
    <col min="7416" max="7416" width="11.44140625" style="10" customWidth="1"/>
    <col min="7417" max="7417" width="4" style="10" customWidth="1"/>
    <col min="7418" max="7608" width="9.6640625" style="10"/>
    <col min="7609" max="7609" width="6.44140625" style="10" customWidth="1"/>
    <col min="7610" max="7610" width="13.88671875" style="10" customWidth="1"/>
    <col min="7611" max="7611" width="11.88671875" style="10" customWidth="1"/>
    <col min="7612" max="7614" width="9.6640625" style="10"/>
    <col min="7615" max="7615" width="15.44140625" style="10" customWidth="1"/>
    <col min="7616" max="7616" width="16.21875" style="10" customWidth="1"/>
    <col min="7617" max="7628" width="9.6640625" style="10"/>
    <col min="7629" max="7629" width="12" style="10" customWidth="1"/>
    <col min="7630" max="7630" width="12.77734375" style="10" customWidth="1"/>
    <col min="7631" max="7631" width="11.109375" style="10" customWidth="1"/>
    <col min="7632" max="7632" width="12" style="10" customWidth="1"/>
    <col min="7633" max="7633" width="9.6640625" style="10"/>
    <col min="7634" max="7634" width="15.33203125" style="10" customWidth="1"/>
    <col min="7635" max="7635" width="15.21875" style="10" customWidth="1"/>
    <col min="7636" max="7636" width="21.44140625" style="10" customWidth="1"/>
    <col min="7637" max="7652" width="9.6640625" style="10"/>
    <col min="7653" max="7654" width="13.44140625" style="10" customWidth="1"/>
    <col min="7655" max="7655" width="9.6640625" style="10"/>
    <col min="7656" max="7656" width="13.88671875" style="10" customWidth="1"/>
    <col min="7657" max="7657" width="10.6640625" style="10" customWidth="1"/>
    <col min="7658" max="7658" width="17.33203125" style="10" customWidth="1"/>
    <col min="7659" max="7660" width="12.6640625" style="10" customWidth="1"/>
    <col min="7661" max="7661" width="11.21875" style="10" customWidth="1"/>
    <col min="7662" max="7662" width="18.33203125" style="10" customWidth="1"/>
    <col min="7663" max="7663" width="12.88671875" style="10" customWidth="1"/>
    <col min="7664" max="7665" width="13.21875" style="10" customWidth="1"/>
    <col min="7666" max="7666" width="10.88671875" style="10" customWidth="1"/>
    <col min="7667" max="7667" width="11.109375" style="10" customWidth="1"/>
    <col min="7668" max="7668" width="15.21875" style="10" customWidth="1"/>
    <col min="7669" max="7669" width="9.6640625" style="10"/>
    <col min="7670" max="7670" width="11" style="10" customWidth="1"/>
    <col min="7671" max="7671" width="10.77734375" style="10" customWidth="1"/>
    <col min="7672" max="7672" width="11.44140625" style="10" customWidth="1"/>
    <col min="7673" max="7673" width="4" style="10" customWidth="1"/>
    <col min="7674" max="7864" width="9.6640625" style="10"/>
    <col min="7865" max="7865" width="6.44140625" style="10" customWidth="1"/>
    <col min="7866" max="7866" width="13.88671875" style="10" customWidth="1"/>
    <col min="7867" max="7867" width="11.88671875" style="10" customWidth="1"/>
    <col min="7868" max="7870" width="9.6640625" style="10"/>
    <col min="7871" max="7871" width="15.44140625" style="10" customWidth="1"/>
    <col min="7872" max="7872" width="16.21875" style="10" customWidth="1"/>
    <col min="7873" max="7884" width="9.6640625" style="10"/>
    <col min="7885" max="7885" width="12" style="10" customWidth="1"/>
    <col min="7886" max="7886" width="12.77734375" style="10" customWidth="1"/>
    <col min="7887" max="7887" width="11.109375" style="10" customWidth="1"/>
    <col min="7888" max="7888" width="12" style="10" customWidth="1"/>
    <col min="7889" max="7889" width="9.6640625" style="10"/>
    <col min="7890" max="7890" width="15.33203125" style="10" customWidth="1"/>
    <col min="7891" max="7891" width="15.21875" style="10" customWidth="1"/>
    <col min="7892" max="7892" width="21.44140625" style="10" customWidth="1"/>
    <col min="7893" max="7908" width="9.6640625" style="10"/>
    <col min="7909" max="7910" width="13.44140625" style="10" customWidth="1"/>
    <col min="7911" max="7911" width="9.6640625" style="10"/>
    <col min="7912" max="7912" width="13.88671875" style="10" customWidth="1"/>
    <col min="7913" max="7913" width="10.6640625" style="10" customWidth="1"/>
    <col min="7914" max="7914" width="17.33203125" style="10" customWidth="1"/>
    <col min="7915" max="7916" width="12.6640625" style="10" customWidth="1"/>
    <col min="7917" max="7917" width="11.21875" style="10" customWidth="1"/>
    <col min="7918" max="7918" width="18.33203125" style="10" customWidth="1"/>
    <col min="7919" max="7919" width="12.88671875" style="10" customWidth="1"/>
    <col min="7920" max="7921" width="13.21875" style="10" customWidth="1"/>
    <col min="7922" max="7922" width="10.88671875" style="10" customWidth="1"/>
    <col min="7923" max="7923" width="11.109375" style="10" customWidth="1"/>
    <col min="7924" max="7924" width="15.21875" style="10" customWidth="1"/>
    <col min="7925" max="7925" width="9.6640625" style="10"/>
    <col min="7926" max="7926" width="11" style="10" customWidth="1"/>
    <col min="7927" max="7927" width="10.77734375" style="10" customWidth="1"/>
    <col min="7928" max="7928" width="11.44140625" style="10" customWidth="1"/>
    <col min="7929" max="7929" width="4" style="10" customWidth="1"/>
    <col min="7930" max="8120" width="9.6640625" style="10"/>
    <col min="8121" max="8121" width="6.44140625" style="10" customWidth="1"/>
    <col min="8122" max="8122" width="13.88671875" style="10" customWidth="1"/>
    <col min="8123" max="8123" width="11.88671875" style="10" customWidth="1"/>
    <col min="8124" max="8126" width="9.6640625" style="10"/>
    <col min="8127" max="8127" width="15.44140625" style="10" customWidth="1"/>
    <col min="8128" max="8128" width="16.21875" style="10" customWidth="1"/>
    <col min="8129" max="8140" width="9.6640625" style="10"/>
    <col min="8141" max="8141" width="12" style="10" customWidth="1"/>
    <col min="8142" max="8142" width="12.77734375" style="10" customWidth="1"/>
    <col min="8143" max="8143" width="11.109375" style="10" customWidth="1"/>
    <col min="8144" max="8144" width="12" style="10" customWidth="1"/>
    <col min="8145" max="8145" width="9.6640625" style="10"/>
    <col min="8146" max="8146" width="15.33203125" style="10" customWidth="1"/>
    <col min="8147" max="8147" width="15.21875" style="10" customWidth="1"/>
    <col min="8148" max="8148" width="21.44140625" style="10" customWidth="1"/>
    <col min="8149" max="8164" width="9.6640625" style="10"/>
    <col min="8165" max="8166" width="13.44140625" style="10" customWidth="1"/>
    <col min="8167" max="8167" width="9.6640625" style="10"/>
    <col min="8168" max="8168" width="13.88671875" style="10" customWidth="1"/>
    <col min="8169" max="8169" width="10.6640625" style="10" customWidth="1"/>
    <col min="8170" max="8170" width="17.33203125" style="10" customWidth="1"/>
    <col min="8171" max="8172" width="12.6640625" style="10" customWidth="1"/>
    <col min="8173" max="8173" width="11.21875" style="10" customWidth="1"/>
    <col min="8174" max="8174" width="18.33203125" style="10" customWidth="1"/>
    <col min="8175" max="8175" width="12.88671875" style="10" customWidth="1"/>
    <col min="8176" max="8177" width="13.21875" style="10" customWidth="1"/>
    <col min="8178" max="8178" width="10.88671875" style="10" customWidth="1"/>
    <col min="8179" max="8179" width="11.109375" style="10" customWidth="1"/>
    <col min="8180" max="8180" width="15.21875" style="10" customWidth="1"/>
    <col min="8181" max="8181" width="9.6640625" style="10"/>
    <col min="8182" max="8182" width="11" style="10" customWidth="1"/>
    <col min="8183" max="8183" width="10.77734375" style="10" customWidth="1"/>
    <col min="8184" max="8184" width="11.44140625" style="10" customWidth="1"/>
    <col min="8185" max="8185" width="4" style="10" customWidth="1"/>
    <col min="8186" max="8376" width="9.6640625" style="10"/>
    <col min="8377" max="8377" width="6.44140625" style="10" customWidth="1"/>
    <col min="8378" max="8378" width="13.88671875" style="10" customWidth="1"/>
    <col min="8379" max="8379" width="11.88671875" style="10" customWidth="1"/>
    <col min="8380" max="8382" width="9.6640625" style="10"/>
    <col min="8383" max="8383" width="15.44140625" style="10" customWidth="1"/>
    <col min="8384" max="8384" width="16.21875" style="10" customWidth="1"/>
    <col min="8385" max="8396" width="9.6640625" style="10"/>
    <col min="8397" max="8397" width="12" style="10" customWidth="1"/>
    <col min="8398" max="8398" width="12.77734375" style="10" customWidth="1"/>
    <col min="8399" max="8399" width="11.109375" style="10" customWidth="1"/>
    <col min="8400" max="8400" width="12" style="10" customWidth="1"/>
    <col min="8401" max="8401" width="9.6640625" style="10"/>
    <col min="8402" max="8402" width="15.33203125" style="10" customWidth="1"/>
    <col min="8403" max="8403" width="15.21875" style="10" customWidth="1"/>
    <col min="8404" max="8404" width="21.44140625" style="10" customWidth="1"/>
    <col min="8405" max="8420" width="9.6640625" style="10"/>
    <col min="8421" max="8422" width="13.44140625" style="10" customWidth="1"/>
    <col min="8423" max="8423" width="9.6640625" style="10"/>
    <col min="8424" max="8424" width="13.88671875" style="10" customWidth="1"/>
    <col min="8425" max="8425" width="10.6640625" style="10" customWidth="1"/>
    <col min="8426" max="8426" width="17.33203125" style="10" customWidth="1"/>
    <col min="8427" max="8428" width="12.6640625" style="10" customWidth="1"/>
    <col min="8429" max="8429" width="11.21875" style="10" customWidth="1"/>
    <col min="8430" max="8430" width="18.33203125" style="10" customWidth="1"/>
    <col min="8431" max="8431" width="12.88671875" style="10" customWidth="1"/>
    <col min="8432" max="8433" width="13.21875" style="10" customWidth="1"/>
    <col min="8434" max="8434" width="10.88671875" style="10" customWidth="1"/>
    <col min="8435" max="8435" width="11.109375" style="10" customWidth="1"/>
    <col min="8436" max="8436" width="15.21875" style="10" customWidth="1"/>
    <col min="8437" max="8437" width="9.6640625" style="10"/>
    <col min="8438" max="8438" width="11" style="10" customWidth="1"/>
    <col min="8439" max="8439" width="10.77734375" style="10" customWidth="1"/>
    <col min="8440" max="8440" width="11.44140625" style="10" customWidth="1"/>
    <col min="8441" max="8441" width="4" style="10" customWidth="1"/>
    <col min="8442" max="8632" width="9.6640625" style="10"/>
    <col min="8633" max="8633" width="6.44140625" style="10" customWidth="1"/>
    <col min="8634" max="8634" width="13.88671875" style="10" customWidth="1"/>
    <col min="8635" max="8635" width="11.88671875" style="10" customWidth="1"/>
    <col min="8636" max="8638" width="9.6640625" style="10"/>
    <col min="8639" max="8639" width="15.44140625" style="10" customWidth="1"/>
    <col min="8640" max="8640" width="16.21875" style="10" customWidth="1"/>
    <col min="8641" max="8652" width="9.6640625" style="10"/>
    <col min="8653" max="8653" width="12" style="10" customWidth="1"/>
    <col min="8654" max="8654" width="12.77734375" style="10" customWidth="1"/>
    <col min="8655" max="8655" width="11.109375" style="10" customWidth="1"/>
    <col min="8656" max="8656" width="12" style="10" customWidth="1"/>
    <col min="8657" max="8657" width="9.6640625" style="10"/>
    <col min="8658" max="8658" width="15.33203125" style="10" customWidth="1"/>
    <col min="8659" max="8659" width="15.21875" style="10" customWidth="1"/>
    <col min="8660" max="8660" width="21.44140625" style="10" customWidth="1"/>
    <col min="8661" max="8676" width="9.6640625" style="10"/>
    <col min="8677" max="8678" width="13.44140625" style="10" customWidth="1"/>
    <col min="8679" max="8679" width="9.6640625" style="10"/>
    <col min="8680" max="8680" width="13.88671875" style="10" customWidth="1"/>
    <col min="8681" max="8681" width="10.6640625" style="10" customWidth="1"/>
    <col min="8682" max="8682" width="17.33203125" style="10" customWidth="1"/>
    <col min="8683" max="8684" width="12.6640625" style="10" customWidth="1"/>
    <col min="8685" max="8685" width="11.21875" style="10" customWidth="1"/>
    <col min="8686" max="8686" width="18.33203125" style="10" customWidth="1"/>
    <col min="8687" max="8687" width="12.88671875" style="10" customWidth="1"/>
    <col min="8688" max="8689" width="13.21875" style="10" customWidth="1"/>
    <col min="8690" max="8690" width="10.88671875" style="10" customWidth="1"/>
    <col min="8691" max="8691" width="11.109375" style="10" customWidth="1"/>
    <col min="8692" max="8692" width="15.21875" style="10" customWidth="1"/>
    <col min="8693" max="8693" width="9.6640625" style="10"/>
    <col min="8694" max="8694" width="11" style="10" customWidth="1"/>
    <col min="8695" max="8695" width="10.77734375" style="10" customWidth="1"/>
    <col min="8696" max="8696" width="11.44140625" style="10" customWidth="1"/>
    <col min="8697" max="8697" width="4" style="10" customWidth="1"/>
    <col min="8698" max="8888" width="9.6640625" style="10"/>
    <col min="8889" max="8889" width="6.44140625" style="10" customWidth="1"/>
    <col min="8890" max="8890" width="13.88671875" style="10" customWidth="1"/>
    <col min="8891" max="8891" width="11.88671875" style="10" customWidth="1"/>
    <col min="8892" max="8894" width="9.6640625" style="10"/>
    <col min="8895" max="8895" width="15.44140625" style="10" customWidth="1"/>
    <col min="8896" max="8896" width="16.21875" style="10" customWidth="1"/>
    <col min="8897" max="8908" width="9.6640625" style="10"/>
    <col min="8909" max="8909" width="12" style="10" customWidth="1"/>
    <col min="8910" max="8910" width="12.77734375" style="10" customWidth="1"/>
    <col min="8911" max="8911" width="11.109375" style="10" customWidth="1"/>
    <col min="8912" max="8912" width="12" style="10" customWidth="1"/>
    <col min="8913" max="8913" width="9.6640625" style="10"/>
    <col min="8914" max="8914" width="15.33203125" style="10" customWidth="1"/>
    <col min="8915" max="8915" width="15.21875" style="10" customWidth="1"/>
    <col min="8916" max="8916" width="21.44140625" style="10" customWidth="1"/>
    <col min="8917" max="8932" width="9.6640625" style="10"/>
    <col min="8933" max="8934" width="13.44140625" style="10" customWidth="1"/>
    <col min="8935" max="8935" width="9.6640625" style="10"/>
    <col min="8936" max="8936" width="13.88671875" style="10" customWidth="1"/>
    <col min="8937" max="8937" width="10.6640625" style="10" customWidth="1"/>
    <col min="8938" max="8938" width="17.33203125" style="10" customWidth="1"/>
    <col min="8939" max="8940" width="12.6640625" style="10" customWidth="1"/>
    <col min="8941" max="8941" width="11.21875" style="10" customWidth="1"/>
    <col min="8942" max="8942" width="18.33203125" style="10" customWidth="1"/>
    <col min="8943" max="8943" width="12.88671875" style="10" customWidth="1"/>
    <col min="8944" max="8945" width="13.21875" style="10" customWidth="1"/>
    <col min="8946" max="8946" width="10.88671875" style="10" customWidth="1"/>
    <col min="8947" max="8947" width="11.109375" style="10" customWidth="1"/>
    <col min="8948" max="8948" width="15.21875" style="10" customWidth="1"/>
    <col min="8949" max="8949" width="9.6640625" style="10"/>
    <col min="8950" max="8950" width="11" style="10" customWidth="1"/>
    <col min="8951" max="8951" width="10.77734375" style="10" customWidth="1"/>
    <col min="8952" max="8952" width="11.44140625" style="10" customWidth="1"/>
    <col min="8953" max="8953" width="4" style="10" customWidth="1"/>
    <col min="8954" max="9144" width="9.6640625" style="10"/>
    <col min="9145" max="9145" width="6.44140625" style="10" customWidth="1"/>
    <col min="9146" max="9146" width="13.88671875" style="10" customWidth="1"/>
    <col min="9147" max="9147" width="11.88671875" style="10" customWidth="1"/>
    <col min="9148" max="9150" width="9.6640625" style="10"/>
    <col min="9151" max="9151" width="15.44140625" style="10" customWidth="1"/>
    <col min="9152" max="9152" width="16.21875" style="10" customWidth="1"/>
    <col min="9153" max="9164" width="9.6640625" style="10"/>
    <col min="9165" max="9165" width="12" style="10" customWidth="1"/>
    <col min="9166" max="9166" width="12.77734375" style="10" customWidth="1"/>
    <col min="9167" max="9167" width="11.109375" style="10" customWidth="1"/>
    <col min="9168" max="9168" width="12" style="10" customWidth="1"/>
    <col min="9169" max="9169" width="9.6640625" style="10"/>
    <col min="9170" max="9170" width="15.33203125" style="10" customWidth="1"/>
    <col min="9171" max="9171" width="15.21875" style="10" customWidth="1"/>
    <col min="9172" max="9172" width="21.44140625" style="10" customWidth="1"/>
    <col min="9173" max="9188" width="9.6640625" style="10"/>
    <col min="9189" max="9190" width="13.44140625" style="10" customWidth="1"/>
    <col min="9191" max="9191" width="9.6640625" style="10"/>
    <col min="9192" max="9192" width="13.88671875" style="10" customWidth="1"/>
    <col min="9193" max="9193" width="10.6640625" style="10" customWidth="1"/>
    <col min="9194" max="9194" width="17.33203125" style="10" customWidth="1"/>
    <col min="9195" max="9196" width="12.6640625" style="10" customWidth="1"/>
    <col min="9197" max="9197" width="11.21875" style="10" customWidth="1"/>
    <col min="9198" max="9198" width="18.33203125" style="10" customWidth="1"/>
    <col min="9199" max="9199" width="12.88671875" style="10" customWidth="1"/>
    <col min="9200" max="9201" width="13.21875" style="10" customWidth="1"/>
    <col min="9202" max="9202" width="10.88671875" style="10" customWidth="1"/>
    <col min="9203" max="9203" width="11.109375" style="10" customWidth="1"/>
    <col min="9204" max="9204" width="15.21875" style="10" customWidth="1"/>
    <col min="9205" max="9205" width="9.6640625" style="10"/>
    <col min="9206" max="9206" width="11" style="10" customWidth="1"/>
    <col min="9207" max="9207" width="10.77734375" style="10" customWidth="1"/>
    <col min="9208" max="9208" width="11.44140625" style="10" customWidth="1"/>
    <col min="9209" max="9209" width="4" style="10" customWidth="1"/>
    <col min="9210" max="9400" width="9.6640625" style="10"/>
    <col min="9401" max="9401" width="6.44140625" style="10" customWidth="1"/>
    <col min="9402" max="9402" width="13.88671875" style="10" customWidth="1"/>
    <col min="9403" max="9403" width="11.88671875" style="10" customWidth="1"/>
    <col min="9404" max="9406" width="9.6640625" style="10"/>
    <col min="9407" max="9407" width="15.44140625" style="10" customWidth="1"/>
    <col min="9408" max="9408" width="16.21875" style="10" customWidth="1"/>
    <col min="9409" max="9420" width="9.6640625" style="10"/>
    <col min="9421" max="9421" width="12" style="10" customWidth="1"/>
    <col min="9422" max="9422" width="12.77734375" style="10" customWidth="1"/>
    <col min="9423" max="9423" width="11.109375" style="10" customWidth="1"/>
    <col min="9424" max="9424" width="12" style="10" customWidth="1"/>
    <col min="9425" max="9425" width="9.6640625" style="10"/>
    <col min="9426" max="9426" width="15.33203125" style="10" customWidth="1"/>
    <col min="9427" max="9427" width="15.21875" style="10" customWidth="1"/>
    <col min="9428" max="9428" width="21.44140625" style="10" customWidth="1"/>
    <col min="9429" max="9444" width="9.6640625" style="10"/>
    <col min="9445" max="9446" width="13.44140625" style="10" customWidth="1"/>
    <col min="9447" max="9447" width="9.6640625" style="10"/>
    <col min="9448" max="9448" width="13.88671875" style="10" customWidth="1"/>
    <col min="9449" max="9449" width="10.6640625" style="10" customWidth="1"/>
    <col min="9450" max="9450" width="17.33203125" style="10" customWidth="1"/>
    <col min="9451" max="9452" width="12.6640625" style="10" customWidth="1"/>
    <col min="9453" max="9453" width="11.21875" style="10" customWidth="1"/>
    <col min="9454" max="9454" width="18.33203125" style="10" customWidth="1"/>
    <col min="9455" max="9455" width="12.88671875" style="10" customWidth="1"/>
    <col min="9456" max="9457" width="13.21875" style="10" customWidth="1"/>
    <col min="9458" max="9458" width="10.88671875" style="10" customWidth="1"/>
    <col min="9459" max="9459" width="11.109375" style="10" customWidth="1"/>
    <col min="9460" max="9460" width="15.21875" style="10" customWidth="1"/>
    <col min="9461" max="9461" width="9.6640625" style="10"/>
    <col min="9462" max="9462" width="11" style="10" customWidth="1"/>
    <col min="9463" max="9463" width="10.77734375" style="10" customWidth="1"/>
    <col min="9464" max="9464" width="11.44140625" style="10" customWidth="1"/>
    <col min="9465" max="9465" width="4" style="10" customWidth="1"/>
    <col min="9466" max="9656" width="9.6640625" style="10"/>
    <col min="9657" max="9657" width="6.44140625" style="10" customWidth="1"/>
    <col min="9658" max="9658" width="13.88671875" style="10" customWidth="1"/>
    <col min="9659" max="9659" width="11.88671875" style="10" customWidth="1"/>
    <col min="9660" max="9662" width="9.6640625" style="10"/>
    <col min="9663" max="9663" width="15.44140625" style="10" customWidth="1"/>
    <col min="9664" max="9664" width="16.21875" style="10" customWidth="1"/>
    <col min="9665" max="9676" width="9.6640625" style="10"/>
    <col min="9677" max="9677" width="12" style="10" customWidth="1"/>
    <col min="9678" max="9678" width="12.77734375" style="10" customWidth="1"/>
    <col min="9679" max="9679" width="11.109375" style="10" customWidth="1"/>
    <col min="9680" max="9680" width="12" style="10" customWidth="1"/>
    <col min="9681" max="9681" width="9.6640625" style="10"/>
    <col min="9682" max="9682" width="15.33203125" style="10" customWidth="1"/>
    <col min="9683" max="9683" width="15.21875" style="10" customWidth="1"/>
    <col min="9684" max="9684" width="21.44140625" style="10" customWidth="1"/>
    <col min="9685" max="9700" width="9.6640625" style="10"/>
    <col min="9701" max="9702" width="13.44140625" style="10" customWidth="1"/>
    <col min="9703" max="9703" width="9.6640625" style="10"/>
    <col min="9704" max="9704" width="13.88671875" style="10" customWidth="1"/>
    <col min="9705" max="9705" width="10.6640625" style="10" customWidth="1"/>
    <col min="9706" max="9706" width="17.33203125" style="10" customWidth="1"/>
    <col min="9707" max="9708" width="12.6640625" style="10" customWidth="1"/>
    <col min="9709" max="9709" width="11.21875" style="10" customWidth="1"/>
    <col min="9710" max="9710" width="18.33203125" style="10" customWidth="1"/>
    <col min="9711" max="9711" width="12.88671875" style="10" customWidth="1"/>
    <col min="9712" max="9713" width="13.21875" style="10" customWidth="1"/>
    <col min="9714" max="9714" width="10.88671875" style="10" customWidth="1"/>
    <col min="9715" max="9715" width="11.109375" style="10" customWidth="1"/>
    <col min="9716" max="9716" width="15.21875" style="10" customWidth="1"/>
    <col min="9717" max="9717" width="9.6640625" style="10"/>
    <col min="9718" max="9718" width="11" style="10" customWidth="1"/>
    <col min="9719" max="9719" width="10.77734375" style="10" customWidth="1"/>
    <col min="9720" max="9720" width="11.44140625" style="10" customWidth="1"/>
    <col min="9721" max="9721" width="4" style="10" customWidth="1"/>
    <col min="9722" max="9912" width="9.6640625" style="10"/>
    <col min="9913" max="9913" width="6.44140625" style="10" customWidth="1"/>
    <col min="9914" max="9914" width="13.88671875" style="10" customWidth="1"/>
    <col min="9915" max="9915" width="11.88671875" style="10" customWidth="1"/>
    <col min="9916" max="9918" width="9.6640625" style="10"/>
    <col min="9919" max="9919" width="15.44140625" style="10" customWidth="1"/>
    <col min="9920" max="9920" width="16.21875" style="10" customWidth="1"/>
    <col min="9921" max="9932" width="9.6640625" style="10"/>
    <col min="9933" max="9933" width="12" style="10" customWidth="1"/>
    <col min="9934" max="9934" width="12.77734375" style="10" customWidth="1"/>
    <col min="9935" max="9935" width="11.109375" style="10" customWidth="1"/>
    <col min="9936" max="9936" width="12" style="10" customWidth="1"/>
    <col min="9937" max="9937" width="9.6640625" style="10"/>
    <col min="9938" max="9938" width="15.33203125" style="10" customWidth="1"/>
    <col min="9939" max="9939" width="15.21875" style="10" customWidth="1"/>
    <col min="9940" max="9940" width="21.44140625" style="10" customWidth="1"/>
    <col min="9941" max="9956" width="9.6640625" style="10"/>
    <col min="9957" max="9958" width="13.44140625" style="10" customWidth="1"/>
    <col min="9959" max="9959" width="9.6640625" style="10"/>
    <col min="9960" max="9960" width="13.88671875" style="10" customWidth="1"/>
    <col min="9961" max="9961" width="10.6640625" style="10" customWidth="1"/>
    <col min="9962" max="9962" width="17.33203125" style="10" customWidth="1"/>
    <col min="9963" max="9964" width="12.6640625" style="10" customWidth="1"/>
    <col min="9965" max="9965" width="11.21875" style="10" customWidth="1"/>
    <col min="9966" max="9966" width="18.33203125" style="10" customWidth="1"/>
    <col min="9967" max="9967" width="12.88671875" style="10" customWidth="1"/>
    <col min="9968" max="9969" width="13.21875" style="10" customWidth="1"/>
    <col min="9970" max="9970" width="10.88671875" style="10" customWidth="1"/>
    <col min="9971" max="9971" width="11.109375" style="10" customWidth="1"/>
    <col min="9972" max="9972" width="15.21875" style="10" customWidth="1"/>
    <col min="9973" max="9973" width="9.6640625" style="10"/>
    <col min="9974" max="9974" width="11" style="10" customWidth="1"/>
    <col min="9975" max="9975" width="10.77734375" style="10" customWidth="1"/>
    <col min="9976" max="9976" width="11.44140625" style="10" customWidth="1"/>
    <col min="9977" max="9977" width="4" style="10" customWidth="1"/>
    <col min="9978" max="10168" width="9.6640625" style="10"/>
    <col min="10169" max="10169" width="6.44140625" style="10" customWidth="1"/>
    <col min="10170" max="10170" width="13.88671875" style="10" customWidth="1"/>
    <col min="10171" max="10171" width="11.88671875" style="10" customWidth="1"/>
    <col min="10172" max="10174" width="9.6640625" style="10"/>
    <col min="10175" max="10175" width="15.44140625" style="10" customWidth="1"/>
    <col min="10176" max="10176" width="16.21875" style="10" customWidth="1"/>
    <col min="10177" max="10188" width="9.6640625" style="10"/>
    <col min="10189" max="10189" width="12" style="10" customWidth="1"/>
    <col min="10190" max="10190" width="12.77734375" style="10" customWidth="1"/>
    <col min="10191" max="10191" width="11.109375" style="10" customWidth="1"/>
    <col min="10192" max="10192" width="12" style="10" customWidth="1"/>
    <col min="10193" max="10193" width="9.6640625" style="10"/>
    <col min="10194" max="10194" width="15.33203125" style="10" customWidth="1"/>
    <col min="10195" max="10195" width="15.21875" style="10" customWidth="1"/>
    <col min="10196" max="10196" width="21.44140625" style="10" customWidth="1"/>
    <col min="10197" max="10212" width="9.6640625" style="10"/>
    <col min="10213" max="10214" width="13.44140625" style="10" customWidth="1"/>
    <col min="10215" max="10215" width="9.6640625" style="10"/>
    <col min="10216" max="10216" width="13.88671875" style="10" customWidth="1"/>
    <col min="10217" max="10217" width="10.6640625" style="10" customWidth="1"/>
    <col min="10218" max="10218" width="17.33203125" style="10" customWidth="1"/>
    <col min="10219" max="10220" width="12.6640625" style="10" customWidth="1"/>
    <col min="10221" max="10221" width="11.21875" style="10" customWidth="1"/>
    <col min="10222" max="10222" width="18.33203125" style="10" customWidth="1"/>
    <col min="10223" max="10223" width="12.88671875" style="10" customWidth="1"/>
    <col min="10224" max="10225" width="13.21875" style="10" customWidth="1"/>
    <col min="10226" max="10226" width="10.88671875" style="10" customWidth="1"/>
    <col min="10227" max="10227" width="11.109375" style="10" customWidth="1"/>
    <col min="10228" max="10228" width="15.21875" style="10" customWidth="1"/>
    <col min="10229" max="10229" width="9.6640625" style="10"/>
    <col min="10230" max="10230" width="11" style="10" customWidth="1"/>
    <col min="10231" max="10231" width="10.77734375" style="10" customWidth="1"/>
    <col min="10232" max="10232" width="11.44140625" style="10" customWidth="1"/>
    <col min="10233" max="10233" width="4" style="10" customWidth="1"/>
    <col min="10234" max="10424" width="9.6640625" style="10"/>
    <col min="10425" max="10425" width="6.44140625" style="10" customWidth="1"/>
    <col min="10426" max="10426" width="13.88671875" style="10" customWidth="1"/>
    <col min="10427" max="10427" width="11.88671875" style="10" customWidth="1"/>
    <col min="10428" max="10430" width="9.6640625" style="10"/>
    <col min="10431" max="10431" width="15.44140625" style="10" customWidth="1"/>
    <col min="10432" max="10432" width="16.21875" style="10" customWidth="1"/>
    <col min="10433" max="10444" width="9.6640625" style="10"/>
    <col min="10445" max="10445" width="12" style="10" customWidth="1"/>
    <col min="10446" max="10446" width="12.77734375" style="10" customWidth="1"/>
    <col min="10447" max="10447" width="11.109375" style="10" customWidth="1"/>
    <col min="10448" max="10448" width="12" style="10" customWidth="1"/>
    <col min="10449" max="10449" width="9.6640625" style="10"/>
    <col min="10450" max="10450" width="15.33203125" style="10" customWidth="1"/>
    <col min="10451" max="10451" width="15.21875" style="10" customWidth="1"/>
    <col min="10452" max="10452" width="21.44140625" style="10" customWidth="1"/>
    <col min="10453" max="10468" width="9.6640625" style="10"/>
    <col min="10469" max="10470" width="13.44140625" style="10" customWidth="1"/>
    <col min="10471" max="10471" width="9.6640625" style="10"/>
    <col min="10472" max="10472" width="13.88671875" style="10" customWidth="1"/>
    <col min="10473" max="10473" width="10.6640625" style="10" customWidth="1"/>
    <col min="10474" max="10474" width="17.33203125" style="10" customWidth="1"/>
    <col min="10475" max="10476" width="12.6640625" style="10" customWidth="1"/>
    <col min="10477" max="10477" width="11.21875" style="10" customWidth="1"/>
    <col min="10478" max="10478" width="18.33203125" style="10" customWidth="1"/>
    <col min="10479" max="10479" width="12.88671875" style="10" customWidth="1"/>
    <col min="10480" max="10481" width="13.21875" style="10" customWidth="1"/>
    <col min="10482" max="10482" width="10.88671875" style="10" customWidth="1"/>
    <col min="10483" max="10483" width="11.109375" style="10" customWidth="1"/>
    <col min="10484" max="10484" width="15.21875" style="10" customWidth="1"/>
    <col min="10485" max="10485" width="9.6640625" style="10"/>
    <col min="10486" max="10486" width="11" style="10" customWidth="1"/>
    <col min="10487" max="10487" width="10.77734375" style="10" customWidth="1"/>
    <col min="10488" max="10488" width="11.44140625" style="10" customWidth="1"/>
    <col min="10489" max="10489" width="4" style="10" customWidth="1"/>
    <col min="10490" max="10680" width="9.6640625" style="10"/>
    <col min="10681" max="10681" width="6.44140625" style="10" customWidth="1"/>
    <col min="10682" max="10682" width="13.88671875" style="10" customWidth="1"/>
    <col min="10683" max="10683" width="11.88671875" style="10" customWidth="1"/>
    <col min="10684" max="10686" width="9.6640625" style="10"/>
    <col min="10687" max="10687" width="15.44140625" style="10" customWidth="1"/>
    <col min="10688" max="10688" width="16.21875" style="10" customWidth="1"/>
    <col min="10689" max="10700" width="9.6640625" style="10"/>
    <col min="10701" max="10701" width="12" style="10" customWidth="1"/>
    <col min="10702" max="10702" width="12.77734375" style="10" customWidth="1"/>
    <col min="10703" max="10703" width="11.109375" style="10" customWidth="1"/>
    <col min="10704" max="10704" width="12" style="10" customWidth="1"/>
    <col min="10705" max="10705" width="9.6640625" style="10"/>
    <col min="10706" max="10706" width="15.33203125" style="10" customWidth="1"/>
    <col min="10707" max="10707" width="15.21875" style="10" customWidth="1"/>
    <col min="10708" max="10708" width="21.44140625" style="10" customWidth="1"/>
    <col min="10709" max="10724" width="9.6640625" style="10"/>
    <col min="10725" max="10726" width="13.44140625" style="10" customWidth="1"/>
    <col min="10727" max="10727" width="9.6640625" style="10"/>
    <col min="10728" max="10728" width="13.88671875" style="10" customWidth="1"/>
    <col min="10729" max="10729" width="10.6640625" style="10" customWidth="1"/>
    <col min="10730" max="10730" width="17.33203125" style="10" customWidth="1"/>
    <col min="10731" max="10732" width="12.6640625" style="10" customWidth="1"/>
    <col min="10733" max="10733" width="11.21875" style="10" customWidth="1"/>
    <col min="10734" max="10734" width="18.33203125" style="10" customWidth="1"/>
    <col min="10735" max="10735" width="12.88671875" style="10" customWidth="1"/>
    <col min="10736" max="10737" width="13.21875" style="10" customWidth="1"/>
    <col min="10738" max="10738" width="10.88671875" style="10" customWidth="1"/>
    <col min="10739" max="10739" width="11.109375" style="10" customWidth="1"/>
    <col min="10740" max="10740" width="15.21875" style="10" customWidth="1"/>
    <col min="10741" max="10741" width="9.6640625" style="10"/>
    <col min="10742" max="10742" width="11" style="10" customWidth="1"/>
    <col min="10743" max="10743" width="10.77734375" style="10" customWidth="1"/>
    <col min="10744" max="10744" width="11.44140625" style="10" customWidth="1"/>
    <col min="10745" max="10745" width="4" style="10" customWidth="1"/>
    <col min="10746" max="10936" width="9.6640625" style="10"/>
    <col min="10937" max="10937" width="6.44140625" style="10" customWidth="1"/>
    <col min="10938" max="10938" width="13.88671875" style="10" customWidth="1"/>
    <col min="10939" max="10939" width="11.88671875" style="10" customWidth="1"/>
    <col min="10940" max="10942" width="9.6640625" style="10"/>
    <col min="10943" max="10943" width="15.44140625" style="10" customWidth="1"/>
    <col min="10944" max="10944" width="16.21875" style="10" customWidth="1"/>
    <col min="10945" max="10956" width="9.6640625" style="10"/>
    <col min="10957" max="10957" width="12" style="10" customWidth="1"/>
    <col min="10958" max="10958" width="12.77734375" style="10" customWidth="1"/>
    <col min="10959" max="10959" width="11.109375" style="10" customWidth="1"/>
    <col min="10960" max="10960" width="12" style="10" customWidth="1"/>
    <col min="10961" max="10961" width="9.6640625" style="10"/>
    <col min="10962" max="10962" width="15.33203125" style="10" customWidth="1"/>
    <col min="10963" max="10963" width="15.21875" style="10" customWidth="1"/>
    <col min="10964" max="10964" width="21.44140625" style="10" customWidth="1"/>
    <col min="10965" max="10980" width="9.6640625" style="10"/>
    <col min="10981" max="10982" width="13.44140625" style="10" customWidth="1"/>
    <col min="10983" max="10983" width="9.6640625" style="10"/>
    <col min="10984" max="10984" width="13.88671875" style="10" customWidth="1"/>
    <col min="10985" max="10985" width="10.6640625" style="10" customWidth="1"/>
    <col min="10986" max="10986" width="17.33203125" style="10" customWidth="1"/>
    <col min="10987" max="10988" width="12.6640625" style="10" customWidth="1"/>
    <col min="10989" max="10989" width="11.21875" style="10" customWidth="1"/>
    <col min="10990" max="10990" width="18.33203125" style="10" customWidth="1"/>
    <col min="10991" max="10991" width="12.88671875" style="10" customWidth="1"/>
    <col min="10992" max="10993" width="13.21875" style="10" customWidth="1"/>
    <col min="10994" max="10994" width="10.88671875" style="10" customWidth="1"/>
    <col min="10995" max="10995" width="11.109375" style="10" customWidth="1"/>
    <col min="10996" max="10996" width="15.21875" style="10" customWidth="1"/>
    <col min="10997" max="10997" width="9.6640625" style="10"/>
    <col min="10998" max="10998" width="11" style="10" customWidth="1"/>
    <col min="10999" max="10999" width="10.77734375" style="10" customWidth="1"/>
    <col min="11000" max="11000" width="11.44140625" style="10" customWidth="1"/>
    <col min="11001" max="11001" width="4" style="10" customWidth="1"/>
    <col min="11002" max="11192" width="9.6640625" style="10"/>
    <col min="11193" max="11193" width="6.44140625" style="10" customWidth="1"/>
    <col min="11194" max="11194" width="13.88671875" style="10" customWidth="1"/>
    <col min="11195" max="11195" width="11.88671875" style="10" customWidth="1"/>
    <col min="11196" max="11198" width="9.6640625" style="10"/>
    <col min="11199" max="11199" width="15.44140625" style="10" customWidth="1"/>
    <col min="11200" max="11200" width="16.21875" style="10" customWidth="1"/>
    <col min="11201" max="11212" width="9.6640625" style="10"/>
    <col min="11213" max="11213" width="12" style="10" customWidth="1"/>
    <col min="11214" max="11214" width="12.77734375" style="10" customWidth="1"/>
    <col min="11215" max="11215" width="11.109375" style="10" customWidth="1"/>
    <col min="11216" max="11216" width="12" style="10" customWidth="1"/>
    <col min="11217" max="11217" width="9.6640625" style="10"/>
    <col min="11218" max="11218" width="15.33203125" style="10" customWidth="1"/>
    <col min="11219" max="11219" width="15.21875" style="10" customWidth="1"/>
    <col min="11220" max="11220" width="21.44140625" style="10" customWidth="1"/>
    <col min="11221" max="11236" width="9.6640625" style="10"/>
    <col min="11237" max="11238" width="13.44140625" style="10" customWidth="1"/>
    <col min="11239" max="11239" width="9.6640625" style="10"/>
    <col min="11240" max="11240" width="13.88671875" style="10" customWidth="1"/>
    <col min="11241" max="11241" width="10.6640625" style="10" customWidth="1"/>
    <col min="11242" max="11242" width="17.33203125" style="10" customWidth="1"/>
    <col min="11243" max="11244" width="12.6640625" style="10" customWidth="1"/>
    <col min="11245" max="11245" width="11.21875" style="10" customWidth="1"/>
    <col min="11246" max="11246" width="18.33203125" style="10" customWidth="1"/>
    <col min="11247" max="11247" width="12.88671875" style="10" customWidth="1"/>
    <col min="11248" max="11249" width="13.21875" style="10" customWidth="1"/>
    <col min="11250" max="11250" width="10.88671875" style="10" customWidth="1"/>
    <col min="11251" max="11251" width="11.109375" style="10" customWidth="1"/>
    <col min="11252" max="11252" width="15.21875" style="10" customWidth="1"/>
    <col min="11253" max="11253" width="9.6640625" style="10"/>
    <col min="11254" max="11254" width="11" style="10" customWidth="1"/>
    <col min="11255" max="11255" width="10.77734375" style="10" customWidth="1"/>
    <col min="11256" max="11256" width="11.44140625" style="10" customWidth="1"/>
    <col min="11257" max="11257" width="4" style="10" customWidth="1"/>
    <col min="11258" max="11448" width="9.6640625" style="10"/>
    <col min="11449" max="11449" width="6.44140625" style="10" customWidth="1"/>
    <col min="11450" max="11450" width="13.88671875" style="10" customWidth="1"/>
    <col min="11451" max="11451" width="11.88671875" style="10" customWidth="1"/>
    <col min="11452" max="11454" width="9.6640625" style="10"/>
    <col min="11455" max="11455" width="15.44140625" style="10" customWidth="1"/>
    <col min="11456" max="11456" width="16.21875" style="10" customWidth="1"/>
    <col min="11457" max="11468" width="9.6640625" style="10"/>
    <col min="11469" max="11469" width="12" style="10" customWidth="1"/>
    <col min="11470" max="11470" width="12.77734375" style="10" customWidth="1"/>
    <col min="11471" max="11471" width="11.109375" style="10" customWidth="1"/>
    <col min="11472" max="11472" width="12" style="10" customWidth="1"/>
    <col min="11473" max="11473" width="9.6640625" style="10"/>
    <col min="11474" max="11474" width="15.33203125" style="10" customWidth="1"/>
    <col min="11475" max="11475" width="15.21875" style="10" customWidth="1"/>
    <col min="11476" max="11476" width="21.44140625" style="10" customWidth="1"/>
    <col min="11477" max="11492" width="9.6640625" style="10"/>
    <col min="11493" max="11494" width="13.44140625" style="10" customWidth="1"/>
    <col min="11495" max="11495" width="9.6640625" style="10"/>
    <col min="11496" max="11496" width="13.88671875" style="10" customWidth="1"/>
    <col min="11497" max="11497" width="10.6640625" style="10" customWidth="1"/>
    <col min="11498" max="11498" width="17.33203125" style="10" customWidth="1"/>
    <col min="11499" max="11500" width="12.6640625" style="10" customWidth="1"/>
    <col min="11501" max="11501" width="11.21875" style="10" customWidth="1"/>
    <col min="11502" max="11502" width="18.33203125" style="10" customWidth="1"/>
    <col min="11503" max="11503" width="12.88671875" style="10" customWidth="1"/>
    <col min="11504" max="11505" width="13.21875" style="10" customWidth="1"/>
    <col min="11506" max="11506" width="10.88671875" style="10" customWidth="1"/>
    <col min="11507" max="11507" width="11.109375" style="10" customWidth="1"/>
    <col min="11508" max="11508" width="15.21875" style="10" customWidth="1"/>
    <col min="11509" max="11509" width="9.6640625" style="10"/>
    <col min="11510" max="11510" width="11" style="10" customWidth="1"/>
    <col min="11511" max="11511" width="10.77734375" style="10" customWidth="1"/>
    <col min="11512" max="11512" width="11.44140625" style="10" customWidth="1"/>
    <col min="11513" max="11513" width="4" style="10" customWidth="1"/>
    <col min="11514" max="11704" width="9.6640625" style="10"/>
    <col min="11705" max="11705" width="6.44140625" style="10" customWidth="1"/>
    <col min="11706" max="11706" width="13.88671875" style="10" customWidth="1"/>
    <col min="11707" max="11707" width="11.88671875" style="10" customWidth="1"/>
    <col min="11708" max="11710" width="9.6640625" style="10"/>
    <col min="11711" max="11711" width="15.44140625" style="10" customWidth="1"/>
    <col min="11712" max="11712" width="16.21875" style="10" customWidth="1"/>
    <col min="11713" max="11724" width="9.6640625" style="10"/>
    <col min="11725" max="11725" width="12" style="10" customWidth="1"/>
    <col min="11726" max="11726" width="12.77734375" style="10" customWidth="1"/>
    <col min="11727" max="11727" width="11.109375" style="10" customWidth="1"/>
    <col min="11728" max="11728" width="12" style="10" customWidth="1"/>
    <col min="11729" max="11729" width="9.6640625" style="10"/>
    <col min="11730" max="11730" width="15.33203125" style="10" customWidth="1"/>
    <col min="11731" max="11731" width="15.21875" style="10" customWidth="1"/>
    <col min="11732" max="11732" width="21.44140625" style="10" customWidth="1"/>
    <col min="11733" max="11748" width="9.6640625" style="10"/>
    <col min="11749" max="11750" width="13.44140625" style="10" customWidth="1"/>
    <col min="11751" max="11751" width="9.6640625" style="10"/>
    <col min="11752" max="11752" width="13.88671875" style="10" customWidth="1"/>
    <col min="11753" max="11753" width="10.6640625" style="10" customWidth="1"/>
    <col min="11754" max="11754" width="17.33203125" style="10" customWidth="1"/>
    <col min="11755" max="11756" width="12.6640625" style="10" customWidth="1"/>
    <col min="11757" max="11757" width="11.21875" style="10" customWidth="1"/>
    <col min="11758" max="11758" width="18.33203125" style="10" customWidth="1"/>
    <col min="11759" max="11759" width="12.88671875" style="10" customWidth="1"/>
    <col min="11760" max="11761" width="13.21875" style="10" customWidth="1"/>
    <col min="11762" max="11762" width="10.88671875" style="10" customWidth="1"/>
    <col min="11763" max="11763" width="11.109375" style="10" customWidth="1"/>
    <col min="11764" max="11764" width="15.21875" style="10" customWidth="1"/>
    <col min="11765" max="11765" width="9.6640625" style="10"/>
    <col min="11766" max="11766" width="11" style="10" customWidth="1"/>
    <col min="11767" max="11767" width="10.77734375" style="10" customWidth="1"/>
    <col min="11768" max="11768" width="11.44140625" style="10" customWidth="1"/>
    <col min="11769" max="11769" width="4" style="10" customWidth="1"/>
    <col min="11770" max="11960" width="9.6640625" style="10"/>
    <col min="11961" max="11961" width="6.44140625" style="10" customWidth="1"/>
    <col min="11962" max="11962" width="13.88671875" style="10" customWidth="1"/>
    <col min="11963" max="11963" width="11.88671875" style="10" customWidth="1"/>
    <col min="11964" max="11966" width="9.6640625" style="10"/>
    <col min="11967" max="11967" width="15.44140625" style="10" customWidth="1"/>
    <col min="11968" max="11968" width="16.21875" style="10" customWidth="1"/>
    <col min="11969" max="11980" width="9.6640625" style="10"/>
    <col min="11981" max="11981" width="12" style="10" customWidth="1"/>
    <col min="11982" max="11982" width="12.77734375" style="10" customWidth="1"/>
    <col min="11983" max="11983" width="11.109375" style="10" customWidth="1"/>
    <col min="11984" max="11984" width="12" style="10" customWidth="1"/>
    <col min="11985" max="11985" width="9.6640625" style="10"/>
    <col min="11986" max="11986" width="15.33203125" style="10" customWidth="1"/>
    <col min="11987" max="11987" width="15.21875" style="10" customWidth="1"/>
    <col min="11988" max="11988" width="21.44140625" style="10" customWidth="1"/>
    <col min="11989" max="12004" width="9.6640625" style="10"/>
    <col min="12005" max="12006" width="13.44140625" style="10" customWidth="1"/>
    <col min="12007" max="12007" width="9.6640625" style="10"/>
    <col min="12008" max="12008" width="13.88671875" style="10" customWidth="1"/>
    <col min="12009" max="12009" width="10.6640625" style="10" customWidth="1"/>
    <col min="12010" max="12010" width="17.33203125" style="10" customWidth="1"/>
    <col min="12011" max="12012" width="12.6640625" style="10" customWidth="1"/>
    <col min="12013" max="12013" width="11.21875" style="10" customWidth="1"/>
    <col min="12014" max="12014" width="18.33203125" style="10" customWidth="1"/>
    <col min="12015" max="12015" width="12.88671875" style="10" customWidth="1"/>
    <col min="12016" max="12017" width="13.21875" style="10" customWidth="1"/>
    <col min="12018" max="12018" width="10.88671875" style="10" customWidth="1"/>
    <col min="12019" max="12019" width="11.109375" style="10" customWidth="1"/>
    <col min="12020" max="12020" width="15.21875" style="10" customWidth="1"/>
    <col min="12021" max="12021" width="9.6640625" style="10"/>
    <col min="12022" max="12022" width="11" style="10" customWidth="1"/>
    <col min="12023" max="12023" width="10.77734375" style="10" customWidth="1"/>
    <col min="12024" max="12024" width="11.44140625" style="10" customWidth="1"/>
    <col min="12025" max="12025" width="4" style="10" customWidth="1"/>
    <col min="12026" max="12216" width="9.6640625" style="10"/>
    <col min="12217" max="12217" width="6.44140625" style="10" customWidth="1"/>
    <col min="12218" max="12218" width="13.88671875" style="10" customWidth="1"/>
    <col min="12219" max="12219" width="11.88671875" style="10" customWidth="1"/>
    <col min="12220" max="12222" width="9.6640625" style="10"/>
    <col min="12223" max="12223" width="15.44140625" style="10" customWidth="1"/>
    <col min="12224" max="12224" width="16.21875" style="10" customWidth="1"/>
    <col min="12225" max="12236" width="9.6640625" style="10"/>
    <col min="12237" max="12237" width="12" style="10" customWidth="1"/>
    <col min="12238" max="12238" width="12.77734375" style="10" customWidth="1"/>
    <col min="12239" max="12239" width="11.109375" style="10" customWidth="1"/>
    <col min="12240" max="12240" width="12" style="10" customWidth="1"/>
    <col min="12241" max="12241" width="9.6640625" style="10"/>
    <col min="12242" max="12242" width="15.33203125" style="10" customWidth="1"/>
    <col min="12243" max="12243" width="15.21875" style="10" customWidth="1"/>
    <col min="12244" max="12244" width="21.44140625" style="10" customWidth="1"/>
    <col min="12245" max="12260" width="9.6640625" style="10"/>
    <col min="12261" max="12262" width="13.44140625" style="10" customWidth="1"/>
    <col min="12263" max="12263" width="9.6640625" style="10"/>
    <col min="12264" max="12264" width="13.88671875" style="10" customWidth="1"/>
    <col min="12265" max="12265" width="10.6640625" style="10" customWidth="1"/>
    <col min="12266" max="12266" width="17.33203125" style="10" customWidth="1"/>
    <col min="12267" max="12268" width="12.6640625" style="10" customWidth="1"/>
    <col min="12269" max="12269" width="11.21875" style="10" customWidth="1"/>
    <col min="12270" max="12270" width="18.33203125" style="10" customWidth="1"/>
    <col min="12271" max="12271" width="12.88671875" style="10" customWidth="1"/>
    <col min="12272" max="12273" width="13.21875" style="10" customWidth="1"/>
    <col min="12274" max="12274" width="10.88671875" style="10" customWidth="1"/>
    <col min="12275" max="12275" width="11.109375" style="10" customWidth="1"/>
    <col min="12276" max="12276" width="15.21875" style="10" customWidth="1"/>
    <col min="12277" max="12277" width="9.6640625" style="10"/>
    <col min="12278" max="12278" width="11" style="10" customWidth="1"/>
    <col min="12279" max="12279" width="10.77734375" style="10" customWidth="1"/>
    <col min="12280" max="12280" width="11.44140625" style="10" customWidth="1"/>
    <col min="12281" max="12281" width="4" style="10" customWidth="1"/>
    <col min="12282" max="12472" width="9.6640625" style="10"/>
    <col min="12473" max="12473" width="6.44140625" style="10" customWidth="1"/>
    <col min="12474" max="12474" width="13.88671875" style="10" customWidth="1"/>
    <col min="12475" max="12475" width="11.88671875" style="10" customWidth="1"/>
    <col min="12476" max="12478" width="9.6640625" style="10"/>
    <col min="12479" max="12479" width="15.44140625" style="10" customWidth="1"/>
    <col min="12480" max="12480" width="16.21875" style="10" customWidth="1"/>
    <col min="12481" max="12492" width="9.6640625" style="10"/>
    <col min="12493" max="12493" width="12" style="10" customWidth="1"/>
    <col min="12494" max="12494" width="12.77734375" style="10" customWidth="1"/>
    <col min="12495" max="12495" width="11.109375" style="10" customWidth="1"/>
    <col min="12496" max="12496" width="12" style="10" customWidth="1"/>
    <col min="12497" max="12497" width="9.6640625" style="10"/>
    <col min="12498" max="12498" width="15.33203125" style="10" customWidth="1"/>
    <col min="12499" max="12499" width="15.21875" style="10" customWidth="1"/>
    <col min="12500" max="12500" width="21.44140625" style="10" customWidth="1"/>
    <col min="12501" max="12516" width="9.6640625" style="10"/>
    <col min="12517" max="12518" width="13.44140625" style="10" customWidth="1"/>
    <col min="12519" max="12519" width="9.6640625" style="10"/>
    <col min="12520" max="12520" width="13.88671875" style="10" customWidth="1"/>
    <col min="12521" max="12521" width="10.6640625" style="10" customWidth="1"/>
    <col min="12522" max="12522" width="17.33203125" style="10" customWidth="1"/>
    <col min="12523" max="12524" width="12.6640625" style="10" customWidth="1"/>
    <col min="12525" max="12525" width="11.21875" style="10" customWidth="1"/>
    <col min="12526" max="12526" width="18.33203125" style="10" customWidth="1"/>
    <col min="12527" max="12527" width="12.88671875" style="10" customWidth="1"/>
    <col min="12528" max="12529" width="13.21875" style="10" customWidth="1"/>
    <col min="12530" max="12530" width="10.88671875" style="10" customWidth="1"/>
    <col min="12531" max="12531" width="11.109375" style="10" customWidth="1"/>
    <col min="12532" max="12532" width="15.21875" style="10" customWidth="1"/>
    <col min="12533" max="12533" width="9.6640625" style="10"/>
    <col min="12534" max="12534" width="11" style="10" customWidth="1"/>
    <col min="12535" max="12535" width="10.77734375" style="10" customWidth="1"/>
    <col min="12536" max="12536" width="11.44140625" style="10" customWidth="1"/>
    <col min="12537" max="12537" width="4" style="10" customWidth="1"/>
    <col min="12538" max="12728" width="9.6640625" style="10"/>
    <col min="12729" max="12729" width="6.44140625" style="10" customWidth="1"/>
    <col min="12730" max="12730" width="13.88671875" style="10" customWidth="1"/>
    <col min="12731" max="12731" width="11.88671875" style="10" customWidth="1"/>
    <col min="12732" max="12734" width="9.6640625" style="10"/>
    <col min="12735" max="12735" width="15.44140625" style="10" customWidth="1"/>
    <col min="12736" max="12736" width="16.21875" style="10" customWidth="1"/>
    <col min="12737" max="12748" width="9.6640625" style="10"/>
    <col min="12749" max="12749" width="12" style="10" customWidth="1"/>
    <col min="12750" max="12750" width="12.77734375" style="10" customWidth="1"/>
    <col min="12751" max="12751" width="11.109375" style="10" customWidth="1"/>
    <col min="12752" max="12752" width="12" style="10" customWidth="1"/>
    <col min="12753" max="12753" width="9.6640625" style="10"/>
    <col min="12754" max="12754" width="15.33203125" style="10" customWidth="1"/>
    <col min="12755" max="12755" width="15.21875" style="10" customWidth="1"/>
    <col min="12756" max="12756" width="21.44140625" style="10" customWidth="1"/>
    <col min="12757" max="12772" width="9.6640625" style="10"/>
    <col min="12773" max="12774" width="13.44140625" style="10" customWidth="1"/>
    <col min="12775" max="12775" width="9.6640625" style="10"/>
    <col min="12776" max="12776" width="13.88671875" style="10" customWidth="1"/>
    <col min="12777" max="12777" width="10.6640625" style="10" customWidth="1"/>
    <col min="12778" max="12778" width="17.33203125" style="10" customWidth="1"/>
    <col min="12779" max="12780" width="12.6640625" style="10" customWidth="1"/>
    <col min="12781" max="12781" width="11.21875" style="10" customWidth="1"/>
    <col min="12782" max="12782" width="18.33203125" style="10" customWidth="1"/>
    <col min="12783" max="12783" width="12.88671875" style="10" customWidth="1"/>
    <col min="12784" max="12785" width="13.21875" style="10" customWidth="1"/>
    <col min="12786" max="12786" width="10.88671875" style="10" customWidth="1"/>
    <col min="12787" max="12787" width="11.109375" style="10" customWidth="1"/>
    <col min="12788" max="12788" width="15.21875" style="10" customWidth="1"/>
    <col min="12789" max="12789" width="9.6640625" style="10"/>
    <col min="12790" max="12790" width="11" style="10" customWidth="1"/>
    <col min="12791" max="12791" width="10.77734375" style="10" customWidth="1"/>
    <col min="12792" max="12792" width="11.44140625" style="10" customWidth="1"/>
    <col min="12793" max="12793" width="4" style="10" customWidth="1"/>
    <col min="12794" max="12984" width="9.6640625" style="10"/>
    <col min="12985" max="12985" width="6.44140625" style="10" customWidth="1"/>
    <col min="12986" max="12986" width="13.88671875" style="10" customWidth="1"/>
    <col min="12987" max="12987" width="11.88671875" style="10" customWidth="1"/>
    <col min="12988" max="12990" width="9.6640625" style="10"/>
    <col min="12991" max="12991" width="15.44140625" style="10" customWidth="1"/>
    <col min="12992" max="12992" width="16.21875" style="10" customWidth="1"/>
    <col min="12993" max="13004" width="9.6640625" style="10"/>
    <col min="13005" max="13005" width="12" style="10" customWidth="1"/>
    <col min="13006" max="13006" width="12.77734375" style="10" customWidth="1"/>
    <col min="13007" max="13007" width="11.109375" style="10" customWidth="1"/>
    <col min="13008" max="13008" width="12" style="10" customWidth="1"/>
    <col min="13009" max="13009" width="9.6640625" style="10"/>
    <col min="13010" max="13010" width="15.33203125" style="10" customWidth="1"/>
    <col min="13011" max="13011" width="15.21875" style="10" customWidth="1"/>
    <col min="13012" max="13012" width="21.44140625" style="10" customWidth="1"/>
    <col min="13013" max="13028" width="9.6640625" style="10"/>
    <col min="13029" max="13030" width="13.44140625" style="10" customWidth="1"/>
    <col min="13031" max="13031" width="9.6640625" style="10"/>
    <col min="13032" max="13032" width="13.88671875" style="10" customWidth="1"/>
    <col min="13033" max="13033" width="10.6640625" style="10" customWidth="1"/>
    <col min="13034" max="13034" width="17.33203125" style="10" customWidth="1"/>
    <col min="13035" max="13036" width="12.6640625" style="10" customWidth="1"/>
    <col min="13037" max="13037" width="11.21875" style="10" customWidth="1"/>
    <col min="13038" max="13038" width="18.33203125" style="10" customWidth="1"/>
    <col min="13039" max="13039" width="12.88671875" style="10" customWidth="1"/>
    <col min="13040" max="13041" width="13.21875" style="10" customWidth="1"/>
    <col min="13042" max="13042" width="10.88671875" style="10" customWidth="1"/>
    <col min="13043" max="13043" width="11.109375" style="10" customWidth="1"/>
    <col min="13044" max="13044" width="15.21875" style="10" customWidth="1"/>
    <col min="13045" max="13045" width="9.6640625" style="10"/>
    <col min="13046" max="13046" width="11" style="10" customWidth="1"/>
    <col min="13047" max="13047" width="10.77734375" style="10" customWidth="1"/>
    <col min="13048" max="13048" width="11.44140625" style="10" customWidth="1"/>
    <col min="13049" max="13049" width="4" style="10" customWidth="1"/>
    <col min="13050" max="13240" width="9.6640625" style="10"/>
    <col min="13241" max="13241" width="6.44140625" style="10" customWidth="1"/>
    <col min="13242" max="13242" width="13.88671875" style="10" customWidth="1"/>
    <col min="13243" max="13243" width="11.88671875" style="10" customWidth="1"/>
    <col min="13244" max="13246" width="9.6640625" style="10"/>
    <col min="13247" max="13247" width="15.44140625" style="10" customWidth="1"/>
    <col min="13248" max="13248" width="16.21875" style="10" customWidth="1"/>
    <col min="13249" max="13260" width="9.6640625" style="10"/>
    <col min="13261" max="13261" width="12" style="10" customWidth="1"/>
    <col min="13262" max="13262" width="12.77734375" style="10" customWidth="1"/>
    <col min="13263" max="13263" width="11.109375" style="10" customWidth="1"/>
    <col min="13264" max="13264" width="12" style="10" customWidth="1"/>
    <col min="13265" max="13265" width="9.6640625" style="10"/>
    <col min="13266" max="13266" width="15.33203125" style="10" customWidth="1"/>
    <col min="13267" max="13267" width="15.21875" style="10" customWidth="1"/>
    <col min="13268" max="13268" width="21.44140625" style="10" customWidth="1"/>
    <col min="13269" max="13284" width="9.6640625" style="10"/>
    <col min="13285" max="13286" width="13.44140625" style="10" customWidth="1"/>
    <col min="13287" max="13287" width="9.6640625" style="10"/>
    <col min="13288" max="13288" width="13.88671875" style="10" customWidth="1"/>
    <col min="13289" max="13289" width="10.6640625" style="10" customWidth="1"/>
    <col min="13290" max="13290" width="17.33203125" style="10" customWidth="1"/>
    <col min="13291" max="13292" width="12.6640625" style="10" customWidth="1"/>
    <col min="13293" max="13293" width="11.21875" style="10" customWidth="1"/>
    <col min="13294" max="13294" width="18.33203125" style="10" customWidth="1"/>
    <col min="13295" max="13295" width="12.88671875" style="10" customWidth="1"/>
    <col min="13296" max="13297" width="13.21875" style="10" customWidth="1"/>
    <col min="13298" max="13298" width="10.88671875" style="10" customWidth="1"/>
    <col min="13299" max="13299" width="11.109375" style="10" customWidth="1"/>
    <col min="13300" max="13300" width="15.21875" style="10" customWidth="1"/>
    <col min="13301" max="13301" width="9.6640625" style="10"/>
    <col min="13302" max="13302" width="11" style="10" customWidth="1"/>
    <col min="13303" max="13303" width="10.77734375" style="10" customWidth="1"/>
    <col min="13304" max="13304" width="11.44140625" style="10" customWidth="1"/>
    <col min="13305" max="13305" width="4" style="10" customWidth="1"/>
    <col min="13306" max="13496" width="9.6640625" style="10"/>
    <col min="13497" max="13497" width="6.44140625" style="10" customWidth="1"/>
    <col min="13498" max="13498" width="13.88671875" style="10" customWidth="1"/>
    <col min="13499" max="13499" width="11.88671875" style="10" customWidth="1"/>
    <col min="13500" max="13502" width="9.6640625" style="10"/>
    <col min="13503" max="13503" width="15.44140625" style="10" customWidth="1"/>
    <col min="13504" max="13504" width="16.21875" style="10" customWidth="1"/>
    <col min="13505" max="13516" width="9.6640625" style="10"/>
    <col min="13517" max="13517" width="12" style="10" customWidth="1"/>
    <col min="13518" max="13518" width="12.77734375" style="10" customWidth="1"/>
    <col min="13519" max="13519" width="11.109375" style="10" customWidth="1"/>
    <col min="13520" max="13520" width="12" style="10" customWidth="1"/>
    <col min="13521" max="13521" width="9.6640625" style="10"/>
    <col min="13522" max="13522" width="15.33203125" style="10" customWidth="1"/>
    <col min="13523" max="13523" width="15.21875" style="10" customWidth="1"/>
    <col min="13524" max="13524" width="21.44140625" style="10" customWidth="1"/>
    <col min="13525" max="13540" width="9.6640625" style="10"/>
    <col min="13541" max="13542" width="13.44140625" style="10" customWidth="1"/>
    <col min="13543" max="13543" width="9.6640625" style="10"/>
    <col min="13544" max="13544" width="13.88671875" style="10" customWidth="1"/>
    <col min="13545" max="13545" width="10.6640625" style="10" customWidth="1"/>
    <col min="13546" max="13546" width="17.33203125" style="10" customWidth="1"/>
    <col min="13547" max="13548" width="12.6640625" style="10" customWidth="1"/>
    <col min="13549" max="13549" width="11.21875" style="10" customWidth="1"/>
    <col min="13550" max="13550" width="18.33203125" style="10" customWidth="1"/>
    <col min="13551" max="13551" width="12.88671875" style="10" customWidth="1"/>
    <col min="13552" max="13553" width="13.21875" style="10" customWidth="1"/>
    <col min="13554" max="13554" width="10.88671875" style="10" customWidth="1"/>
    <col min="13555" max="13555" width="11.109375" style="10" customWidth="1"/>
    <col min="13556" max="13556" width="15.21875" style="10" customWidth="1"/>
    <col min="13557" max="13557" width="9.6640625" style="10"/>
    <col min="13558" max="13558" width="11" style="10" customWidth="1"/>
    <col min="13559" max="13559" width="10.77734375" style="10" customWidth="1"/>
    <col min="13560" max="13560" width="11.44140625" style="10" customWidth="1"/>
    <col min="13561" max="13561" width="4" style="10" customWidth="1"/>
    <col min="13562" max="13752" width="9.6640625" style="10"/>
    <col min="13753" max="13753" width="6.44140625" style="10" customWidth="1"/>
    <col min="13754" max="13754" width="13.88671875" style="10" customWidth="1"/>
    <col min="13755" max="13755" width="11.88671875" style="10" customWidth="1"/>
    <col min="13756" max="13758" width="9.6640625" style="10"/>
    <col min="13759" max="13759" width="15.44140625" style="10" customWidth="1"/>
    <col min="13760" max="13760" width="16.21875" style="10" customWidth="1"/>
    <col min="13761" max="13772" width="9.6640625" style="10"/>
    <col min="13773" max="13773" width="12" style="10" customWidth="1"/>
    <col min="13774" max="13774" width="12.77734375" style="10" customWidth="1"/>
    <col min="13775" max="13775" width="11.109375" style="10" customWidth="1"/>
    <col min="13776" max="13776" width="12" style="10" customWidth="1"/>
    <col min="13777" max="13777" width="9.6640625" style="10"/>
    <col min="13778" max="13778" width="15.33203125" style="10" customWidth="1"/>
    <col min="13779" max="13779" width="15.21875" style="10" customWidth="1"/>
    <col min="13780" max="13780" width="21.44140625" style="10" customWidth="1"/>
    <col min="13781" max="13796" width="9.6640625" style="10"/>
    <col min="13797" max="13798" width="13.44140625" style="10" customWidth="1"/>
    <col min="13799" max="13799" width="9.6640625" style="10"/>
    <col min="13800" max="13800" width="13.88671875" style="10" customWidth="1"/>
    <col min="13801" max="13801" width="10.6640625" style="10" customWidth="1"/>
    <col min="13802" max="13802" width="17.33203125" style="10" customWidth="1"/>
    <col min="13803" max="13804" width="12.6640625" style="10" customWidth="1"/>
    <col min="13805" max="13805" width="11.21875" style="10" customWidth="1"/>
    <col min="13806" max="13806" width="18.33203125" style="10" customWidth="1"/>
    <col min="13807" max="13807" width="12.88671875" style="10" customWidth="1"/>
    <col min="13808" max="13809" width="13.21875" style="10" customWidth="1"/>
    <col min="13810" max="13810" width="10.88671875" style="10" customWidth="1"/>
    <col min="13811" max="13811" width="11.109375" style="10" customWidth="1"/>
    <col min="13812" max="13812" width="15.21875" style="10" customWidth="1"/>
    <col min="13813" max="13813" width="9.6640625" style="10"/>
    <col min="13814" max="13814" width="11" style="10" customWidth="1"/>
    <col min="13815" max="13815" width="10.77734375" style="10" customWidth="1"/>
    <col min="13816" max="13816" width="11.44140625" style="10" customWidth="1"/>
    <col min="13817" max="13817" width="4" style="10" customWidth="1"/>
    <col min="13818" max="14008" width="9.6640625" style="10"/>
    <col min="14009" max="14009" width="6.44140625" style="10" customWidth="1"/>
    <col min="14010" max="14010" width="13.88671875" style="10" customWidth="1"/>
    <col min="14011" max="14011" width="11.88671875" style="10" customWidth="1"/>
    <col min="14012" max="14014" width="9.6640625" style="10"/>
    <col min="14015" max="14015" width="15.44140625" style="10" customWidth="1"/>
    <col min="14016" max="14016" width="16.21875" style="10" customWidth="1"/>
    <col min="14017" max="14028" width="9.6640625" style="10"/>
    <col min="14029" max="14029" width="12" style="10" customWidth="1"/>
    <col min="14030" max="14030" width="12.77734375" style="10" customWidth="1"/>
    <col min="14031" max="14031" width="11.109375" style="10" customWidth="1"/>
    <col min="14032" max="14032" width="12" style="10" customWidth="1"/>
    <col min="14033" max="14033" width="9.6640625" style="10"/>
    <col min="14034" max="14034" width="15.33203125" style="10" customWidth="1"/>
    <col min="14035" max="14035" width="15.21875" style="10" customWidth="1"/>
    <col min="14036" max="14036" width="21.44140625" style="10" customWidth="1"/>
    <col min="14037" max="14052" width="9.6640625" style="10"/>
    <col min="14053" max="14054" width="13.44140625" style="10" customWidth="1"/>
    <col min="14055" max="14055" width="9.6640625" style="10"/>
    <col min="14056" max="14056" width="13.88671875" style="10" customWidth="1"/>
    <col min="14057" max="14057" width="10.6640625" style="10" customWidth="1"/>
    <col min="14058" max="14058" width="17.33203125" style="10" customWidth="1"/>
    <col min="14059" max="14060" width="12.6640625" style="10" customWidth="1"/>
    <col min="14061" max="14061" width="11.21875" style="10" customWidth="1"/>
    <col min="14062" max="14062" width="18.33203125" style="10" customWidth="1"/>
    <col min="14063" max="14063" width="12.88671875" style="10" customWidth="1"/>
    <col min="14064" max="14065" width="13.21875" style="10" customWidth="1"/>
    <col min="14066" max="14066" width="10.88671875" style="10" customWidth="1"/>
    <col min="14067" max="14067" width="11.109375" style="10" customWidth="1"/>
    <col min="14068" max="14068" width="15.21875" style="10" customWidth="1"/>
    <col min="14069" max="14069" width="9.6640625" style="10"/>
    <col min="14070" max="14070" width="11" style="10" customWidth="1"/>
    <col min="14071" max="14071" width="10.77734375" style="10" customWidth="1"/>
    <col min="14072" max="14072" width="11.44140625" style="10" customWidth="1"/>
    <col min="14073" max="14073" width="4" style="10" customWidth="1"/>
    <col min="14074" max="14264" width="9.6640625" style="10"/>
    <col min="14265" max="14265" width="6.44140625" style="10" customWidth="1"/>
    <col min="14266" max="14266" width="13.88671875" style="10" customWidth="1"/>
    <col min="14267" max="14267" width="11.88671875" style="10" customWidth="1"/>
    <col min="14268" max="14270" width="9.6640625" style="10"/>
    <col min="14271" max="14271" width="15.44140625" style="10" customWidth="1"/>
    <col min="14272" max="14272" width="16.21875" style="10" customWidth="1"/>
    <col min="14273" max="14284" width="9.6640625" style="10"/>
    <col min="14285" max="14285" width="12" style="10" customWidth="1"/>
    <col min="14286" max="14286" width="12.77734375" style="10" customWidth="1"/>
    <col min="14287" max="14287" width="11.109375" style="10" customWidth="1"/>
    <col min="14288" max="14288" width="12" style="10" customWidth="1"/>
    <col min="14289" max="14289" width="9.6640625" style="10"/>
    <col min="14290" max="14290" width="15.33203125" style="10" customWidth="1"/>
    <col min="14291" max="14291" width="15.21875" style="10" customWidth="1"/>
    <col min="14292" max="14292" width="21.44140625" style="10" customWidth="1"/>
    <col min="14293" max="14308" width="9.6640625" style="10"/>
    <col min="14309" max="14310" width="13.44140625" style="10" customWidth="1"/>
    <col min="14311" max="14311" width="9.6640625" style="10"/>
    <col min="14312" max="14312" width="13.88671875" style="10" customWidth="1"/>
    <col min="14313" max="14313" width="10.6640625" style="10" customWidth="1"/>
    <col min="14314" max="14314" width="17.33203125" style="10" customWidth="1"/>
    <col min="14315" max="14316" width="12.6640625" style="10" customWidth="1"/>
    <col min="14317" max="14317" width="11.21875" style="10" customWidth="1"/>
    <col min="14318" max="14318" width="18.33203125" style="10" customWidth="1"/>
    <col min="14319" max="14319" width="12.88671875" style="10" customWidth="1"/>
    <col min="14320" max="14321" width="13.21875" style="10" customWidth="1"/>
    <col min="14322" max="14322" width="10.88671875" style="10" customWidth="1"/>
    <col min="14323" max="14323" width="11.109375" style="10" customWidth="1"/>
    <col min="14324" max="14324" width="15.21875" style="10" customWidth="1"/>
    <col min="14325" max="14325" width="9.6640625" style="10"/>
    <col min="14326" max="14326" width="11" style="10" customWidth="1"/>
    <col min="14327" max="14327" width="10.77734375" style="10" customWidth="1"/>
    <col min="14328" max="14328" width="11.44140625" style="10" customWidth="1"/>
    <col min="14329" max="14329" width="4" style="10" customWidth="1"/>
    <col min="14330" max="14520" width="9.6640625" style="10"/>
    <col min="14521" max="14521" width="6.44140625" style="10" customWidth="1"/>
    <col min="14522" max="14522" width="13.88671875" style="10" customWidth="1"/>
    <col min="14523" max="14523" width="11.88671875" style="10" customWidth="1"/>
    <col min="14524" max="14526" width="9.6640625" style="10"/>
    <col min="14527" max="14527" width="15.44140625" style="10" customWidth="1"/>
    <col min="14528" max="14528" width="16.21875" style="10" customWidth="1"/>
    <col min="14529" max="14540" width="9.6640625" style="10"/>
    <col min="14541" max="14541" width="12" style="10" customWidth="1"/>
    <col min="14542" max="14542" width="12.77734375" style="10" customWidth="1"/>
    <col min="14543" max="14543" width="11.109375" style="10" customWidth="1"/>
    <col min="14544" max="14544" width="12" style="10" customWidth="1"/>
    <col min="14545" max="14545" width="9.6640625" style="10"/>
    <col min="14546" max="14546" width="15.33203125" style="10" customWidth="1"/>
    <col min="14547" max="14547" width="15.21875" style="10" customWidth="1"/>
    <col min="14548" max="14548" width="21.44140625" style="10" customWidth="1"/>
    <col min="14549" max="14564" width="9.6640625" style="10"/>
    <col min="14565" max="14566" width="13.44140625" style="10" customWidth="1"/>
    <col min="14567" max="14567" width="9.6640625" style="10"/>
    <col min="14568" max="14568" width="13.88671875" style="10" customWidth="1"/>
    <col min="14569" max="14569" width="10.6640625" style="10" customWidth="1"/>
    <col min="14570" max="14570" width="17.33203125" style="10" customWidth="1"/>
    <col min="14571" max="14572" width="12.6640625" style="10" customWidth="1"/>
    <col min="14573" max="14573" width="11.21875" style="10" customWidth="1"/>
    <col min="14574" max="14574" width="18.33203125" style="10" customWidth="1"/>
    <col min="14575" max="14575" width="12.88671875" style="10" customWidth="1"/>
    <col min="14576" max="14577" width="13.21875" style="10" customWidth="1"/>
    <col min="14578" max="14578" width="10.88671875" style="10" customWidth="1"/>
    <col min="14579" max="14579" width="11.109375" style="10" customWidth="1"/>
    <col min="14580" max="14580" width="15.21875" style="10" customWidth="1"/>
    <col min="14581" max="14581" width="9.6640625" style="10"/>
    <col min="14582" max="14582" width="11" style="10" customWidth="1"/>
    <col min="14583" max="14583" width="10.77734375" style="10" customWidth="1"/>
    <col min="14584" max="14584" width="11.44140625" style="10" customWidth="1"/>
    <col min="14585" max="14585" width="4" style="10" customWidth="1"/>
    <col min="14586" max="14776" width="9.6640625" style="10"/>
    <col min="14777" max="14777" width="6.44140625" style="10" customWidth="1"/>
    <col min="14778" max="14778" width="13.88671875" style="10" customWidth="1"/>
    <col min="14779" max="14779" width="11.88671875" style="10" customWidth="1"/>
    <col min="14780" max="14782" width="9.6640625" style="10"/>
    <col min="14783" max="14783" width="15.44140625" style="10" customWidth="1"/>
    <col min="14784" max="14784" width="16.21875" style="10" customWidth="1"/>
    <col min="14785" max="14796" width="9.6640625" style="10"/>
    <col min="14797" max="14797" width="12" style="10" customWidth="1"/>
    <col min="14798" max="14798" width="12.77734375" style="10" customWidth="1"/>
    <col min="14799" max="14799" width="11.109375" style="10" customWidth="1"/>
    <col min="14800" max="14800" width="12" style="10" customWidth="1"/>
    <col min="14801" max="14801" width="9.6640625" style="10"/>
    <col min="14802" max="14802" width="15.33203125" style="10" customWidth="1"/>
    <col min="14803" max="14803" width="15.21875" style="10" customWidth="1"/>
    <col min="14804" max="14804" width="21.44140625" style="10" customWidth="1"/>
    <col min="14805" max="14820" width="9.6640625" style="10"/>
    <col min="14821" max="14822" width="13.44140625" style="10" customWidth="1"/>
    <col min="14823" max="14823" width="9.6640625" style="10"/>
    <col min="14824" max="14824" width="13.88671875" style="10" customWidth="1"/>
    <col min="14825" max="14825" width="10.6640625" style="10" customWidth="1"/>
    <col min="14826" max="14826" width="17.33203125" style="10" customWidth="1"/>
    <col min="14827" max="14828" width="12.6640625" style="10" customWidth="1"/>
    <col min="14829" max="14829" width="11.21875" style="10" customWidth="1"/>
    <col min="14830" max="14830" width="18.33203125" style="10" customWidth="1"/>
    <col min="14831" max="14831" width="12.88671875" style="10" customWidth="1"/>
    <col min="14832" max="14833" width="13.21875" style="10" customWidth="1"/>
    <col min="14834" max="14834" width="10.88671875" style="10" customWidth="1"/>
    <col min="14835" max="14835" width="11.109375" style="10" customWidth="1"/>
    <col min="14836" max="14836" width="15.21875" style="10" customWidth="1"/>
    <col min="14837" max="14837" width="9.6640625" style="10"/>
    <col min="14838" max="14838" width="11" style="10" customWidth="1"/>
    <col min="14839" max="14839" width="10.77734375" style="10" customWidth="1"/>
    <col min="14840" max="14840" width="11.44140625" style="10" customWidth="1"/>
    <col min="14841" max="14841" width="4" style="10" customWidth="1"/>
    <col min="14842" max="15032" width="9.6640625" style="10"/>
    <col min="15033" max="15033" width="6.44140625" style="10" customWidth="1"/>
    <col min="15034" max="15034" width="13.88671875" style="10" customWidth="1"/>
    <col min="15035" max="15035" width="11.88671875" style="10" customWidth="1"/>
    <col min="15036" max="15038" width="9.6640625" style="10"/>
    <col min="15039" max="15039" width="15.44140625" style="10" customWidth="1"/>
    <col min="15040" max="15040" width="16.21875" style="10" customWidth="1"/>
    <col min="15041" max="15052" width="9.6640625" style="10"/>
    <col min="15053" max="15053" width="12" style="10" customWidth="1"/>
    <col min="15054" max="15054" width="12.77734375" style="10" customWidth="1"/>
    <col min="15055" max="15055" width="11.109375" style="10" customWidth="1"/>
    <col min="15056" max="15056" width="12" style="10" customWidth="1"/>
    <col min="15057" max="15057" width="9.6640625" style="10"/>
    <col min="15058" max="15058" width="15.33203125" style="10" customWidth="1"/>
    <col min="15059" max="15059" width="15.21875" style="10" customWidth="1"/>
    <col min="15060" max="15060" width="21.44140625" style="10" customWidth="1"/>
    <col min="15061" max="15076" width="9.6640625" style="10"/>
    <col min="15077" max="15078" width="13.44140625" style="10" customWidth="1"/>
    <col min="15079" max="15079" width="9.6640625" style="10"/>
    <col min="15080" max="15080" width="13.88671875" style="10" customWidth="1"/>
    <col min="15081" max="15081" width="10.6640625" style="10" customWidth="1"/>
    <col min="15082" max="15082" width="17.33203125" style="10" customWidth="1"/>
    <col min="15083" max="15084" width="12.6640625" style="10" customWidth="1"/>
    <col min="15085" max="15085" width="11.21875" style="10" customWidth="1"/>
    <col min="15086" max="15086" width="18.33203125" style="10" customWidth="1"/>
    <col min="15087" max="15087" width="12.88671875" style="10" customWidth="1"/>
    <col min="15088" max="15089" width="13.21875" style="10" customWidth="1"/>
    <col min="15090" max="15090" width="10.88671875" style="10" customWidth="1"/>
    <col min="15091" max="15091" width="11.109375" style="10" customWidth="1"/>
    <col min="15092" max="15092" width="15.21875" style="10" customWidth="1"/>
    <col min="15093" max="15093" width="9.6640625" style="10"/>
    <col min="15094" max="15094" width="11" style="10" customWidth="1"/>
    <col min="15095" max="15095" width="10.77734375" style="10" customWidth="1"/>
    <col min="15096" max="15096" width="11.44140625" style="10" customWidth="1"/>
    <col min="15097" max="15097" width="4" style="10" customWidth="1"/>
    <col min="15098" max="15288" width="9.6640625" style="10"/>
    <col min="15289" max="15289" width="6.44140625" style="10" customWidth="1"/>
    <col min="15290" max="15290" width="13.88671875" style="10" customWidth="1"/>
    <col min="15291" max="15291" width="11.88671875" style="10" customWidth="1"/>
    <col min="15292" max="15294" width="9.6640625" style="10"/>
    <col min="15295" max="15295" width="15.44140625" style="10" customWidth="1"/>
    <col min="15296" max="15296" width="16.21875" style="10" customWidth="1"/>
    <col min="15297" max="15308" width="9.6640625" style="10"/>
    <col min="15309" max="15309" width="12" style="10" customWidth="1"/>
    <col min="15310" max="15310" width="12.77734375" style="10" customWidth="1"/>
    <col min="15311" max="15311" width="11.109375" style="10" customWidth="1"/>
    <col min="15312" max="15312" width="12" style="10" customWidth="1"/>
    <col min="15313" max="15313" width="9.6640625" style="10"/>
    <col min="15314" max="15314" width="15.33203125" style="10" customWidth="1"/>
    <col min="15315" max="15315" width="15.21875" style="10" customWidth="1"/>
    <col min="15316" max="15316" width="21.44140625" style="10" customWidth="1"/>
    <col min="15317" max="15332" width="9.6640625" style="10"/>
    <col min="15333" max="15334" width="13.44140625" style="10" customWidth="1"/>
    <col min="15335" max="15335" width="9.6640625" style="10"/>
    <col min="15336" max="15336" width="13.88671875" style="10" customWidth="1"/>
    <col min="15337" max="15337" width="10.6640625" style="10" customWidth="1"/>
    <col min="15338" max="15338" width="17.33203125" style="10" customWidth="1"/>
    <col min="15339" max="15340" width="12.6640625" style="10" customWidth="1"/>
    <col min="15341" max="15341" width="11.21875" style="10" customWidth="1"/>
    <col min="15342" max="15342" width="18.33203125" style="10" customWidth="1"/>
    <col min="15343" max="15343" width="12.88671875" style="10" customWidth="1"/>
    <col min="15344" max="15345" width="13.21875" style="10" customWidth="1"/>
    <col min="15346" max="15346" width="10.88671875" style="10" customWidth="1"/>
    <col min="15347" max="15347" width="11.109375" style="10" customWidth="1"/>
    <col min="15348" max="15348" width="15.21875" style="10" customWidth="1"/>
    <col min="15349" max="15349" width="9.6640625" style="10"/>
    <col min="15350" max="15350" width="11" style="10" customWidth="1"/>
    <col min="15351" max="15351" width="10.77734375" style="10" customWidth="1"/>
    <col min="15352" max="15352" width="11.44140625" style="10" customWidth="1"/>
    <col min="15353" max="15353" width="4" style="10" customWidth="1"/>
    <col min="15354" max="15544" width="9.6640625" style="10"/>
    <col min="15545" max="15545" width="6.44140625" style="10" customWidth="1"/>
    <col min="15546" max="15546" width="13.88671875" style="10" customWidth="1"/>
    <col min="15547" max="15547" width="11.88671875" style="10" customWidth="1"/>
    <col min="15548" max="15550" width="9.6640625" style="10"/>
    <col min="15551" max="15551" width="15.44140625" style="10" customWidth="1"/>
    <col min="15552" max="15552" width="16.21875" style="10" customWidth="1"/>
    <col min="15553" max="15564" width="9.6640625" style="10"/>
    <col min="15565" max="15565" width="12" style="10" customWidth="1"/>
    <col min="15566" max="15566" width="12.77734375" style="10" customWidth="1"/>
    <col min="15567" max="15567" width="11.109375" style="10" customWidth="1"/>
    <col min="15568" max="15568" width="12" style="10" customWidth="1"/>
    <col min="15569" max="15569" width="9.6640625" style="10"/>
    <col min="15570" max="15570" width="15.33203125" style="10" customWidth="1"/>
    <col min="15571" max="15571" width="15.21875" style="10" customWidth="1"/>
    <col min="15572" max="15572" width="21.44140625" style="10" customWidth="1"/>
    <col min="15573" max="15588" width="9.6640625" style="10"/>
    <col min="15589" max="15590" width="13.44140625" style="10" customWidth="1"/>
    <col min="15591" max="15591" width="9.6640625" style="10"/>
    <col min="15592" max="15592" width="13.88671875" style="10" customWidth="1"/>
    <col min="15593" max="15593" width="10.6640625" style="10" customWidth="1"/>
    <col min="15594" max="15594" width="17.33203125" style="10" customWidth="1"/>
    <col min="15595" max="15596" width="12.6640625" style="10" customWidth="1"/>
    <col min="15597" max="15597" width="11.21875" style="10" customWidth="1"/>
    <col min="15598" max="15598" width="18.33203125" style="10" customWidth="1"/>
    <col min="15599" max="15599" width="12.88671875" style="10" customWidth="1"/>
    <col min="15600" max="15601" width="13.21875" style="10" customWidth="1"/>
    <col min="15602" max="15602" width="10.88671875" style="10" customWidth="1"/>
    <col min="15603" max="15603" width="11.109375" style="10" customWidth="1"/>
    <col min="15604" max="15604" width="15.21875" style="10" customWidth="1"/>
    <col min="15605" max="15605" width="9.6640625" style="10"/>
    <col min="15606" max="15606" width="11" style="10" customWidth="1"/>
    <col min="15607" max="15607" width="10.77734375" style="10" customWidth="1"/>
    <col min="15608" max="15608" width="11.44140625" style="10" customWidth="1"/>
    <col min="15609" max="15609" width="4" style="10" customWidth="1"/>
    <col min="15610" max="15800" width="9.6640625" style="10"/>
    <col min="15801" max="15801" width="6.44140625" style="10" customWidth="1"/>
    <col min="15802" max="15802" width="13.88671875" style="10" customWidth="1"/>
    <col min="15803" max="15803" width="11.88671875" style="10" customWidth="1"/>
    <col min="15804" max="15806" width="9.6640625" style="10"/>
    <col min="15807" max="15807" width="15.44140625" style="10" customWidth="1"/>
    <col min="15808" max="15808" width="16.21875" style="10" customWidth="1"/>
    <col min="15809" max="15820" width="9.6640625" style="10"/>
    <col min="15821" max="15821" width="12" style="10" customWidth="1"/>
    <col min="15822" max="15822" width="12.77734375" style="10" customWidth="1"/>
    <col min="15823" max="15823" width="11.109375" style="10" customWidth="1"/>
    <col min="15824" max="15824" width="12" style="10" customWidth="1"/>
    <col min="15825" max="15825" width="9.6640625" style="10"/>
    <col min="15826" max="15826" width="15.33203125" style="10" customWidth="1"/>
    <col min="15827" max="15827" width="15.21875" style="10" customWidth="1"/>
    <col min="15828" max="15828" width="21.44140625" style="10" customWidth="1"/>
    <col min="15829" max="15844" width="9.6640625" style="10"/>
    <col min="15845" max="15846" width="13.44140625" style="10" customWidth="1"/>
    <col min="15847" max="15847" width="9.6640625" style="10"/>
    <col min="15848" max="15848" width="13.88671875" style="10" customWidth="1"/>
    <col min="15849" max="15849" width="10.6640625" style="10" customWidth="1"/>
    <col min="15850" max="15850" width="17.33203125" style="10" customWidth="1"/>
    <col min="15851" max="15852" width="12.6640625" style="10" customWidth="1"/>
    <col min="15853" max="15853" width="11.21875" style="10" customWidth="1"/>
    <col min="15854" max="15854" width="18.33203125" style="10" customWidth="1"/>
    <col min="15855" max="15855" width="12.88671875" style="10" customWidth="1"/>
    <col min="15856" max="15857" width="13.21875" style="10" customWidth="1"/>
    <col min="15858" max="15858" width="10.88671875" style="10" customWidth="1"/>
    <col min="15859" max="15859" width="11.109375" style="10" customWidth="1"/>
    <col min="15860" max="15860" width="15.21875" style="10" customWidth="1"/>
    <col min="15861" max="15861" width="9.6640625" style="10"/>
    <col min="15862" max="15862" width="11" style="10" customWidth="1"/>
    <col min="15863" max="15863" width="10.77734375" style="10" customWidth="1"/>
    <col min="15864" max="15864" width="11.44140625" style="10" customWidth="1"/>
    <col min="15865" max="15865" width="4" style="10" customWidth="1"/>
    <col min="15866" max="16056" width="9.6640625" style="10"/>
    <col min="16057" max="16057" width="6.44140625" style="10" customWidth="1"/>
    <col min="16058" max="16058" width="13.88671875" style="10" customWidth="1"/>
    <col min="16059" max="16059" width="11.88671875" style="10" customWidth="1"/>
    <col min="16060" max="16062" width="9.6640625" style="10"/>
    <col min="16063" max="16063" width="15.44140625" style="10" customWidth="1"/>
    <col min="16064" max="16064" width="16.21875" style="10" customWidth="1"/>
    <col min="16065" max="16076" width="9.6640625" style="10"/>
    <col min="16077" max="16077" width="12" style="10" customWidth="1"/>
    <col min="16078" max="16078" width="12.77734375" style="10" customWidth="1"/>
    <col min="16079" max="16079" width="11.109375" style="10" customWidth="1"/>
    <col min="16080" max="16080" width="12" style="10" customWidth="1"/>
    <col min="16081" max="16081" width="9.6640625" style="10"/>
    <col min="16082" max="16082" width="15.33203125" style="10" customWidth="1"/>
    <col min="16083" max="16083" width="15.21875" style="10" customWidth="1"/>
    <col min="16084" max="16084" width="21.44140625" style="10" customWidth="1"/>
    <col min="16085" max="16100" width="9.6640625" style="10"/>
    <col min="16101" max="16102" width="13.44140625" style="10" customWidth="1"/>
    <col min="16103" max="16103" width="9.6640625" style="10"/>
    <col min="16104" max="16104" width="13.88671875" style="10" customWidth="1"/>
    <col min="16105" max="16105" width="10.6640625" style="10" customWidth="1"/>
    <col min="16106" max="16106" width="17.33203125" style="10" customWidth="1"/>
    <col min="16107" max="16108" width="12.6640625" style="10" customWidth="1"/>
    <col min="16109" max="16109" width="11.21875" style="10" customWidth="1"/>
    <col min="16110" max="16110" width="18.33203125" style="10" customWidth="1"/>
    <col min="16111" max="16111" width="12.88671875" style="10" customWidth="1"/>
    <col min="16112" max="16113" width="13.21875" style="10" customWidth="1"/>
    <col min="16114" max="16114" width="10.88671875" style="10" customWidth="1"/>
    <col min="16115" max="16115" width="11.109375" style="10" customWidth="1"/>
    <col min="16116" max="16116" width="15.21875" style="10" customWidth="1"/>
    <col min="16117" max="16117" width="9.6640625" style="10"/>
    <col min="16118" max="16118" width="11" style="10" customWidth="1"/>
    <col min="16119" max="16119" width="10.77734375" style="10" customWidth="1"/>
    <col min="16120" max="16120" width="11.44140625" style="10" customWidth="1"/>
    <col min="16121" max="16121" width="4" style="10" customWidth="1"/>
    <col min="16122" max="16384" width="9.6640625" style="10"/>
  </cols>
  <sheetData>
    <row r="1" spans="1:129" ht="13.2" x14ac:dyDescent="0.2">
      <c r="A1" s="9" t="s">
        <v>100</v>
      </c>
    </row>
    <row r="2" spans="1:129" x14ac:dyDescent="0.2">
      <c r="C2" s="12" t="s">
        <v>101</v>
      </c>
      <c r="BH2" s="12"/>
    </row>
    <row r="3" spans="1:129" s="11" customFormat="1" x14ac:dyDescent="0.2">
      <c r="A3" s="13"/>
      <c r="B3" s="14" t="s">
        <v>102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</row>
    <row r="4" spans="1:129" s="11" customFormat="1" x14ac:dyDescent="0.2">
      <c r="A4" s="13"/>
      <c r="B4" s="16" t="s">
        <v>103</v>
      </c>
      <c r="C4" s="15" t="s">
        <v>112</v>
      </c>
      <c r="D4" s="15" t="s">
        <v>112</v>
      </c>
      <c r="E4" s="15" t="s">
        <v>112</v>
      </c>
      <c r="F4" s="15" t="s">
        <v>112</v>
      </c>
      <c r="G4" s="15" t="s">
        <v>112</v>
      </c>
      <c r="H4" s="15" t="s">
        <v>112</v>
      </c>
      <c r="I4" s="15" t="s">
        <v>104</v>
      </c>
      <c r="J4" s="15" t="s">
        <v>108</v>
      </c>
      <c r="K4" s="15" t="s">
        <v>108</v>
      </c>
      <c r="L4" s="15" t="s">
        <v>104</v>
      </c>
      <c r="M4" s="15" t="s">
        <v>104</v>
      </c>
      <c r="N4" s="15" t="s">
        <v>104</v>
      </c>
      <c r="O4" s="15" t="s">
        <v>108</v>
      </c>
      <c r="P4" s="15" t="s">
        <v>104</v>
      </c>
      <c r="Q4" s="15" t="s">
        <v>104</v>
      </c>
      <c r="R4" s="15" t="s">
        <v>104</v>
      </c>
      <c r="S4" s="15" t="s">
        <v>104</v>
      </c>
      <c r="T4" s="15" t="s">
        <v>104</v>
      </c>
      <c r="U4" s="15" t="s">
        <v>104</v>
      </c>
      <c r="V4" s="15" t="s">
        <v>104</v>
      </c>
      <c r="W4" s="15" t="s">
        <v>110</v>
      </c>
      <c r="X4" s="15" t="s">
        <v>104</v>
      </c>
      <c r="Y4" s="15" t="s">
        <v>104</v>
      </c>
      <c r="Z4" s="15" t="s">
        <v>104</v>
      </c>
      <c r="AA4" s="15" t="s">
        <v>104</v>
      </c>
      <c r="AB4" s="15" t="s">
        <v>104</v>
      </c>
      <c r="AC4" s="15" t="s">
        <v>104</v>
      </c>
      <c r="AD4" s="15" t="s">
        <v>104</v>
      </c>
      <c r="AE4" s="15" t="s">
        <v>104</v>
      </c>
      <c r="AF4" s="15" t="s">
        <v>104</v>
      </c>
      <c r="AG4" s="15" t="s">
        <v>104</v>
      </c>
      <c r="AH4" s="15" t="s">
        <v>104</v>
      </c>
      <c r="AI4" s="15" t="s">
        <v>104</v>
      </c>
      <c r="AJ4" s="15" t="s">
        <v>111</v>
      </c>
      <c r="AK4" s="15" t="s">
        <v>104</v>
      </c>
      <c r="AL4" s="15" t="s">
        <v>104</v>
      </c>
      <c r="AM4" s="15" t="s">
        <v>104</v>
      </c>
      <c r="AN4" s="15" t="s">
        <v>104</v>
      </c>
      <c r="AO4" s="15" t="s">
        <v>104</v>
      </c>
      <c r="AP4" s="15" t="s">
        <v>104</v>
      </c>
      <c r="AQ4" s="15" t="s">
        <v>104</v>
      </c>
      <c r="AR4" s="15" t="s">
        <v>104</v>
      </c>
      <c r="AS4" s="15" t="s">
        <v>104</v>
      </c>
      <c r="AT4" s="15" t="s">
        <v>104</v>
      </c>
      <c r="AU4" s="15" t="s">
        <v>134</v>
      </c>
      <c r="AV4" s="15" t="s">
        <v>104</v>
      </c>
      <c r="AW4" s="15" t="s">
        <v>104</v>
      </c>
      <c r="AX4" s="15" t="s">
        <v>104</v>
      </c>
      <c r="AY4" s="15" t="s">
        <v>104</v>
      </c>
      <c r="AZ4" s="15" t="s">
        <v>104</v>
      </c>
      <c r="BA4" s="15" t="s">
        <v>104</v>
      </c>
      <c r="BB4" s="15" t="s">
        <v>104</v>
      </c>
      <c r="BC4" s="15" t="s">
        <v>104</v>
      </c>
      <c r="BD4" s="15" t="s">
        <v>104</v>
      </c>
      <c r="BE4" s="15" t="s">
        <v>104</v>
      </c>
      <c r="BF4" s="15" t="s">
        <v>293</v>
      </c>
      <c r="BG4" s="15" t="s">
        <v>104</v>
      </c>
      <c r="BH4" s="15" t="s">
        <v>104</v>
      </c>
      <c r="BI4" s="15" t="s">
        <v>104</v>
      </c>
      <c r="BJ4" s="15" t="s">
        <v>104</v>
      </c>
      <c r="BK4" s="15" t="s">
        <v>104</v>
      </c>
      <c r="BL4" s="15" t="s">
        <v>104</v>
      </c>
      <c r="BM4" s="15" t="s">
        <v>104</v>
      </c>
      <c r="BN4" s="15" t="s">
        <v>105</v>
      </c>
      <c r="BO4" s="15" t="s">
        <v>104</v>
      </c>
      <c r="BP4" s="15" t="s">
        <v>104</v>
      </c>
      <c r="BQ4" s="15" t="s">
        <v>105</v>
      </c>
      <c r="BR4" s="15" t="s">
        <v>107</v>
      </c>
      <c r="BS4" s="15" t="s">
        <v>104</v>
      </c>
      <c r="BT4" s="15" t="s">
        <v>104</v>
      </c>
      <c r="BU4" s="15" t="s">
        <v>104</v>
      </c>
      <c r="BV4" s="15" t="s">
        <v>104</v>
      </c>
      <c r="BW4" s="15" t="s">
        <v>104</v>
      </c>
      <c r="BX4" s="15" t="s">
        <v>104</v>
      </c>
      <c r="BY4" s="15" t="s">
        <v>104</v>
      </c>
      <c r="BZ4" s="15" t="s">
        <v>104</v>
      </c>
      <c r="CA4" s="15" t="s">
        <v>104</v>
      </c>
      <c r="CB4" s="15" t="s">
        <v>104</v>
      </c>
      <c r="CC4" s="15" t="s">
        <v>104</v>
      </c>
      <c r="CD4" s="15" t="s">
        <v>104</v>
      </c>
      <c r="CE4" s="15" t="s">
        <v>320</v>
      </c>
      <c r="CF4" s="15" t="s">
        <v>104</v>
      </c>
      <c r="CG4" s="15" t="s">
        <v>108</v>
      </c>
      <c r="CH4" s="15" t="s">
        <v>104</v>
      </c>
      <c r="CI4" s="15" t="s">
        <v>104</v>
      </c>
      <c r="CJ4" s="15" t="s">
        <v>104</v>
      </c>
      <c r="CK4" s="15" t="s">
        <v>104</v>
      </c>
      <c r="CL4" s="15" t="s">
        <v>104</v>
      </c>
      <c r="CM4" s="15" t="s">
        <v>104</v>
      </c>
      <c r="CN4" s="15" t="s">
        <v>104</v>
      </c>
      <c r="CO4" s="15" t="s">
        <v>104</v>
      </c>
      <c r="CP4" s="15" t="s">
        <v>104</v>
      </c>
      <c r="CQ4" s="15" t="s">
        <v>104</v>
      </c>
      <c r="CR4" s="15" t="s">
        <v>109</v>
      </c>
      <c r="CS4" s="15" t="s">
        <v>104</v>
      </c>
      <c r="CT4" s="15" t="s">
        <v>104</v>
      </c>
      <c r="CU4" s="15" t="s">
        <v>104</v>
      </c>
      <c r="CV4" s="15" t="s">
        <v>104</v>
      </c>
      <c r="CW4" s="15" t="s">
        <v>104</v>
      </c>
      <c r="CX4" s="15" t="s">
        <v>104</v>
      </c>
      <c r="CY4" s="15" t="s">
        <v>104</v>
      </c>
      <c r="CZ4" s="15" t="s">
        <v>106</v>
      </c>
      <c r="DA4" s="15" t="s">
        <v>107</v>
      </c>
      <c r="DB4" s="15" t="s">
        <v>107</v>
      </c>
      <c r="DC4" s="15" t="s">
        <v>104</v>
      </c>
      <c r="DD4" s="15" t="s">
        <v>104</v>
      </c>
      <c r="DE4" s="15" t="s">
        <v>104</v>
      </c>
      <c r="DF4" s="15" t="s">
        <v>104</v>
      </c>
      <c r="DG4" s="15" t="s">
        <v>104</v>
      </c>
      <c r="DH4" s="15" t="s">
        <v>104</v>
      </c>
      <c r="DI4" s="15" t="s">
        <v>104</v>
      </c>
      <c r="DJ4" s="15" t="s">
        <v>104</v>
      </c>
      <c r="DK4" s="15" t="s">
        <v>104</v>
      </c>
      <c r="DL4" s="15" t="s">
        <v>104</v>
      </c>
      <c r="DM4" s="15" t="s">
        <v>104</v>
      </c>
      <c r="DN4" s="15" t="s">
        <v>104</v>
      </c>
      <c r="DO4" s="15" t="s">
        <v>104</v>
      </c>
      <c r="DP4" s="15" t="s">
        <v>104</v>
      </c>
      <c r="DQ4" s="15" t="s">
        <v>104</v>
      </c>
      <c r="DR4" s="15" t="s">
        <v>104</v>
      </c>
      <c r="DS4" s="15" t="s">
        <v>104</v>
      </c>
      <c r="DT4" s="15" t="s">
        <v>104</v>
      </c>
      <c r="DU4" s="15" t="s">
        <v>104</v>
      </c>
      <c r="DV4" s="15" t="s">
        <v>104</v>
      </c>
      <c r="DW4" s="15" t="s">
        <v>104</v>
      </c>
      <c r="DX4" s="15" t="s">
        <v>104</v>
      </c>
      <c r="DY4" s="15" t="s">
        <v>104</v>
      </c>
    </row>
    <row r="5" spans="1:129" s="11" customFormat="1" x14ac:dyDescent="0.2">
      <c r="A5" s="13"/>
      <c r="B5" s="14" t="s">
        <v>113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</row>
    <row r="6" spans="1:129" s="19" customFormat="1" x14ac:dyDescent="0.2">
      <c r="A6" s="17"/>
      <c r="B6" s="14" t="s">
        <v>114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</row>
    <row r="7" spans="1:129" s="29" customFormat="1" ht="22.8" customHeight="1" x14ac:dyDescent="0.2">
      <c r="A7" s="28"/>
      <c r="B7" s="14" t="s">
        <v>115</v>
      </c>
      <c r="C7" s="21" t="s">
        <v>5</v>
      </c>
      <c r="D7" s="21" t="s">
        <v>202</v>
      </c>
      <c r="E7" s="21" t="s">
        <v>203</v>
      </c>
      <c r="F7" s="21" t="s">
        <v>204</v>
      </c>
      <c r="G7" s="21" t="s">
        <v>227</v>
      </c>
      <c r="H7" s="21" t="s">
        <v>205</v>
      </c>
      <c r="I7" s="21" t="s">
        <v>46</v>
      </c>
      <c r="J7" s="21" t="s">
        <v>206</v>
      </c>
      <c r="K7" s="21" t="s">
        <v>275</v>
      </c>
      <c r="L7" s="21" t="s">
        <v>170</v>
      </c>
      <c r="M7" s="21" t="s">
        <v>72</v>
      </c>
      <c r="N7" s="21" t="s">
        <v>276</v>
      </c>
      <c r="O7" s="21" t="s">
        <v>7</v>
      </c>
      <c r="P7" s="21" t="s">
        <v>8</v>
      </c>
      <c r="Q7" s="21" t="s">
        <v>9</v>
      </c>
      <c r="R7" s="21" t="s">
        <v>67</v>
      </c>
      <c r="S7" s="21" t="s">
        <v>66</v>
      </c>
      <c r="T7" s="21" t="s">
        <v>10</v>
      </c>
      <c r="U7" s="21" t="s">
        <v>228</v>
      </c>
      <c r="V7" s="21" t="s">
        <v>229</v>
      </c>
      <c r="W7" s="21" t="s">
        <v>229</v>
      </c>
      <c r="X7" s="21" t="s">
        <v>230</v>
      </c>
      <c r="Y7" s="21" t="s">
        <v>231</v>
      </c>
      <c r="Z7" s="21" t="s">
        <v>233</v>
      </c>
      <c r="AA7" s="21" t="s">
        <v>235</v>
      </c>
      <c r="AB7" s="21" t="s">
        <v>11</v>
      </c>
      <c r="AC7" s="21" t="s">
        <v>339</v>
      </c>
      <c r="AD7" s="21" t="s">
        <v>1</v>
      </c>
      <c r="AE7" s="21" t="s">
        <v>69</v>
      </c>
      <c r="AF7" s="21" t="s">
        <v>12</v>
      </c>
      <c r="AG7" s="21" t="s">
        <v>277</v>
      </c>
      <c r="AH7" s="21" t="s">
        <v>278</v>
      </c>
      <c r="AI7" s="21" t="s">
        <v>279</v>
      </c>
      <c r="AJ7" s="21" t="s">
        <v>340</v>
      </c>
      <c r="AK7" s="21" t="s">
        <v>340</v>
      </c>
      <c r="AL7" s="21" t="s">
        <v>13</v>
      </c>
      <c r="AM7" s="21" t="s">
        <v>59</v>
      </c>
      <c r="AN7" s="21" t="s">
        <v>60</v>
      </c>
      <c r="AO7" s="21" t="s">
        <v>14</v>
      </c>
      <c r="AP7" s="21" t="s">
        <v>157</v>
      </c>
      <c r="AQ7" s="21" t="s">
        <v>236</v>
      </c>
      <c r="AR7" s="21" t="s">
        <v>237</v>
      </c>
      <c r="AS7" s="21" t="s">
        <v>77</v>
      </c>
      <c r="AT7" s="21" t="s">
        <v>78</v>
      </c>
      <c r="AU7" s="21" t="s">
        <v>15</v>
      </c>
      <c r="AV7" s="21" t="s">
        <v>238</v>
      </c>
      <c r="AW7" s="21" t="s">
        <v>239</v>
      </c>
      <c r="AX7" s="21" t="s">
        <v>16</v>
      </c>
      <c r="AY7" s="21" t="s">
        <v>17</v>
      </c>
      <c r="AZ7" s="21" t="s">
        <v>159</v>
      </c>
      <c r="BA7" s="21" t="s">
        <v>136</v>
      </c>
      <c r="BB7" s="21" t="s">
        <v>118</v>
      </c>
      <c r="BC7" s="21" t="s">
        <v>245</v>
      </c>
      <c r="BD7" s="21" t="s">
        <v>70</v>
      </c>
      <c r="BE7" s="21" t="s">
        <v>44</v>
      </c>
      <c r="BF7" s="21" t="s">
        <v>18</v>
      </c>
      <c r="BG7" s="21" t="s">
        <v>18</v>
      </c>
      <c r="BH7" s="21" t="s">
        <v>127</v>
      </c>
      <c r="BI7" s="21" t="s">
        <v>280</v>
      </c>
      <c r="BJ7" s="21" t="s">
        <v>246</v>
      </c>
      <c r="BK7" s="21" t="s">
        <v>341</v>
      </c>
      <c r="BL7" s="21" t="s">
        <v>344</v>
      </c>
      <c r="BM7" s="21" t="s">
        <v>351</v>
      </c>
      <c r="BN7" s="21" t="s">
        <v>247</v>
      </c>
      <c r="BO7" s="21" t="s">
        <v>343</v>
      </c>
      <c r="BP7" s="21" t="s">
        <v>45</v>
      </c>
      <c r="BQ7" s="21" t="s">
        <v>48</v>
      </c>
      <c r="BR7" s="21" t="s">
        <v>48</v>
      </c>
      <c r="BS7" s="21" t="s">
        <v>20</v>
      </c>
      <c r="BT7" s="21" t="s">
        <v>123</v>
      </c>
      <c r="BU7" s="21" t="s">
        <v>122</v>
      </c>
      <c r="BV7" s="21" t="s">
        <v>250</v>
      </c>
      <c r="BW7" s="21" t="s">
        <v>251</v>
      </c>
      <c r="BX7" s="21" t="s">
        <v>347</v>
      </c>
      <c r="BY7" s="21" t="s">
        <v>259</v>
      </c>
      <c r="BZ7" s="21" t="s">
        <v>345</v>
      </c>
      <c r="CA7" s="21" t="s">
        <v>22</v>
      </c>
      <c r="CB7" s="21" t="s">
        <v>23</v>
      </c>
      <c r="CC7" s="21" t="s">
        <v>252</v>
      </c>
      <c r="CD7" s="21" t="s">
        <v>281</v>
      </c>
      <c r="CE7" s="21" t="s">
        <v>253</v>
      </c>
      <c r="CF7" s="21" t="s">
        <v>24</v>
      </c>
      <c r="CG7" s="21" t="s">
        <v>24</v>
      </c>
      <c r="CH7" s="21" t="s">
        <v>25</v>
      </c>
      <c r="CI7" s="21" t="s">
        <v>121</v>
      </c>
      <c r="CJ7" s="21" t="s">
        <v>137</v>
      </c>
      <c r="CK7" s="21" t="s">
        <v>255</v>
      </c>
      <c r="CL7" s="21" t="s">
        <v>135</v>
      </c>
      <c r="CM7" s="21" t="s">
        <v>52</v>
      </c>
      <c r="CN7" s="21" t="s">
        <v>32</v>
      </c>
      <c r="CO7" s="21" t="s">
        <v>256</v>
      </c>
      <c r="CP7" s="21" t="s">
        <v>258</v>
      </c>
      <c r="CQ7" s="21" t="s">
        <v>62</v>
      </c>
      <c r="CR7" s="21" t="s">
        <v>26</v>
      </c>
      <c r="CS7" s="21" t="s">
        <v>27</v>
      </c>
      <c r="CT7" s="21" t="s">
        <v>260</v>
      </c>
      <c r="CU7" s="21" t="s">
        <v>262</v>
      </c>
      <c r="CV7" s="21" t="s">
        <v>68</v>
      </c>
      <c r="CW7" s="21" t="s">
        <v>28</v>
      </c>
      <c r="CX7" s="21" t="s">
        <v>73</v>
      </c>
      <c r="CY7" s="21" t="s">
        <v>29</v>
      </c>
      <c r="CZ7" s="21" t="s">
        <v>184</v>
      </c>
      <c r="DA7" s="21" t="s">
        <v>184</v>
      </c>
      <c r="DB7" s="21" t="s">
        <v>348</v>
      </c>
      <c r="DC7" s="21" t="s">
        <v>348</v>
      </c>
      <c r="DD7" s="21" t="s">
        <v>349</v>
      </c>
      <c r="DE7" s="21" t="s">
        <v>50</v>
      </c>
      <c r="DF7" s="21" t="s">
        <v>30</v>
      </c>
      <c r="DG7" s="21" t="s">
        <v>51</v>
      </c>
      <c r="DH7" s="21" t="s">
        <v>268</v>
      </c>
      <c r="DI7" s="21" t="s">
        <v>266</v>
      </c>
      <c r="DJ7" s="21" t="s">
        <v>267</v>
      </c>
      <c r="DK7" s="21" t="s">
        <v>74</v>
      </c>
      <c r="DL7" s="21" t="s">
        <v>52</v>
      </c>
      <c r="DM7" s="21" t="s">
        <v>31</v>
      </c>
      <c r="DN7" s="21" t="s">
        <v>2</v>
      </c>
      <c r="DO7" s="21" t="s">
        <v>33</v>
      </c>
      <c r="DP7" s="21" t="s">
        <v>55</v>
      </c>
      <c r="DQ7" s="21" t="s">
        <v>352</v>
      </c>
      <c r="DR7" s="21" t="s">
        <v>75</v>
      </c>
      <c r="DS7" s="21" t="s">
        <v>76</v>
      </c>
      <c r="DT7" s="21" t="s">
        <v>54</v>
      </c>
      <c r="DU7" s="21" t="s">
        <v>270</v>
      </c>
      <c r="DV7" s="21" t="s">
        <v>282</v>
      </c>
      <c r="DW7" s="21" t="s">
        <v>271</v>
      </c>
      <c r="DX7" s="21" t="s">
        <v>272</v>
      </c>
      <c r="DY7" s="21" t="s">
        <v>353</v>
      </c>
    </row>
    <row r="8" spans="1:129" x14ac:dyDescent="0.2">
      <c r="A8" s="23" t="s">
        <v>133</v>
      </c>
      <c r="B8" s="24"/>
    </row>
    <row r="9" spans="1:129" x14ac:dyDescent="0.2">
      <c r="A9" s="80" t="s">
        <v>318</v>
      </c>
      <c r="B9" s="24"/>
      <c r="C9" s="26">
        <v>2.8700787401574801</v>
      </c>
      <c r="D9" s="26" t="s">
        <v>297</v>
      </c>
      <c r="E9" s="26" t="s">
        <v>297</v>
      </c>
      <c r="F9" s="26" t="s">
        <v>297</v>
      </c>
      <c r="G9" s="26">
        <v>0.25333333333333335</v>
      </c>
      <c r="H9" s="26" t="s">
        <v>297</v>
      </c>
      <c r="I9" s="26" t="s">
        <v>297</v>
      </c>
      <c r="J9" s="26" t="s">
        <v>297</v>
      </c>
      <c r="K9" s="26" t="s">
        <v>297</v>
      </c>
      <c r="L9" s="26" t="s">
        <v>297</v>
      </c>
      <c r="M9" s="26" t="s">
        <v>297</v>
      </c>
      <c r="N9" s="26" t="s">
        <v>297</v>
      </c>
      <c r="O9" s="26" t="s">
        <v>297</v>
      </c>
      <c r="P9" s="26" t="s">
        <v>297</v>
      </c>
      <c r="Q9" s="26" t="s">
        <v>297</v>
      </c>
      <c r="R9" s="26">
        <v>5.0028735632183912</v>
      </c>
      <c r="S9" s="26" t="s">
        <v>297</v>
      </c>
      <c r="T9" s="26">
        <v>3.7298181818181817</v>
      </c>
      <c r="U9" s="26">
        <v>0.71068347710683477</v>
      </c>
      <c r="V9" s="26"/>
      <c r="W9" s="26">
        <v>39.749717514124292</v>
      </c>
      <c r="X9" s="26" t="s">
        <v>297</v>
      </c>
      <c r="Y9" s="26" t="s">
        <v>297</v>
      </c>
      <c r="Z9" s="26" t="s">
        <v>297</v>
      </c>
      <c r="AA9" s="26" t="s">
        <v>297</v>
      </c>
      <c r="AB9" s="26" t="s">
        <v>297</v>
      </c>
      <c r="AC9" s="26">
        <v>2.6742770167427703</v>
      </c>
      <c r="AD9" s="26">
        <v>0.17571999999999999</v>
      </c>
      <c r="AE9" s="26" t="s">
        <v>297</v>
      </c>
      <c r="AF9" s="26">
        <v>2.5513126491646778</v>
      </c>
      <c r="AG9" s="26" t="s">
        <v>297</v>
      </c>
      <c r="AH9" s="26" t="s">
        <v>297</v>
      </c>
      <c r="AI9" s="26" t="s">
        <v>297</v>
      </c>
      <c r="AJ9" s="26"/>
      <c r="AK9" s="26">
        <v>0.62474367737525627</v>
      </c>
      <c r="AL9" s="26" t="s">
        <v>297</v>
      </c>
      <c r="AM9" s="26" t="s">
        <v>297</v>
      </c>
      <c r="AN9" s="26" t="s">
        <v>297</v>
      </c>
      <c r="AO9" s="26" t="s">
        <v>297</v>
      </c>
      <c r="AP9" s="26" t="s">
        <v>297</v>
      </c>
      <c r="AQ9" s="26" t="s">
        <v>297</v>
      </c>
      <c r="AR9" s="26" t="s">
        <v>297</v>
      </c>
      <c r="AS9" s="26" t="s">
        <v>297</v>
      </c>
      <c r="AT9" s="26" t="s">
        <v>297</v>
      </c>
      <c r="AU9" s="26">
        <v>0.35940441553996233</v>
      </c>
      <c r="AV9" s="26" t="s">
        <v>297</v>
      </c>
      <c r="AW9" s="26" t="s">
        <v>297</v>
      </c>
      <c r="AX9" s="26" t="s">
        <v>297</v>
      </c>
      <c r="AY9" s="26">
        <v>0.3175807469450978</v>
      </c>
      <c r="AZ9" s="26" t="s">
        <v>297</v>
      </c>
      <c r="BA9" s="26" t="s">
        <v>297</v>
      </c>
      <c r="BB9" s="26" t="s">
        <v>297</v>
      </c>
      <c r="BC9" s="26" t="s">
        <v>297</v>
      </c>
      <c r="BD9" s="26" t="s">
        <v>297</v>
      </c>
      <c r="BE9" s="26" t="s">
        <v>297</v>
      </c>
      <c r="BF9" s="26">
        <v>14.285714285714286</v>
      </c>
      <c r="BG9" s="26"/>
      <c r="BH9" s="26" t="s">
        <v>297</v>
      </c>
      <c r="BI9" s="26" t="s">
        <v>297</v>
      </c>
      <c r="BJ9" s="26" t="s">
        <v>297</v>
      </c>
      <c r="BK9" s="26">
        <v>2.9895551257253383</v>
      </c>
      <c r="BL9" s="26" t="s">
        <v>297</v>
      </c>
      <c r="BM9" s="26" t="s">
        <v>297</v>
      </c>
      <c r="BN9" s="26" t="s">
        <v>297</v>
      </c>
      <c r="BO9" s="26" t="s">
        <v>297</v>
      </c>
      <c r="BP9" s="26" t="s">
        <v>297</v>
      </c>
      <c r="BQ9" s="26"/>
      <c r="BR9" s="26">
        <v>3.0473684210526316E-2</v>
      </c>
      <c r="BS9" s="26">
        <v>1.1718506998444791</v>
      </c>
      <c r="BT9" s="26" t="s">
        <v>297</v>
      </c>
      <c r="BU9" s="26" t="s">
        <v>297</v>
      </c>
      <c r="BV9" s="26" t="s">
        <v>297</v>
      </c>
      <c r="BW9" s="26">
        <v>1.3822843822843822</v>
      </c>
      <c r="BX9" s="26">
        <v>0.61999439932791933</v>
      </c>
      <c r="BY9" s="26" t="s">
        <v>297</v>
      </c>
      <c r="BZ9" s="26" t="s">
        <v>297</v>
      </c>
      <c r="CA9" s="26" t="s">
        <v>297</v>
      </c>
      <c r="CB9" s="26" t="s">
        <v>297</v>
      </c>
      <c r="CC9" s="26" t="s">
        <v>297</v>
      </c>
      <c r="CD9" s="26" t="s">
        <v>297</v>
      </c>
      <c r="CE9" s="26" t="s">
        <v>297</v>
      </c>
      <c r="CF9" s="26"/>
      <c r="CG9" s="26">
        <v>2.5617529880478087</v>
      </c>
      <c r="CH9" s="26" t="s">
        <v>297</v>
      </c>
      <c r="CI9" s="26" t="s">
        <v>297</v>
      </c>
      <c r="CJ9" s="26" t="s">
        <v>297</v>
      </c>
      <c r="CK9" s="26" t="s">
        <v>297</v>
      </c>
      <c r="CL9" s="26" t="s">
        <v>297</v>
      </c>
      <c r="CM9" s="26" t="s">
        <v>297</v>
      </c>
      <c r="CN9" s="26">
        <v>6.6728971962616823</v>
      </c>
      <c r="CO9" s="26">
        <v>0.6908212560386473</v>
      </c>
      <c r="CP9" s="26" t="s">
        <v>297</v>
      </c>
      <c r="CQ9" s="26" t="s">
        <v>297</v>
      </c>
      <c r="CR9" s="26">
        <v>0.33333333333333331</v>
      </c>
      <c r="CS9" s="26">
        <v>0.67340067340067344</v>
      </c>
      <c r="CT9" s="26" t="s">
        <v>297</v>
      </c>
      <c r="CU9" s="26" t="s">
        <v>297</v>
      </c>
      <c r="CV9" s="26" t="s">
        <v>297</v>
      </c>
      <c r="CW9" s="26">
        <v>0.90116966749901428</v>
      </c>
      <c r="CX9" s="26" t="s">
        <v>297</v>
      </c>
      <c r="CY9" s="26" t="s">
        <v>297</v>
      </c>
      <c r="CZ9" s="26"/>
      <c r="DA9" s="26">
        <v>4.784741144414169</v>
      </c>
      <c r="DB9" s="26" t="s">
        <v>297</v>
      </c>
      <c r="DC9" s="26" t="s">
        <v>297</v>
      </c>
      <c r="DD9" s="26" t="s">
        <v>297</v>
      </c>
      <c r="DE9" s="26" t="s">
        <v>297</v>
      </c>
      <c r="DF9" s="26">
        <v>2.2014309301045678</v>
      </c>
      <c r="DG9" s="26" t="s">
        <v>297</v>
      </c>
      <c r="DH9" s="26" t="s">
        <v>297</v>
      </c>
      <c r="DI9" s="26">
        <v>1.1172113289760348</v>
      </c>
      <c r="DJ9" s="26">
        <v>1.0982499999999999</v>
      </c>
      <c r="DK9" s="26" t="s">
        <v>297</v>
      </c>
      <c r="DL9" s="26" t="s">
        <v>297</v>
      </c>
      <c r="DM9" s="26" t="s">
        <v>297</v>
      </c>
      <c r="DN9" s="26">
        <v>0.6899995333426665</v>
      </c>
      <c r="DO9" s="26" t="s">
        <v>297</v>
      </c>
      <c r="DP9" s="26" t="s">
        <v>297</v>
      </c>
      <c r="DQ9" s="26" t="s">
        <v>297</v>
      </c>
      <c r="DR9" s="26" t="s">
        <v>297</v>
      </c>
      <c r="DS9" s="26" t="s">
        <v>297</v>
      </c>
      <c r="DT9" s="26" t="s">
        <v>297</v>
      </c>
      <c r="DU9" s="26">
        <v>34.838541666666664</v>
      </c>
      <c r="DV9" s="26" t="s">
        <v>297</v>
      </c>
      <c r="DW9" s="26" t="s">
        <v>297</v>
      </c>
      <c r="DX9" s="26" t="s">
        <v>297</v>
      </c>
      <c r="DY9" s="26" t="s">
        <v>297</v>
      </c>
    </row>
    <row r="10" spans="1:129" x14ac:dyDescent="0.2">
      <c r="A10" s="25" t="s">
        <v>298</v>
      </c>
      <c r="B10" s="24"/>
      <c r="C10" s="26">
        <v>2.4507772020725387</v>
      </c>
      <c r="D10" s="26" t="s">
        <v>297</v>
      </c>
      <c r="E10" s="26" t="s">
        <v>297</v>
      </c>
      <c r="F10" s="26" t="s">
        <v>297</v>
      </c>
      <c r="G10" s="26">
        <v>0.23702127659574468</v>
      </c>
      <c r="H10" s="26" t="s">
        <v>297</v>
      </c>
      <c r="I10" s="26" t="s">
        <v>297</v>
      </c>
      <c r="J10" s="26" t="s">
        <v>297</v>
      </c>
      <c r="K10" s="26" t="s">
        <v>297</v>
      </c>
      <c r="L10" s="26" t="s">
        <v>297</v>
      </c>
      <c r="M10" s="26" t="s">
        <v>297</v>
      </c>
      <c r="N10" s="26" t="s">
        <v>297</v>
      </c>
      <c r="O10" s="26" t="s">
        <v>297</v>
      </c>
      <c r="P10" s="26" t="s">
        <v>297</v>
      </c>
      <c r="Q10" s="26" t="s">
        <v>297</v>
      </c>
      <c r="R10" s="26">
        <v>4.2200303490136575</v>
      </c>
      <c r="S10" s="26" t="s">
        <v>297</v>
      </c>
      <c r="T10" s="26">
        <v>3.36012585812357</v>
      </c>
      <c r="U10" s="26">
        <v>0.70018856065367696</v>
      </c>
      <c r="V10" s="26"/>
      <c r="W10" s="26">
        <v>44.887411347517734</v>
      </c>
      <c r="X10" s="26" t="s">
        <v>297</v>
      </c>
      <c r="Y10" s="26" t="s">
        <v>297</v>
      </c>
      <c r="Z10" s="26" t="s">
        <v>297</v>
      </c>
      <c r="AA10" s="26" t="s">
        <v>297</v>
      </c>
      <c r="AB10" s="26" t="s">
        <v>297</v>
      </c>
      <c r="AC10" s="26">
        <v>3.4315352697095434</v>
      </c>
      <c r="AD10" s="26">
        <v>0.11019357812259947</v>
      </c>
      <c r="AE10" s="26" t="s">
        <v>297</v>
      </c>
      <c r="AF10" s="26">
        <v>3.0372469325510698</v>
      </c>
      <c r="AG10" s="26" t="s">
        <v>297</v>
      </c>
      <c r="AH10" s="26" t="s">
        <v>297</v>
      </c>
      <c r="AI10" s="26" t="s">
        <v>297</v>
      </c>
      <c r="AJ10" s="26">
        <v>0.84106529209621994</v>
      </c>
      <c r="AK10" s="26"/>
      <c r="AL10" s="26" t="s">
        <v>297</v>
      </c>
      <c r="AM10" s="26" t="s">
        <v>297</v>
      </c>
      <c r="AN10" s="26" t="s">
        <v>297</v>
      </c>
      <c r="AO10" s="26" t="s">
        <v>297</v>
      </c>
      <c r="AP10" s="26" t="s">
        <v>297</v>
      </c>
      <c r="AQ10" s="26" t="s">
        <v>297</v>
      </c>
      <c r="AR10" s="26" t="s">
        <v>297</v>
      </c>
      <c r="AS10" s="26" t="s">
        <v>297</v>
      </c>
      <c r="AT10" s="26" t="s">
        <v>297</v>
      </c>
      <c r="AU10" s="26">
        <v>0.16459266633482661</v>
      </c>
      <c r="AV10" s="26" t="s">
        <v>297</v>
      </c>
      <c r="AW10" s="26" t="s">
        <v>297</v>
      </c>
      <c r="AX10" s="26" t="s">
        <v>297</v>
      </c>
      <c r="AY10" s="26" t="s">
        <v>297</v>
      </c>
      <c r="AZ10" s="26" t="s">
        <v>297</v>
      </c>
      <c r="BA10" s="26" t="s">
        <v>297</v>
      </c>
      <c r="BB10" s="26" t="s">
        <v>297</v>
      </c>
      <c r="BC10" s="26" t="s">
        <v>297</v>
      </c>
      <c r="BD10" s="26" t="s">
        <v>297</v>
      </c>
      <c r="BE10" s="26" t="s">
        <v>297</v>
      </c>
      <c r="BF10" s="26">
        <v>16.875</v>
      </c>
      <c r="BG10" s="26"/>
      <c r="BH10" s="26" t="s">
        <v>297</v>
      </c>
      <c r="BI10" s="26" t="s">
        <v>297</v>
      </c>
      <c r="BJ10" s="26" t="s">
        <v>297</v>
      </c>
      <c r="BK10" s="26">
        <v>3.7631205673758861</v>
      </c>
      <c r="BL10" s="26" t="s">
        <v>297</v>
      </c>
      <c r="BM10" s="26" t="s">
        <v>297</v>
      </c>
      <c r="BN10" s="26" t="s">
        <v>297</v>
      </c>
      <c r="BO10" s="26" t="s">
        <v>297</v>
      </c>
      <c r="BP10" s="26" t="s">
        <v>297</v>
      </c>
      <c r="BQ10" s="26">
        <v>1.3170731707317073E-2</v>
      </c>
      <c r="BR10" s="26"/>
      <c r="BS10" s="26">
        <v>0.11552421445608213</v>
      </c>
      <c r="BT10" s="26" t="s">
        <v>297</v>
      </c>
      <c r="BU10" s="26" t="s">
        <v>297</v>
      </c>
      <c r="BV10" s="26" t="s">
        <v>297</v>
      </c>
      <c r="BW10" s="26">
        <v>2.9539170506912442</v>
      </c>
      <c r="BX10" s="26" t="s">
        <v>297</v>
      </c>
      <c r="BY10" s="26" t="s">
        <v>297</v>
      </c>
      <c r="BZ10" s="26" t="s">
        <v>297</v>
      </c>
      <c r="CA10" s="26" t="s">
        <v>297</v>
      </c>
      <c r="CB10" s="26" t="s">
        <v>297</v>
      </c>
      <c r="CC10" s="26" t="s">
        <v>297</v>
      </c>
      <c r="CD10" s="26" t="s">
        <v>297</v>
      </c>
      <c r="CE10" s="26" t="s">
        <v>297</v>
      </c>
      <c r="CF10" s="26"/>
      <c r="CG10" s="26">
        <v>2.6720000000000002</v>
      </c>
      <c r="CH10" s="26" t="s">
        <v>297</v>
      </c>
      <c r="CI10" s="26" t="s">
        <v>297</v>
      </c>
      <c r="CJ10" s="26" t="s">
        <v>297</v>
      </c>
      <c r="CK10" s="26" t="s">
        <v>297</v>
      </c>
      <c r="CL10" s="26" t="s">
        <v>297</v>
      </c>
      <c r="CM10" s="26" t="s">
        <v>297</v>
      </c>
      <c r="CN10" s="26">
        <v>3.8661165823795582</v>
      </c>
      <c r="CO10" s="26">
        <v>0.82678983833718245</v>
      </c>
      <c r="CP10" s="26" t="s">
        <v>297</v>
      </c>
      <c r="CQ10" s="26" t="s">
        <v>297</v>
      </c>
      <c r="CR10" s="26">
        <v>0.36</v>
      </c>
      <c r="CS10" s="26">
        <v>0.55582672361195851</v>
      </c>
      <c r="CT10" s="26" t="s">
        <v>297</v>
      </c>
      <c r="CU10" s="26" t="s">
        <v>297</v>
      </c>
      <c r="CV10" s="26" t="s">
        <v>297</v>
      </c>
      <c r="CW10" s="26">
        <v>0.92794096368108814</v>
      </c>
      <c r="CX10" s="26" t="s">
        <v>297</v>
      </c>
      <c r="CY10" s="26" t="s">
        <v>297</v>
      </c>
      <c r="CZ10" s="26">
        <v>0.46285714285714286</v>
      </c>
      <c r="DA10" s="26"/>
      <c r="DB10" s="26" t="s">
        <v>297</v>
      </c>
      <c r="DC10" s="26" t="s">
        <v>297</v>
      </c>
      <c r="DD10" s="26" t="s">
        <v>297</v>
      </c>
      <c r="DE10" s="26" t="s">
        <v>297</v>
      </c>
      <c r="DF10" s="26">
        <v>1.3313664596273291</v>
      </c>
      <c r="DG10" s="26" t="s">
        <v>297</v>
      </c>
      <c r="DH10" s="26" t="s">
        <v>297</v>
      </c>
      <c r="DI10" s="26">
        <v>1.3443983402489628</v>
      </c>
      <c r="DJ10" s="26">
        <v>0.94007763221737017</v>
      </c>
      <c r="DK10" s="26" t="s">
        <v>297</v>
      </c>
      <c r="DL10" s="26" t="s">
        <v>297</v>
      </c>
      <c r="DM10" s="26" t="s">
        <v>297</v>
      </c>
      <c r="DN10" s="26">
        <v>0.3661744966442953</v>
      </c>
      <c r="DO10" s="26" t="s">
        <v>297</v>
      </c>
      <c r="DP10" s="26" t="s">
        <v>297</v>
      </c>
      <c r="DQ10" s="26" t="s">
        <v>297</v>
      </c>
      <c r="DR10" s="26" t="s">
        <v>297</v>
      </c>
      <c r="DS10" s="26" t="s">
        <v>297</v>
      </c>
      <c r="DT10" s="26" t="s">
        <v>297</v>
      </c>
      <c r="DU10" s="26">
        <v>29.35823754789272</v>
      </c>
      <c r="DV10" s="26" t="s">
        <v>297</v>
      </c>
      <c r="DW10" s="26" t="s">
        <v>297</v>
      </c>
      <c r="DX10" s="26" t="s">
        <v>297</v>
      </c>
      <c r="DY10" s="26" t="s">
        <v>297</v>
      </c>
    </row>
    <row r="11" spans="1:129" x14ac:dyDescent="0.2">
      <c r="A11" s="25" t="s">
        <v>299</v>
      </c>
      <c r="B11" s="30"/>
      <c r="C11" s="26">
        <v>3.8679245283018866</v>
      </c>
      <c r="D11" s="26" t="s">
        <v>297</v>
      </c>
      <c r="E11" s="26" t="s">
        <v>297</v>
      </c>
      <c r="F11" s="26" t="s">
        <v>297</v>
      </c>
      <c r="G11" s="26">
        <v>0.20645833333333333</v>
      </c>
      <c r="H11" s="26" t="s">
        <v>297</v>
      </c>
      <c r="I11" s="26" t="s">
        <v>297</v>
      </c>
      <c r="J11" s="26" t="s">
        <v>297</v>
      </c>
      <c r="K11" s="26" t="s">
        <v>297</v>
      </c>
      <c r="L11" s="26" t="s">
        <v>297</v>
      </c>
      <c r="M11" s="26" t="s">
        <v>297</v>
      </c>
      <c r="N11" s="26" t="s">
        <v>297</v>
      </c>
      <c r="O11" s="26" t="s">
        <v>297</v>
      </c>
      <c r="P11" s="26" t="s">
        <v>297</v>
      </c>
      <c r="Q11" s="26" t="s">
        <v>297</v>
      </c>
      <c r="R11" s="26">
        <v>3.6749999999999998</v>
      </c>
      <c r="S11" s="26" t="s">
        <v>297</v>
      </c>
      <c r="T11" s="26">
        <v>2.5032941176470587</v>
      </c>
      <c r="U11" s="26">
        <v>0.82054054054054049</v>
      </c>
      <c r="V11" s="26"/>
      <c r="W11" s="26">
        <v>32.202903225806452</v>
      </c>
      <c r="X11" s="26" t="s">
        <v>297</v>
      </c>
      <c r="Y11" s="26" t="s">
        <v>297</v>
      </c>
      <c r="Z11" s="26" t="s">
        <v>297</v>
      </c>
      <c r="AA11" s="26" t="s">
        <v>297</v>
      </c>
      <c r="AB11" s="26" t="s">
        <v>297</v>
      </c>
      <c r="AC11" s="26">
        <v>2.7351724137931033</v>
      </c>
      <c r="AD11" s="26">
        <v>0.13676470588235295</v>
      </c>
      <c r="AE11" s="26" t="s">
        <v>297</v>
      </c>
      <c r="AF11" s="26">
        <v>0.54704225352112679</v>
      </c>
      <c r="AG11" s="26" t="s">
        <v>297</v>
      </c>
      <c r="AH11" s="26" t="s">
        <v>297</v>
      </c>
      <c r="AI11" s="26" t="s">
        <v>297</v>
      </c>
      <c r="AJ11" s="26"/>
      <c r="AK11" s="26">
        <v>0.34195121951219515</v>
      </c>
      <c r="AL11" s="26" t="s">
        <v>297</v>
      </c>
      <c r="AM11" s="26" t="s">
        <v>297</v>
      </c>
      <c r="AN11" s="26" t="s">
        <v>297</v>
      </c>
      <c r="AO11" s="26">
        <v>0.82042553191489365</v>
      </c>
      <c r="AP11" s="26" t="s">
        <v>297</v>
      </c>
      <c r="AQ11" s="26" t="s">
        <v>297</v>
      </c>
      <c r="AR11" s="26" t="s">
        <v>297</v>
      </c>
      <c r="AS11" s="26" t="s">
        <v>297</v>
      </c>
      <c r="AT11" s="26" t="s">
        <v>297</v>
      </c>
      <c r="AU11" s="26">
        <v>0.54716049382716048</v>
      </c>
      <c r="AV11" s="26" t="s">
        <v>297</v>
      </c>
      <c r="AW11" s="26" t="s">
        <v>297</v>
      </c>
      <c r="AX11" s="26" t="s">
        <v>297</v>
      </c>
      <c r="AY11" s="26">
        <v>0.43589285714285714</v>
      </c>
      <c r="AZ11" s="26" t="s">
        <v>297</v>
      </c>
      <c r="BA11" s="26" t="s">
        <v>297</v>
      </c>
      <c r="BB11" s="26" t="s">
        <v>297</v>
      </c>
      <c r="BC11" s="26" t="s">
        <v>297</v>
      </c>
      <c r="BD11" s="26" t="s">
        <v>297</v>
      </c>
      <c r="BE11" s="26" t="s">
        <v>297</v>
      </c>
      <c r="BF11" s="26">
        <v>17.100000000000001</v>
      </c>
      <c r="BG11" s="26"/>
      <c r="BH11" s="26" t="s">
        <v>297</v>
      </c>
      <c r="BI11" s="26" t="s">
        <v>297</v>
      </c>
      <c r="BJ11" s="26" t="s">
        <v>297</v>
      </c>
      <c r="BK11" s="26" t="s">
        <v>297</v>
      </c>
      <c r="BL11" s="26" t="s">
        <v>297</v>
      </c>
      <c r="BM11" s="26" t="s">
        <v>297</v>
      </c>
      <c r="BN11" s="26" t="s">
        <v>297</v>
      </c>
      <c r="BO11" s="26" t="s">
        <v>297</v>
      </c>
      <c r="BP11" s="26" t="s">
        <v>297</v>
      </c>
      <c r="BQ11" s="26"/>
      <c r="BR11" s="26">
        <v>2.7373493975903614E-2</v>
      </c>
      <c r="BS11" s="26">
        <v>0.86695278969957079</v>
      </c>
      <c r="BT11" s="26" t="s">
        <v>297</v>
      </c>
      <c r="BU11" s="26" t="s">
        <v>297</v>
      </c>
      <c r="BV11" s="26" t="s">
        <v>297</v>
      </c>
      <c r="BW11" s="26">
        <v>1.3054545454545454</v>
      </c>
      <c r="BX11" s="26">
        <v>0.54702222222222219</v>
      </c>
      <c r="BY11" s="26" t="s">
        <v>297</v>
      </c>
      <c r="BZ11" s="26" t="s">
        <v>297</v>
      </c>
      <c r="CA11" s="26" t="s">
        <v>297</v>
      </c>
      <c r="CB11" s="26" t="s">
        <v>297</v>
      </c>
      <c r="CC11" s="26" t="s">
        <v>297</v>
      </c>
      <c r="CD11" s="26" t="s">
        <v>297</v>
      </c>
      <c r="CE11" s="26" t="s">
        <v>297</v>
      </c>
      <c r="CF11" s="26"/>
      <c r="CG11" s="26">
        <v>2.7364341085271318</v>
      </c>
      <c r="CH11" s="26" t="s">
        <v>297</v>
      </c>
      <c r="CI11" s="26" t="s">
        <v>297</v>
      </c>
      <c r="CJ11" s="26" t="s">
        <v>297</v>
      </c>
      <c r="CK11" s="26" t="s">
        <v>297</v>
      </c>
      <c r="CL11" s="26" t="s">
        <v>297</v>
      </c>
      <c r="CM11" s="26" t="s">
        <v>297</v>
      </c>
      <c r="CN11" s="26">
        <v>2.7054393570230673</v>
      </c>
      <c r="CO11" s="26">
        <v>0.61554192229038851</v>
      </c>
      <c r="CP11" s="26" t="s">
        <v>297</v>
      </c>
      <c r="CQ11" s="26" t="s">
        <v>297</v>
      </c>
      <c r="CR11" s="26">
        <v>0.34210526315789475</v>
      </c>
      <c r="CS11" s="26">
        <v>1.1621212121212121</v>
      </c>
      <c r="CT11" s="26" t="s">
        <v>297</v>
      </c>
      <c r="CU11" s="26" t="s">
        <v>297</v>
      </c>
      <c r="CV11" s="26" t="s">
        <v>297</v>
      </c>
      <c r="CW11" s="26">
        <v>1.1282000000000001</v>
      </c>
      <c r="CX11" s="26" t="s">
        <v>297</v>
      </c>
      <c r="CY11" s="26" t="s">
        <v>297</v>
      </c>
      <c r="CZ11" s="26" t="s">
        <v>297</v>
      </c>
      <c r="DA11" s="26" t="s">
        <v>297</v>
      </c>
      <c r="DB11" s="26" t="s">
        <v>297</v>
      </c>
      <c r="DC11" s="26" t="s">
        <v>297</v>
      </c>
      <c r="DD11" s="26" t="s">
        <v>297</v>
      </c>
      <c r="DE11" s="26" t="s">
        <v>297</v>
      </c>
      <c r="DF11" s="26">
        <v>2.0507982583454281</v>
      </c>
      <c r="DG11" s="26" t="s">
        <v>297</v>
      </c>
      <c r="DH11" s="26">
        <v>1.6381418092909537</v>
      </c>
      <c r="DI11" s="26">
        <v>1.2308802308802309</v>
      </c>
      <c r="DJ11" s="26">
        <v>1.2305327868852458</v>
      </c>
      <c r="DK11" s="26" t="s">
        <v>297</v>
      </c>
      <c r="DL11" s="26" t="s">
        <v>297</v>
      </c>
      <c r="DM11" s="26" t="s">
        <v>297</v>
      </c>
      <c r="DN11" s="26">
        <v>0.82051282051282048</v>
      </c>
      <c r="DO11" s="26" t="s">
        <v>297</v>
      </c>
      <c r="DP11" s="26" t="s">
        <v>297</v>
      </c>
      <c r="DQ11" s="26" t="s">
        <v>297</v>
      </c>
      <c r="DR11" s="26" t="s">
        <v>297</v>
      </c>
      <c r="DS11" s="26" t="s">
        <v>297</v>
      </c>
      <c r="DT11" s="26" t="s">
        <v>297</v>
      </c>
      <c r="DU11" s="26">
        <v>22.792134831460675</v>
      </c>
      <c r="DV11" s="26" t="s">
        <v>297</v>
      </c>
      <c r="DW11" s="26" t="s">
        <v>297</v>
      </c>
      <c r="DX11" s="26" t="s">
        <v>297</v>
      </c>
      <c r="DY11" s="26" t="s">
        <v>297</v>
      </c>
    </row>
    <row r="12" spans="1:129" x14ac:dyDescent="0.2">
      <c r="A12" s="25" t="s">
        <v>319</v>
      </c>
      <c r="B12" s="30"/>
      <c r="C12" s="26">
        <v>2.3846153846153846</v>
      </c>
      <c r="D12" s="26" t="s">
        <v>297</v>
      </c>
      <c r="E12" s="26" t="s">
        <v>297</v>
      </c>
      <c r="F12" s="26" t="s">
        <v>297</v>
      </c>
      <c r="G12" s="26">
        <v>0.23075000000000001</v>
      </c>
      <c r="H12" s="26" t="s">
        <v>297</v>
      </c>
      <c r="I12" s="26" t="s">
        <v>297</v>
      </c>
      <c r="J12" s="26" t="s">
        <v>297</v>
      </c>
      <c r="K12" s="26" t="s">
        <v>297</v>
      </c>
      <c r="L12" s="26" t="s">
        <v>297</v>
      </c>
      <c r="M12" s="26" t="s">
        <v>297</v>
      </c>
      <c r="N12" s="26" t="s">
        <v>297</v>
      </c>
      <c r="O12" s="26" t="s">
        <v>297</v>
      </c>
      <c r="P12" s="26" t="s">
        <v>297</v>
      </c>
      <c r="Q12" s="26" t="s">
        <v>297</v>
      </c>
      <c r="R12" s="26">
        <v>3.6920000000000002</v>
      </c>
      <c r="S12" s="26" t="s">
        <v>297</v>
      </c>
      <c r="T12" s="26">
        <v>2.3565079365079367</v>
      </c>
      <c r="U12" s="26">
        <v>0.92320000000000002</v>
      </c>
      <c r="V12" s="26"/>
      <c r="W12" s="26">
        <v>36.226874391431352</v>
      </c>
      <c r="X12" s="26" t="s">
        <v>297</v>
      </c>
      <c r="Y12" s="26" t="s">
        <v>297</v>
      </c>
      <c r="Z12" s="26" t="s">
        <v>297</v>
      </c>
      <c r="AA12" s="26" t="s">
        <v>297</v>
      </c>
      <c r="AB12" s="26" t="s">
        <v>297</v>
      </c>
      <c r="AC12" s="26">
        <v>3.077</v>
      </c>
      <c r="AD12" s="26">
        <v>0.15386046511627907</v>
      </c>
      <c r="AE12" s="26" t="s">
        <v>297</v>
      </c>
      <c r="AF12" s="26">
        <v>0.6152727272727273</v>
      </c>
      <c r="AG12" s="26" t="s">
        <v>297</v>
      </c>
      <c r="AH12" s="26" t="s">
        <v>297</v>
      </c>
      <c r="AI12" s="26" t="s">
        <v>297</v>
      </c>
      <c r="AJ12" s="26"/>
      <c r="AK12" s="26">
        <v>0.38461538461538464</v>
      </c>
      <c r="AL12" s="26" t="s">
        <v>297</v>
      </c>
      <c r="AM12" s="26" t="s">
        <v>297</v>
      </c>
      <c r="AN12" s="26" t="s">
        <v>297</v>
      </c>
      <c r="AO12" s="26">
        <v>0.92319353208691257</v>
      </c>
      <c r="AP12" s="26" t="s">
        <v>297</v>
      </c>
      <c r="AQ12" s="26" t="s">
        <v>297</v>
      </c>
      <c r="AR12" s="26" t="s">
        <v>297</v>
      </c>
      <c r="AS12" s="26" t="s">
        <v>297</v>
      </c>
      <c r="AT12" s="26" t="s">
        <v>297</v>
      </c>
      <c r="AU12" s="26">
        <v>0.61544827586206896</v>
      </c>
      <c r="AV12" s="26" t="s">
        <v>297</v>
      </c>
      <c r="AW12" s="26" t="s">
        <v>297</v>
      </c>
      <c r="AX12" s="26" t="s">
        <v>297</v>
      </c>
      <c r="AY12" s="26">
        <v>0.48685232067510548</v>
      </c>
      <c r="AZ12" s="26" t="s">
        <v>297</v>
      </c>
      <c r="BA12" s="26" t="s">
        <v>297</v>
      </c>
      <c r="BB12" s="26" t="s">
        <v>297</v>
      </c>
      <c r="BC12" s="26" t="s">
        <v>297</v>
      </c>
      <c r="BD12" s="26" t="s">
        <v>297</v>
      </c>
      <c r="BE12" s="26" t="s">
        <v>297</v>
      </c>
      <c r="BF12" s="26">
        <v>19.224137931034484</v>
      </c>
      <c r="BG12" s="26"/>
      <c r="BH12" s="26" t="s">
        <v>297</v>
      </c>
      <c r="BI12" s="26" t="s">
        <v>297</v>
      </c>
      <c r="BJ12" s="26" t="s">
        <v>297</v>
      </c>
      <c r="BK12" s="26" t="s">
        <v>297</v>
      </c>
      <c r="BL12" s="26" t="s">
        <v>297</v>
      </c>
      <c r="BM12" s="26" t="s">
        <v>297</v>
      </c>
      <c r="BN12" s="26" t="s">
        <v>297</v>
      </c>
      <c r="BO12" s="26" t="s">
        <v>297</v>
      </c>
      <c r="BP12" s="26" t="s">
        <v>297</v>
      </c>
      <c r="BQ12" s="26"/>
      <c r="BR12" s="26">
        <v>3.0784313725490196E-2</v>
      </c>
      <c r="BS12" s="26">
        <v>1.1968253968253968</v>
      </c>
      <c r="BT12" s="26" t="s">
        <v>297</v>
      </c>
      <c r="BU12" s="26" t="s">
        <v>297</v>
      </c>
      <c r="BV12" s="26" t="s">
        <v>297</v>
      </c>
      <c r="BW12" s="26">
        <v>1.5564924114671164</v>
      </c>
      <c r="BX12" s="26">
        <v>0.63586666666666669</v>
      </c>
      <c r="BY12" s="26" t="s">
        <v>297</v>
      </c>
      <c r="BZ12" s="26" t="s">
        <v>297</v>
      </c>
      <c r="CA12" s="26" t="s">
        <v>297</v>
      </c>
      <c r="CB12" s="26" t="s">
        <v>297</v>
      </c>
      <c r="CC12" s="26" t="s">
        <v>297</v>
      </c>
      <c r="CD12" s="26" t="s">
        <v>297</v>
      </c>
      <c r="CE12" s="26" t="s">
        <v>297</v>
      </c>
      <c r="CF12" s="26"/>
      <c r="CG12" s="26">
        <v>3.0760000000000001</v>
      </c>
      <c r="CH12" s="26" t="s">
        <v>297</v>
      </c>
      <c r="CI12" s="26" t="s">
        <v>297</v>
      </c>
      <c r="CJ12" s="26" t="s">
        <v>297</v>
      </c>
      <c r="CK12" s="26" t="s">
        <v>297</v>
      </c>
      <c r="CL12" s="26" t="s">
        <v>297</v>
      </c>
      <c r="CM12" s="26" t="s">
        <v>297</v>
      </c>
      <c r="CN12" s="26">
        <v>2.9416400860470291</v>
      </c>
      <c r="CO12" s="26">
        <v>0.76923076923076927</v>
      </c>
      <c r="CP12" s="26" t="s">
        <v>297</v>
      </c>
      <c r="CQ12" s="26" t="s">
        <v>297</v>
      </c>
      <c r="CR12" s="26">
        <v>0.38468750000000002</v>
      </c>
      <c r="CS12" s="26">
        <v>1.3086269744835966</v>
      </c>
      <c r="CT12" s="26" t="s">
        <v>297</v>
      </c>
      <c r="CU12" s="26" t="s">
        <v>297</v>
      </c>
      <c r="CV12" s="26" t="s">
        <v>297</v>
      </c>
      <c r="CW12" s="26">
        <v>1.8463273195876289</v>
      </c>
      <c r="CX12" s="26" t="s">
        <v>297</v>
      </c>
      <c r="CY12" s="26" t="s">
        <v>297</v>
      </c>
      <c r="CZ12" s="26" t="s">
        <v>297</v>
      </c>
      <c r="DA12" s="26" t="s">
        <v>297</v>
      </c>
      <c r="DB12" s="26" t="s">
        <v>297</v>
      </c>
      <c r="DC12" s="26" t="s">
        <v>297</v>
      </c>
      <c r="DD12" s="26" t="s">
        <v>297</v>
      </c>
      <c r="DE12" s="26" t="s">
        <v>297</v>
      </c>
      <c r="DF12" s="26">
        <v>2.3075000000000001</v>
      </c>
      <c r="DG12" s="26" t="s">
        <v>297</v>
      </c>
      <c r="DH12" s="26">
        <v>1.5385714285714285</v>
      </c>
      <c r="DI12" s="26">
        <v>1.1616</v>
      </c>
      <c r="DJ12" s="26">
        <v>1.0768197088465845</v>
      </c>
      <c r="DK12" s="26" t="s">
        <v>297</v>
      </c>
      <c r="DL12" s="26" t="s">
        <v>297</v>
      </c>
      <c r="DM12" s="26" t="s">
        <v>297</v>
      </c>
      <c r="DN12" s="26">
        <v>0.76924137931034486</v>
      </c>
      <c r="DO12" s="26" t="s">
        <v>297</v>
      </c>
      <c r="DP12" s="26" t="s">
        <v>297</v>
      </c>
      <c r="DQ12" s="26" t="s">
        <v>297</v>
      </c>
      <c r="DR12" s="26" t="s">
        <v>297</v>
      </c>
      <c r="DS12" s="26" t="s">
        <v>297</v>
      </c>
      <c r="DT12" s="26" t="s">
        <v>297</v>
      </c>
      <c r="DU12" s="26">
        <v>18.333333333333332</v>
      </c>
      <c r="DV12" s="26" t="s">
        <v>297</v>
      </c>
      <c r="DW12" s="26" t="s">
        <v>297</v>
      </c>
      <c r="DX12" s="26" t="s">
        <v>297</v>
      </c>
      <c r="DY12" s="26" t="s">
        <v>297</v>
      </c>
    </row>
    <row r="13" spans="1:129" x14ac:dyDescent="0.2">
      <c r="A13" s="25" t="s">
        <v>300</v>
      </c>
      <c r="B13" s="30"/>
      <c r="C13" s="26" t="s">
        <v>297</v>
      </c>
      <c r="D13" s="26" t="s">
        <v>297</v>
      </c>
      <c r="E13" s="26" t="s">
        <v>297</v>
      </c>
      <c r="F13" s="26" t="s">
        <v>297</v>
      </c>
      <c r="G13" s="26" t="s">
        <v>297</v>
      </c>
      <c r="H13" s="26" t="s">
        <v>297</v>
      </c>
      <c r="I13" s="26" t="s">
        <v>297</v>
      </c>
      <c r="J13" s="26" t="s">
        <v>297</v>
      </c>
      <c r="K13" s="26" t="s">
        <v>297</v>
      </c>
      <c r="L13" s="26" t="s">
        <v>297</v>
      </c>
      <c r="M13" s="26" t="s">
        <v>297</v>
      </c>
      <c r="N13" s="26" t="s">
        <v>297</v>
      </c>
      <c r="O13" s="26" t="s">
        <v>297</v>
      </c>
      <c r="P13" s="26" t="s">
        <v>297</v>
      </c>
      <c r="Q13" s="26" t="s">
        <v>297</v>
      </c>
      <c r="R13" s="26">
        <v>3.5710526315789473</v>
      </c>
      <c r="S13" s="26" t="s">
        <v>297</v>
      </c>
      <c r="T13" s="26">
        <v>4.2857142857142856</v>
      </c>
      <c r="U13" s="26">
        <v>0.85706492089470809</v>
      </c>
      <c r="V13" s="26">
        <v>7.5747071858182968</v>
      </c>
      <c r="W13" s="26"/>
      <c r="X13" s="26" t="s">
        <v>297</v>
      </c>
      <c r="Y13" s="26" t="s">
        <v>297</v>
      </c>
      <c r="Z13" s="26" t="s">
        <v>297</v>
      </c>
      <c r="AA13" s="26" t="s">
        <v>297</v>
      </c>
      <c r="AB13" s="26" t="s">
        <v>297</v>
      </c>
      <c r="AC13" s="26">
        <v>2.5720064724919092</v>
      </c>
      <c r="AD13" s="26">
        <v>0.14287272727272726</v>
      </c>
      <c r="AE13" s="26" t="s">
        <v>297</v>
      </c>
      <c r="AF13" s="26">
        <v>0.57146666666666668</v>
      </c>
      <c r="AG13" s="26" t="s">
        <v>297</v>
      </c>
      <c r="AH13" s="26" t="s">
        <v>297</v>
      </c>
      <c r="AI13" s="26" t="s">
        <v>297</v>
      </c>
      <c r="AJ13" s="26"/>
      <c r="AK13" s="26">
        <v>0.35725000000000001</v>
      </c>
      <c r="AL13" s="26" t="s">
        <v>297</v>
      </c>
      <c r="AM13" s="26" t="s">
        <v>297</v>
      </c>
      <c r="AN13" s="26" t="s">
        <v>297</v>
      </c>
      <c r="AO13" s="26">
        <v>0.85729193842942863</v>
      </c>
      <c r="AP13" s="26" t="s">
        <v>297</v>
      </c>
      <c r="AQ13" s="26" t="s">
        <v>297</v>
      </c>
      <c r="AR13" s="26" t="s">
        <v>297</v>
      </c>
      <c r="AS13" s="26" t="s">
        <v>297</v>
      </c>
      <c r="AT13" s="26" t="s">
        <v>297</v>
      </c>
      <c r="AU13" s="26">
        <v>0.5714285714285714</v>
      </c>
      <c r="AV13" s="26" t="s">
        <v>297</v>
      </c>
      <c r="AW13" s="26" t="s">
        <v>297</v>
      </c>
      <c r="AX13" s="26" t="s">
        <v>297</v>
      </c>
      <c r="AY13" s="26">
        <v>0.41405726634251755</v>
      </c>
      <c r="AZ13" s="26" t="s">
        <v>297</v>
      </c>
      <c r="BA13" s="26" t="s">
        <v>297</v>
      </c>
      <c r="BB13" s="26" t="s">
        <v>297</v>
      </c>
      <c r="BC13" s="26" t="s">
        <v>297</v>
      </c>
      <c r="BD13" s="26" t="s">
        <v>297</v>
      </c>
      <c r="BE13" s="26" t="s">
        <v>297</v>
      </c>
      <c r="BF13" s="26">
        <v>17.587301587301589</v>
      </c>
      <c r="BG13" s="26"/>
      <c r="BH13" s="26" t="s">
        <v>297</v>
      </c>
      <c r="BI13" s="26" t="s">
        <v>297</v>
      </c>
      <c r="BJ13" s="26" t="s">
        <v>297</v>
      </c>
      <c r="BK13" s="26" t="s">
        <v>297</v>
      </c>
      <c r="BL13" s="26" t="s">
        <v>297</v>
      </c>
      <c r="BM13" s="26">
        <v>0.8571428571428571</v>
      </c>
      <c r="BN13" s="26" t="s">
        <v>297</v>
      </c>
      <c r="BO13" s="26" t="s">
        <v>297</v>
      </c>
      <c r="BP13" s="26" t="s">
        <v>297</v>
      </c>
      <c r="BQ13" s="26"/>
      <c r="BR13" s="26">
        <v>2.8571428571428571E-2</v>
      </c>
      <c r="BS13" s="26">
        <v>1.2494117647058824</v>
      </c>
      <c r="BT13" s="26" t="s">
        <v>297</v>
      </c>
      <c r="BU13" s="26" t="s">
        <v>297</v>
      </c>
      <c r="BV13" s="26" t="s">
        <v>297</v>
      </c>
      <c r="BW13" s="26">
        <v>2.4093023255813955</v>
      </c>
      <c r="BX13" s="26">
        <v>0.62895522388059699</v>
      </c>
      <c r="BY13" s="26" t="s">
        <v>297</v>
      </c>
      <c r="BZ13" s="26" t="s">
        <v>297</v>
      </c>
      <c r="CA13" s="26" t="s">
        <v>297</v>
      </c>
      <c r="CB13" s="26" t="s">
        <v>297</v>
      </c>
      <c r="CC13" s="26" t="s">
        <v>297</v>
      </c>
      <c r="CD13" s="26" t="s">
        <v>297</v>
      </c>
      <c r="CE13" s="26" t="s">
        <v>297</v>
      </c>
      <c r="CF13" s="26"/>
      <c r="CG13" s="26">
        <v>3.5714285714285716</v>
      </c>
      <c r="CH13" s="26" t="s">
        <v>297</v>
      </c>
      <c r="CI13" s="26" t="s">
        <v>297</v>
      </c>
      <c r="CJ13" s="26" t="s">
        <v>297</v>
      </c>
      <c r="CK13" s="26" t="s">
        <v>297</v>
      </c>
      <c r="CL13" s="26" t="s">
        <v>297</v>
      </c>
      <c r="CM13" s="26" t="s">
        <v>297</v>
      </c>
      <c r="CN13" s="26">
        <v>4.0394042232277529</v>
      </c>
      <c r="CO13" s="26">
        <v>0.85726495726495722</v>
      </c>
      <c r="CP13" s="26" t="s">
        <v>297</v>
      </c>
      <c r="CQ13" s="26" t="s">
        <v>297</v>
      </c>
      <c r="CR13" s="26">
        <v>0.42849999999999999</v>
      </c>
      <c r="CS13" s="26">
        <v>1.2855133614627285</v>
      </c>
      <c r="CT13" s="26" t="s">
        <v>297</v>
      </c>
      <c r="CU13" s="26" t="s">
        <v>297</v>
      </c>
      <c r="CV13" s="26" t="s">
        <v>297</v>
      </c>
      <c r="CW13" s="26">
        <v>1.7856060606060606</v>
      </c>
      <c r="CX13" s="26" t="s">
        <v>297</v>
      </c>
      <c r="CY13" s="26" t="s">
        <v>297</v>
      </c>
      <c r="CZ13" s="26">
        <v>0.71454545454545459</v>
      </c>
      <c r="DA13" s="26"/>
      <c r="DB13" s="26" t="s">
        <v>297</v>
      </c>
      <c r="DC13" s="26" t="s">
        <v>297</v>
      </c>
      <c r="DD13" s="26" t="s">
        <v>297</v>
      </c>
      <c r="DE13" s="26" t="s">
        <v>297</v>
      </c>
      <c r="DF13" s="26">
        <v>1.7857142857142858</v>
      </c>
      <c r="DG13" s="26" t="s">
        <v>297</v>
      </c>
      <c r="DH13" s="26">
        <v>1.0715197956577267</v>
      </c>
      <c r="DI13" s="26">
        <v>1.0714545454545454</v>
      </c>
      <c r="DJ13" s="26">
        <v>0.96417445482866049</v>
      </c>
      <c r="DK13" s="26" t="s">
        <v>297</v>
      </c>
      <c r="DL13" s="26" t="s">
        <v>297</v>
      </c>
      <c r="DM13" s="26">
        <v>1.2864864864864864</v>
      </c>
      <c r="DN13" s="26">
        <v>0.71430769230769231</v>
      </c>
      <c r="DO13" s="26" t="s">
        <v>297</v>
      </c>
      <c r="DP13" s="26" t="s">
        <v>297</v>
      </c>
      <c r="DQ13" s="26">
        <v>0.17862068965517242</v>
      </c>
      <c r="DR13" s="26" t="s">
        <v>297</v>
      </c>
      <c r="DS13" s="26" t="s">
        <v>297</v>
      </c>
      <c r="DT13" s="26" t="s">
        <v>297</v>
      </c>
      <c r="DU13" s="26">
        <v>23.808333333333334</v>
      </c>
      <c r="DV13" s="26" t="s">
        <v>297</v>
      </c>
      <c r="DW13" s="26" t="s">
        <v>297</v>
      </c>
      <c r="DX13" s="26" t="s">
        <v>297</v>
      </c>
      <c r="DY13" s="26" t="s">
        <v>297</v>
      </c>
    </row>
    <row r="14" spans="1:129" x14ac:dyDescent="0.2">
      <c r="A14" s="25" t="s">
        <v>301</v>
      </c>
      <c r="C14" s="26" t="s">
        <v>297</v>
      </c>
      <c r="D14" s="26" t="s">
        <v>297</v>
      </c>
      <c r="E14" s="26" t="s">
        <v>297</v>
      </c>
      <c r="F14" s="26" t="s">
        <v>297</v>
      </c>
      <c r="G14" s="26">
        <v>0.15625</v>
      </c>
      <c r="H14" s="26" t="s">
        <v>297</v>
      </c>
      <c r="I14" s="26" t="s">
        <v>297</v>
      </c>
      <c r="J14" s="26" t="s">
        <v>297</v>
      </c>
      <c r="K14" s="26" t="s">
        <v>297</v>
      </c>
      <c r="L14" s="26" t="s">
        <v>297</v>
      </c>
      <c r="M14" s="26" t="s">
        <v>297</v>
      </c>
      <c r="N14" s="26" t="s">
        <v>297</v>
      </c>
      <c r="O14" s="26">
        <v>25</v>
      </c>
      <c r="P14" s="26" t="s">
        <v>297</v>
      </c>
      <c r="Q14" s="26" t="s">
        <v>297</v>
      </c>
      <c r="R14" s="26">
        <v>3.1245454545454545</v>
      </c>
      <c r="S14" s="26">
        <v>0.81168831168831168</v>
      </c>
      <c r="T14" s="26">
        <v>2.9820000000000002</v>
      </c>
      <c r="U14" s="26">
        <v>0.74981818181818183</v>
      </c>
      <c r="V14" s="26">
        <v>7.2751754385964915</v>
      </c>
      <c r="W14" s="26"/>
      <c r="X14" s="26" t="s">
        <v>297</v>
      </c>
      <c r="Y14" s="26" t="s">
        <v>297</v>
      </c>
      <c r="Z14" s="26" t="s">
        <v>297</v>
      </c>
      <c r="AA14" s="26" t="s">
        <v>297</v>
      </c>
      <c r="AB14" s="26" t="s">
        <v>297</v>
      </c>
      <c r="AC14" s="26">
        <v>2.2497777777777777</v>
      </c>
      <c r="AD14" s="26">
        <v>0.12647619047619046</v>
      </c>
      <c r="AE14" s="26" t="s">
        <v>297</v>
      </c>
      <c r="AF14" s="26">
        <v>0.47062500000000002</v>
      </c>
      <c r="AG14" s="26" t="s">
        <v>297</v>
      </c>
      <c r="AH14" s="26" t="s">
        <v>297</v>
      </c>
      <c r="AI14" s="26" t="s">
        <v>297</v>
      </c>
      <c r="AJ14" s="26"/>
      <c r="AK14" s="26">
        <v>0.40625</v>
      </c>
      <c r="AL14" s="26" t="s">
        <v>297</v>
      </c>
      <c r="AM14" s="26" t="s">
        <v>297</v>
      </c>
      <c r="AN14" s="26" t="s">
        <v>297</v>
      </c>
      <c r="AO14" s="26">
        <v>0.81269349845201233</v>
      </c>
      <c r="AP14" s="26" t="s">
        <v>297</v>
      </c>
      <c r="AQ14" s="26" t="s">
        <v>297</v>
      </c>
      <c r="AR14" s="26" t="s">
        <v>297</v>
      </c>
      <c r="AS14" s="26" t="s">
        <v>297</v>
      </c>
      <c r="AT14" s="26" t="s">
        <v>297</v>
      </c>
      <c r="AU14" s="26">
        <v>0.4375</v>
      </c>
      <c r="AV14" s="26" t="s">
        <v>297</v>
      </c>
      <c r="AW14" s="26" t="s">
        <v>297</v>
      </c>
      <c r="AX14" s="26" t="s">
        <v>297</v>
      </c>
      <c r="AY14" s="26">
        <v>0.3516260162601626</v>
      </c>
      <c r="AZ14" s="26" t="s">
        <v>297</v>
      </c>
      <c r="BA14" s="26" t="s">
        <v>297</v>
      </c>
      <c r="BB14" s="26" t="s">
        <v>297</v>
      </c>
      <c r="BC14" s="26" t="s">
        <v>297</v>
      </c>
      <c r="BD14" s="26" t="s">
        <v>297</v>
      </c>
      <c r="BE14" s="26" t="s">
        <v>297</v>
      </c>
      <c r="BF14" s="26">
        <v>15.611111111111111</v>
      </c>
      <c r="BG14" s="26"/>
      <c r="BH14" s="26" t="s">
        <v>297</v>
      </c>
      <c r="BI14" s="26" t="s">
        <v>297</v>
      </c>
      <c r="BJ14" s="26" t="s">
        <v>297</v>
      </c>
      <c r="BK14" s="26" t="s">
        <v>297</v>
      </c>
      <c r="BL14" s="26" t="s">
        <v>297</v>
      </c>
      <c r="BM14" s="26" t="s">
        <v>297</v>
      </c>
      <c r="BN14" s="26" t="s">
        <v>297</v>
      </c>
      <c r="BO14" s="26" t="s">
        <v>297</v>
      </c>
      <c r="BP14" s="26" t="s">
        <v>297</v>
      </c>
      <c r="BQ14" s="26"/>
      <c r="BR14" s="26" t="s">
        <v>297</v>
      </c>
      <c r="BS14" s="26">
        <v>1.0714285714285714</v>
      </c>
      <c r="BT14" s="26" t="s">
        <v>297</v>
      </c>
      <c r="BU14" s="26" t="s">
        <v>297</v>
      </c>
      <c r="BV14" s="26" t="s">
        <v>297</v>
      </c>
      <c r="BW14" s="26">
        <v>2.2485714285714287</v>
      </c>
      <c r="BX14" s="26">
        <v>0.59609120521172643</v>
      </c>
      <c r="BY14" s="26" t="s">
        <v>297</v>
      </c>
      <c r="BZ14" s="26" t="s">
        <v>297</v>
      </c>
      <c r="CA14" s="26" t="s">
        <v>297</v>
      </c>
      <c r="CB14" s="26" t="s">
        <v>297</v>
      </c>
      <c r="CC14" s="26" t="s">
        <v>297</v>
      </c>
      <c r="CD14" s="26" t="s">
        <v>297</v>
      </c>
      <c r="CE14" s="26" t="s">
        <v>297</v>
      </c>
      <c r="CF14" s="26"/>
      <c r="CG14" s="26">
        <v>3.1227272727272726</v>
      </c>
      <c r="CH14" s="26" t="s">
        <v>297</v>
      </c>
      <c r="CI14" s="26" t="s">
        <v>297</v>
      </c>
      <c r="CJ14" s="26" t="s">
        <v>297</v>
      </c>
      <c r="CK14" s="26" t="s">
        <v>297</v>
      </c>
      <c r="CL14" s="26" t="s">
        <v>297</v>
      </c>
      <c r="CM14" s="26" t="s">
        <v>297</v>
      </c>
      <c r="CN14" s="26">
        <v>4.7450575480579422</v>
      </c>
      <c r="CO14" s="26">
        <v>1.125</v>
      </c>
      <c r="CP14" s="26" t="s">
        <v>297</v>
      </c>
      <c r="CQ14" s="26" t="s">
        <v>297</v>
      </c>
      <c r="CR14" s="26">
        <v>0.31222222222222223</v>
      </c>
      <c r="CS14" s="26">
        <v>1.1243862520458265</v>
      </c>
      <c r="CT14" s="26" t="s">
        <v>297</v>
      </c>
      <c r="CU14" s="26" t="s">
        <v>297</v>
      </c>
      <c r="CV14" s="26" t="s">
        <v>297</v>
      </c>
      <c r="CW14" s="26">
        <v>1.3068181818181819</v>
      </c>
      <c r="CX14" s="26" t="s">
        <v>297</v>
      </c>
      <c r="CY14" s="26" t="s">
        <v>297</v>
      </c>
      <c r="CZ14" s="26">
        <v>0.625</v>
      </c>
      <c r="DA14" s="26"/>
      <c r="DB14" s="26" t="s">
        <v>297</v>
      </c>
      <c r="DC14" s="26" t="s">
        <v>297</v>
      </c>
      <c r="DD14" s="26" t="s">
        <v>297</v>
      </c>
      <c r="DE14" s="26" t="s">
        <v>297</v>
      </c>
      <c r="DF14" s="26">
        <v>1.5735714285714286</v>
      </c>
      <c r="DG14" s="26" t="s">
        <v>297</v>
      </c>
      <c r="DH14" s="26">
        <v>1.1246153846153846</v>
      </c>
      <c r="DI14" s="26" t="s">
        <v>297</v>
      </c>
      <c r="DJ14" s="26">
        <v>1.0625171373731834</v>
      </c>
      <c r="DK14" s="26" t="s">
        <v>297</v>
      </c>
      <c r="DL14" s="26" t="s">
        <v>297</v>
      </c>
      <c r="DM14" s="26">
        <v>1.5</v>
      </c>
      <c r="DN14" s="26">
        <v>0.65789473684210531</v>
      </c>
      <c r="DO14" s="26" t="s">
        <v>297</v>
      </c>
      <c r="DP14" s="26" t="s">
        <v>297</v>
      </c>
      <c r="DQ14" s="26">
        <v>0.15611111111111112</v>
      </c>
      <c r="DR14" s="26" t="s">
        <v>297</v>
      </c>
      <c r="DS14" s="26" t="s">
        <v>297</v>
      </c>
      <c r="DT14" s="26" t="s">
        <v>297</v>
      </c>
      <c r="DU14" s="26">
        <v>24.509803921568629</v>
      </c>
      <c r="DV14" s="26" t="s">
        <v>297</v>
      </c>
      <c r="DW14" s="26" t="s">
        <v>297</v>
      </c>
      <c r="DX14" s="26" t="s">
        <v>297</v>
      </c>
      <c r="DY14" s="26" t="s">
        <v>297</v>
      </c>
    </row>
    <row r="15" spans="1:129" x14ac:dyDescent="0.2">
      <c r="A15" s="25" t="s">
        <v>302</v>
      </c>
      <c r="C15" s="26" t="s">
        <v>297</v>
      </c>
      <c r="D15" s="26" t="s">
        <v>297</v>
      </c>
      <c r="E15" s="26" t="s">
        <v>297</v>
      </c>
      <c r="F15" s="26" t="s">
        <v>297</v>
      </c>
      <c r="G15" s="26">
        <v>0.21560509554140128</v>
      </c>
      <c r="H15" s="26" t="s">
        <v>297</v>
      </c>
      <c r="I15" s="26" t="s">
        <v>297</v>
      </c>
      <c r="J15" s="26" t="s">
        <v>297</v>
      </c>
      <c r="K15" s="26" t="s">
        <v>297</v>
      </c>
      <c r="L15" s="26" t="s">
        <v>297</v>
      </c>
      <c r="M15" s="26" t="s">
        <v>297</v>
      </c>
      <c r="N15" s="26" t="s">
        <v>297</v>
      </c>
      <c r="O15" s="26" t="s">
        <v>297</v>
      </c>
      <c r="P15" s="26" t="s">
        <v>297</v>
      </c>
      <c r="Q15" s="26" t="s">
        <v>297</v>
      </c>
      <c r="R15" s="26">
        <v>3.0768292682926828</v>
      </c>
      <c r="S15" s="26" t="s">
        <v>297</v>
      </c>
      <c r="T15" s="26">
        <v>3.3846666666666665</v>
      </c>
      <c r="U15" s="26">
        <v>0.73841059602649006</v>
      </c>
      <c r="V15" s="26">
        <v>7.5664578983994435</v>
      </c>
      <c r="W15" s="26"/>
      <c r="X15" s="26" t="s">
        <v>297</v>
      </c>
      <c r="Y15" s="26" t="s">
        <v>297</v>
      </c>
      <c r="Z15" s="26" t="s">
        <v>297</v>
      </c>
      <c r="AA15" s="26" t="s">
        <v>297</v>
      </c>
      <c r="AB15" s="26" t="s">
        <v>297</v>
      </c>
      <c r="AC15" s="26">
        <v>2.2157712305025998</v>
      </c>
      <c r="AD15" s="26">
        <v>0.18460879114992099</v>
      </c>
      <c r="AE15" s="26" t="s">
        <v>297</v>
      </c>
      <c r="AF15" s="26">
        <v>0.49267924528301887</v>
      </c>
      <c r="AG15" s="26" t="s">
        <v>297</v>
      </c>
      <c r="AH15" s="26" t="s">
        <v>297</v>
      </c>
      <c r="AI15" s="26" t="s">
        <v>297</v>
      </c>
      <c r="AJ15" s="26"/>
      <c r="AK15" s="26">
        <v>0.36933333333333335</v>
      </c>
      <c r="AL15" s="26" t="s">
        <v>297</v>
      </c>
      <c r="AM15" s="26" t="s">
        <v>297</v>
      </c>
      <c r="AN15" s="26" t="s">
        <v>297</v>
      </c>
      <c r="AO15" s="26">
        <v>0.86137931034482762</v>
      </c>
      <c r="AP15" s="26" t="s">
        <v>297</v>
      </c>
      <c r="AQ15" s="26" t="s">
        <v>297</v>
      </c>
      <c r="AR15" s="26" t="s">
        <v>297</v>
      </c>
      <c r="AS15" s="26" t="s">
        <v>297</v>
      </c>
      <c r="AT15" s="26" t="s">
        <v>297</v>
      </c>
      <c r="AU15" s="26">
        <v>0.44444444444444442</v>
      </c>
      <c r="AV15" s="26" t="s">
        <v>297</v>
      </c>
      <c r="AW15" s="26" t="s">
        <v>297</v>
      </c>
      <c r="AX15" s="26" t="s">
        <v>297</v>
      </c>
      <c r="AY15" s="26">
        <v>0.370647596344855</v>
      </c>
      <c r="AZ15" s="26" t="s">
        <v>297</v>
      </c>
      <c r="BA15" s="26" t="s">
        <v>297</v>
      </c>
      <c r="BB15" s="26" t="s">
        <v>297</v>
      </c>
      <c r="BC15" s="26" t="s">
        <v>297</v>
      </c>
      <c r="BD15" s="26" t="s">
        <v>297</v>
      </c>
      <c r="BE15" s="26" t="s">
        <v>297</v>
      </c>
      <c r="BF15" s="26">
        <v>15.38</v>
      </c>
      <c r="BG15" s="26"/>
      <c r="BH15" s="26" t="s">
        <v>297</v>
      </c>
      <c r="BI15" s="26" t="s">
        <v>297</v>
      </c>
      <c r="BJ15" s="26" t="s">
        <v>297</v>
      </c>
      <c r="BK15" s="26" t="s">
        <v>297</v>
      </c>
      <c r="BL15" s="26" t="s">
        <v>297</v>
      </c>
      <c r="BM15" s="26" t="s">
        <v>297</v>
      </c>
      <c r="BN15" s="26" t="s">
        <v>297</v>
      </c>
      <c r="BO15" s="26" t="s">
        <v>297</v>
      </c>
      <c r="BP15" s="26" t="s">
        <v>297</v>
      </c>
      <c r="BQ15" s="26"/>
      <c r="BR15" s="26" t="s">
        <v>297</v>
      </c>
      <c r="BS15" s="26">
        <v>0.94670329670329667</v>
      </c>
      <c r="BT15" s="26" t="s">
        <v>297</v>
      </c>
      <c r="BU15" s="26" t="s">
        <v>297</v>
      </c>
      <c r="BV15" s="26" t="s">
        <v>297</v>
      </c>
      <c r="BW15" s="26">
        <v>1.4905263157894737</v>
      </c>
      <c r="BX15" s="26">
        <v>0.60312500000000002</v>
      </c>
      <c r="BY15" s="26" t="s">
        <v>297</v>
      </c>
      <c r="BZ15" s="26" t="s">
        <v>297</v>
      </c>
      <c r="CA15" s="26" t="s">
        <v>297</v>
      </c>
      <c r="CB15" s="26" t="s">
        <v>297</v>
      </c>
      <c r="CC15" s="26" t="s">
        <v>297</v>
      </c>
      <c r="CD15" s="26" t="s">
        <v>297</v>
      </c>
      <c r="CE15" s="26" t="s">
        <v>297</v>
      </c>
      <c r="CF15" s="26"/>
      <c r="CG15" s="26" t="s">
        <v>297</v>
      </c>
      <c r="CH15" s="26" t="s">
        <v>297</v>
      </c>
      <c r="CI15" s="26" t="s">
        <v>297</v>
      </c>
      <c r="CJ15" s="26" t="s">
        <v>297</v>
      </c>
      <c r="CK15" s="26" t="s">
        <v>297</v>
      </c>
      <c r="CL15" s="26" t="s">
        <v>297</v>
      </c>
      <c r="CM15" s="26" t="s">
        <v>297</v>
      </c>
      <c r="CN15" s="26">
        <v>4.6380090497737561</v>
      </c>
      <c r="CO15" s="26">
        <v>1.1080196399345335</v>
      </c>
      <c r="CP15" s="26" t="s">
        <v>297</v>
      </c>
      <c r="CQ15" s="26" t="s">
        <v>297</v>
      </c>
      <c r="CR15" s="26">
        <v>0.30777777777777776</v>
      </c>
      <c r="CS15" s="26">
        <v>1.1080617495711835</v>
      </c>
      <c r="CT15" s="26" t="s">
        <v>297</v>
      </c>
      <c r="CU15" s="26" t="s">
        <v>297</v>
      </c>
      <c r="CV15" s="26" t="s">
        <v>297</v>
      </c>
      <c r="CW15" s="26">
        <v>1.3086490078799962</v>
      </c>
      <c r="CX15" s="26" t="s">
        <v>297</v>
      </c>
      <c r="CY15" s="26" t="s">
        <v>297</v>
      </c>
      <c r="CZ15" s="26" t="s">
        <v>297</v>
      </c>
      <c r="DA15" s="26"/>
      <c r="DB15" s="26" t="s">
        <v>297</v>
      </c>
      <c r="DC15" s="26" t="s">
        <v>297</v>
      </c>
      <c r="DD15" s="26" t="s">
        <v>297</v>
      </c>
      <c r="DE15" s="26" t="s">
        <v>297</v>
      </c>
      <c r="DF15" s="26">
        <v>1.5385826771653544</v>
      </c>
      <c r="DG15" s="26" t="s">
        <v>297</v>
      </c>
      <c r="DH15" s="26">
        <v>1.2920168067226891</v>
      </c>
      <c r="DI15" s="26">
        <v>1.2920168067226891</v>
      </c>
      <c r="DJ15" s="26">
        <v>1.1077060398690866</v>
      </c>
      <c r="DK15" s="26" t="s">
        <v>297</v>
      </c>
      <c r="DL15" s="26" t="s">
        <v>297</v>
      </c>
      <c r="DM15" s="26">
        <v>1.4760076775431861</v>
      </c>
      <c r="DN15" s="26">
        <v>0.64411214953271023</v>
      </c>
      <c r="DO15" s="26" t="s">
        <v>297</v>
      </c>
      <c r="DP15" s="26" t="s">
        <v>297</v>
      </c>
      <c r="DQ15" s="26" t="s">
        <v>297</v>
      </c>
      <c r="DR15" s="26" t="s">
        <v>297</v>
      </c>
      <c r="DS15" s="26" t="s">
        <v>297</v>
      </c>
      <c r="DT15" s="26" t="s">
        <v>297</v>
      </c>
      <c r="DU15" s="26">
        <v>20.513409961685824</v>
      </c>
      <c r="DV15" s="26" t="s">
        <v>297</v>
      </c>
      <c r="DW15" s="26" t="s">
        <v>297</v>
      </c>
      <c r="DX15" s="26" t="s">
        <v>297</v>
      </c>
      <c r="DY15" s="26" t="s">
        <v>297</v>
      </c>
    </row>
    <row r="16" spans="1:129" x14ac:dyDescent="0.2">
      <c r="A16" s="25" t="s">
        <v>303</v>
      </c>
      <c r="C16" s="26">
        <v>2.2063492063492065</v>
      </c>
      <c r="D16" s="26" t="s">
        <v>297</v>
      </c>
      <c r="E16" s="26" t="s">
        <v>297</v>
      </c>
      <c r="F16" s="26" t="s">
        <v>297</v>
      </c>
      <c r="G16" s="26">
        <v>0.19460973048652433</v>
      </c>
      <c r="H16" s="26" t="s">
        <v>297</v>
      </c>
      <c r="I16" s="26" t="s">
        <v>297</v>
      </c>
      <c r="J16" s="26" t="s">
        <v>297</v>
      </c>
      <c r="K16" s="26" t="s">
        <v>297</v>
      </c>
      <c r="L16" s="26" t="s">
        <v>297</v>
      </c>
      <c r="M16" s="26" t="s">
        <v>297</v>
      </c>
      <c r="N16" s="26" t="s">
        <v>297</v>
      </c>
      <c r="O16" s="26" t="s">
        <v>297</v>
      </c>
      <c r="P16" s="26" t="s">
        <v>297</v>
      </c>
      <c r="Q16" s="26" t="s">
        <v>297</v>
      </c>
      <c r="R16" s="26">
        <v>2.7773809523809523</v>
      </c>
      <c r="S16" s="26" t="s">
        <v>297</v>
      </c>
      <c r="T16" s="26">
        <v>3.8887315395508799</v>
      </c>
      <c r="U16" s="26">
        <v>0.66640866873065019</v>
      </c>
      <c r="V16" s="26">
        <v>7.3328790459965925</v>
      </c>
      <c r="W16" s="26"/>
      <c r="X16" s="26" t="s">
        <v>297</v>
      </c>
      <c r="Y16" s="26" t="s">
        <v>297</v>
      </c>
      <c r="Z16" s="26" t="s">
        <v>297</v>
      </c>
      <c r="AA16" s="26" t="s">
        <v>297</v>
      </c>
      <c r="AB16" s="26" t="s">
        <v>297</v>
      </c>
      <c r="AC16" s="26">
        <v>2</v>
      </c>
      <c r="AD16" s="26">
        <v>0.13888095238095238</v>
      </c>
      <c r="AE16" s="26" t="s">
        <v>297</v>
      </c>
      <c r="AF16" s="26">
        <v>0.69450000000000001</v>
      </c>
      <c r="AG16" s="26" t="s">
        <v>297</v>
      </c>
      <c r="AH16" s="26" t="s">
        <v>297</v>
      </c>
      <c r="AI16" s="26" t="s">
        <v>297</v>
      </c>
      <c r="AJ16" s="26"/>
      <c r="AK16" s="26">
        <v>0.33333333333333331</v>
      </c>
      <c r="AL16" s="26" t="s">
        <v>297</v>
      </c>
      <c r="AM16" s="26" t="s">
        <v>297</v>
      </c>
      <c r="AN16" s="26" t="s">
        <v>297</v>
      </c>
      <c r="AO16" s="26">
        <v>0.77768851141971762</v>
      </c>
      <c r="AP16" s="26" t="s">
        <v>297</v>
      </c>
      <c r="AQ16" s="26" t="s">
        <v>297</v>
      </c>
      <c r="AR16" s="26" t="s">
        <v>297</v>
      </c>
      <c r="AS16" s="26" t="s">
        <v>297</v>
      </c>
      <c r="AT16" s="26" t="s">
        <v>297</v>
      </c>
      <c r="AU16" s="26">
        <v>0.50013846579894761</v>
      </c>
      <c r="AV16" s="26" t="s">
        <v>297</v>
      </c>
      <c r="AW16" s="26" t="s">
        <v>297</v>
      </c>
      <c r="AX16" s="26" t="s">
        <v>297</v>
      </c>
      <c r="AY16" s="26">
        <v>0.33600133539206278</v>
      </c>
      <c r="AZ16" s="26" t="s">
        <v>297</v>
      </c>
      <c r="BA16" s="26" t="s">
        <v>297</v>
      </c>
      <c r="BB16" s="26" t="s">
        <v>297</v>
      </c>
      <c r="BC16" s="26" t="s">
        <v>297</v>
      </c>
      <c r="BD16" s="26" t="s">
        <v>297</v>
      </c>
      <c r="BE16" s="26" t="s">
        <v>297</v>
      </c>
      <c r="BF16" s="26">
        <v>13.88</v>
      </c>
      <c r="BG16" s="26"/>
      <c r="BH16" s="26" t="s">
        <v>297</v>
      </c>
      <c r="BI16" s="26" t="s">
        <v>297</v>
      </c>
      <c r="BJ16" s="26" t="s">
        <v>297</v>
      </c>
      <c r="BK16" s="26" t="s">
        <v>297</v>
      </c>
      <c r="BL16" s="26" t="s">
        <v>297</v>
      </c>
      <c r="BM16" s="26" t="s">
        <v>297</v>
      </c>
      <c r="BN16" s="26" t="s">
        <v>297</v>
      </c>
      <c r="BO16" s="26" t="s">
        <v>297</v>
      </c>
      <c r="BP16" s="26" t="s">
        <v>297</v>
      </c>
      <c r="BQ16" s="26"/>
      <c r="BR16" s="26" t="s">
        <v>297</v>
      </c>
      <c r="BS16" s="26">
        <v>0.96456599286563616</v>
      </c>
      <c r="BT16" s="26" t="s">
        <v>297</v>
      </c>
      <c r="BU16" s="26" t="s">
        <v>297</v>
      </c>
      <c r="BV16" s="26" t="s">
        <v>297</v>
      </c>
      <c r="BW16" s="26">
        <v>1.7573964497041421</v>
      </c>
      <c r="BX16" s="26">
        <v>0.64977511244377806</v>
      </c>
      <c r="BY16" s="26" t="s">
        <v>297</v>
      </c>
      <c r="BZ16" s="26" t="s">
        <v>297</v>
      </c>
      <c r="CA16" s="26" t="s">
        <v>297</v>
      </c>
      <c r="CB16" s="26" t="s">
        <v>297</v>
      </c>
      <c r="CC16" s="26" t="s">
        <v>297</v>
      </c>
      <c r="CD16" s="26" t="s">
        <v>297</v>
      </c>
      <c r="CE16" s="26" t="s">
        <v>297</v>
      </c>
      <c r="CF16" s="26"/>
      <c r="CG16" s="26" t="s">
        <v>297</v>
      </c>
      <c r="CH16" s="26" t="s">
        <v>297</v>
      </c>
      <c r="CI16" s="26" t="s">
        <v>297</v>
      </c>
      <c r="CJ16" s="26" t="s">
        <v>297</v>
      </c>
      <c r="CK16" s="26" t="s">
        <v>297</v>
      </c>
      <c r="CL16" s="26" t="s">
        <v>297</v>
      </c>
      <c r="CM16" s="26" t="s">
        <v>297</v>
      </c>
      <c r="CN16" s="26">
        <v>3.3997798703681057</v>
      </c>
      <c r="CO16" s="26">
        <v>0.99965385946694363</v>
      </c>
      <c r="CP16" s="26" t="s">
        <v>297</v>
      </c>
      <c r="CQ16" s="26" t="s">
        <v>297</v>
      </c>
      <c r="CR16" s="26">
        <v>0.27779999999999999</v>
      </c>
      <c r="CS16" s="26">
        <v>1.0009000900090008</v>
      </c>
      <c r="CT16" s="26" t="s">
        <v>297</v>
      </c>
      <c r="CU16" s="26" t="s">
        <v>297</v>
      </c>
      <c r="CV16" s="26" t="s">
        <v>297</v>
      </c>
      <c r="CW16" s="26">
        <v>1.3063414634146342</v>
      </c>
      <c r="CX16" s="26" t="s">
        <v>297</v>
      </c>
      <c r="CY16" s="26" t="s">
        <v>297</v>
      </c>
      <c r="CZ16" s="26" t="s">
        <v>297</v>
      </c>
      <c r="DA16" s="26"/>
      <c r="DB16" s="26" t="s">
        <v>297</v>
      </c>
      <c r="DC16" s="26" t="s">
        <v>297</v>
      </c>
      <c r="DD16" s="26" t="s">
        <v>297</v>
      </c>
      <c r="DE16" s="26" t="s">
        <v>297</v>
      </c>
      <c r="DF16" s="26">
        <v>1.3890756302521008</v>
      </c>
      <c r="DG16" s="26" t="s">
        <v>297</v>
      </c>
      <c r="DH16" s="26">
        <v>1.1120000000000001</v>
      </c>
      <c r="DI16" s="26">
        <v>1.1657458563535912</v>
      </c>
      <c r="DJ16" s="26">
        <v>0.83333333333333337</v>
      </c>
      <c r="DK16" s="26" t="s">
        <v>297</v>
      </c>
      <c r="DL16" s="26" t="s">
        <v>297</v>
      </c>
      <c r="DM16" s="26">
        <v>1.3349339735894359</v>
      </c>
      <c r="DN16" s="26">
        <v>0.68780952380952376</v>
      </c>
      <c r="DO16" s="26" t="s">
        <v>297</v>
      </c>
      <c r="DP16" s="26" t="s">
        <v>297</v>
      </c>
      <c r="DQ16" s="26" t="s">
        <v>297</v>
      </c>
      <c r="DR16" s="26" t="s">
        <v>297</v>
      </c>
      <c r="DS16" s="26" t="s">
        <v>297</v>
      </c>
      <c r="DT16" s="26" t="s">
        <v>297</v>
      </c>
      <c r="DU16" s="26">
        <v>18.516431924882628</v>
      </c>
      <c r="DV16" s="26" t="s">
        <v>297</v>
      </c>
      <c r="DW16" s="26" t="s">
        <v>297</v>
      </c>
      <c r="DX16" s="26" t="s">
        <v>297</v>
      </c>
      <c r="DY16" s="26" t="s">
        <v>297</v>
      </c>
    </row>
    <row r="17" spans="1:129" x14ac:dyDescent="0.2">
      <c r="A17" s="25" t="s">
        <v>304</v>
      </c>
      <c r="C17" s="26" t="s">
        <v>297</v>
      </c>
      <c r="D17" s="26" t="s">
        <v>297</v>
      </c>
      <c r="E17" s="26" t="s">
        <v>297</v>
      </c>
      <c r="F17" s="26" t="s">
        <v>297</v>
      </c>
      <c r="G17" s="26">
        <v>0.19433333333333333</v>
      </c>
      <c r="H17" s="26" t="s">
        <v>297</v>
      </c>
      <c r="I17" s="26" t="s">
        <v>297</v>
      </c>
      <c r="J17" s="26" t="s">
        <v>297</v>
      </c>
      <c r="K17" s="26" t="s">
        <v>297</v>
      </c>
      <c r="L17" s="26" t="s">
        <v>297</v>
      </c>
      <c r="M17" s="26" t="s">
        <v>297</v>
      </c>
      <c r="N17" s="26" t="s">
        <v>297</v>
      </c>
      <c r="O17" s="26" t="s">
        <v>297</v>
      </c>
      <c r="P17" s="26" t="s">
        <v>297</v>
      </c>
      <c r="Q17" s="26" t="s">
        <v>297</v>
      </c>
      <c r="R17" s="26">
        <v>4.2077669902912618</v>
      </c>
      <c r="S17" s="26" t="s">
        <v>297</v>
      </c>
      <c r="T17" s="26">
        <v>3.8881673881673882</v>
      </c>
      <c r="U17" s="26" t="s">
        <v>297</v>
      </c>
      <c r="V17" s="26">
        <v>6.532</v>
      </c>
      <c r="W17" s="26"/>
      <c r="X17" s="26" t="s">
        <v>297</v>
      </c>
      <c r="Y17" s="26" t="s">
        <v>297</v>
      </c>
      <c r="Z17" s="26" t="s">
        <v>297</v>
      </c>
      <c r="AA17" s="26" t="s">
        <v>297</v>
      </c>
      <c r="AB17" s="26" t="s">
        <v>297</v>
      </c>
      <c r="AC17" s="26">
        <v>2.2286096256684491</v>
      </c>
      <c r="AD17" s="26">
        <v>0.13888095238095238</v>
      </c>
      <c r="AE17" s="26" t="s">
        <v>297</v>
      </c>
      <c r="AF17" s="26">
        <v>0.55535714285714288</v>
      </c>
      <c r="AG17" s="26" t="s">
        <v>297</v>
      </c>
      <c r="AH17" s="26" t="s">
        <v>297</v>
      </c>
      <c r="AI17" s="26" t="s">
        <v>297</v>
      </c>
      <c r="AJ17" s="26"/>
      <c r="AK17" s="26">
        <v>0.33343858541206189</v>
      </c>
      <c r="AL17" s="26" t="s">
        <v>297</v>
      </c>
      <c r="AM17" s="26" t="s">
        <v>297</v>
      </c>
      <c r="AN17" s="26" t="s">
        <v>297</v>
      </c>
      <c r="AO17" s="26">
        <v>0.66652631578947363</v>
      </c>
      <c r="AP17" s="26" t="s">
        <v>297</v>
      </c>
      <c r="AQ17" s="26" t="s">
        <v>297</v>
      </c>
      <c r="AR17" s="26" t="s">
        <v>297</v>
      </c>
      <c r="AS17" s="26" t="s">
        <v>297</v>
      </c>
      <c r="AT17" s="26" t="s">
        <v>297</v>
      </c>
      <c r="AU17" s="26">
        <v>0.55551724137931036</v>
      </c>
      <c r="AV17" s="26" t="s">
        <v>297</v>
      </c>
      <c r="AW17" s="26" t="s">
        <v>297</v>
      </c>
      <c r="AX17" s="26" t="s">
        <v>297</v>
      </c>
      <c r="AY17" s="26">
        <v>0.26943523191540497</v>
      </c>
      <c r="AZ17" s="26" t="s">
        <v>297</v>
      </c>
      <c r="BA17" s="26" t="s">
        <v>297</v>
      </c>
      <c r="BB17" s="26" t="s">
        <v>297</v>
      </c>
      <c r="BC17" s="26" t="s">
        <v>297</v>
      </c>
      <c r="BD17" s="26" t="s">
        <v>297</v>
      </c>
      <c r="BE17" s="26" t="s">
        <v>297</v>
      </c>
      <c r="BF17" s="26">
        <v>13.9</v>
      </c>
      <c r="BG17" s="26"/>
      <c r="BH17" s="26" t="s">
        <v>297</v>
      </c>
      <c r="BI17" s="26" t="s">
        <v>297</v>
      </c>
      <c r="BJ17" s="26" t="s">
        <v>297</v>
      </c>
      <c r="BK17" s="26" t="s">
        <v>297</v>
      </c>
      <c r="BL17" s="26" t="s">
        <v>297</v>
      </c>
      <c r="BM17" s="26" t="s">
        <v>297</v>
      </c>
      <c r="BN17" s="26" t="s">
        <v>297</v>
      </c>
      <c r="BO17" s="26" t="s">
        <v>297</v>
      </c>
      <c r="BP17" s="26" t="s">
        <v>297</v>
      </c>
      <c r="BQ17" s="26"/>
      <c r="BR17" s="26" t="s">
        <v>297</v>
      </c>
      <c r="BS17" s="26">
        <v>1.1571637426900585</v>
      </c>
      <c r="BT17" s="26" t="s">
        <v>297</v>
      </c>
      <c r="BU17" s="26" t="s">
        <v>297</v>
      </c>
      <c r="BV17" s="26" t="s">
        <v>297</v>
      </c>
      <c r="BW17" s="26" t="s">
        <v>297</v>
      </c>
      <c r="BX17" s="26">
        <v>0.59889434889434889</v>
      </c>
      <c r="BY17" s="26" t="s">
        <v>297</v>
      </c>
      <c r="BZ17" s="26" t="s">
        <v>297</v>
      </c>
      <c r="CA17" s="26" t="s">
        <v>297</v>
      </c>
      <c r="CB17" s="26" t="s">
        <v>297</v>
      </c>
      <c r="CC17" s="26" t="s">
        <v>297</v>
      </c>
      <c r="CD17" s="26" t="s">
        <v>297</v>
      </c>
      <c r="CE17" s="26" t="s">
        <v>297</v>
      </c>
      <c r="CF17" s="26"/>
      <c r="CG17" s="26" t="s">
        <v>297</v>
      </c>
      <c r="CH17" s="26" t="s">
        <v>297</v>
      </c>
      <c r="CI17" s="26" t="s">
        <v>297</v>
      </c>
      <c r="CJ17" s="26" t="s">
        <v>297</v>
      </c>
      <c r="CK17" s="26" t="s">
        <v>297</v>
      </c>
      <c r="CL17" s="26" t="s">
        <v>297</v>
      </c>
      <c r="CM17" s="26" t="s">
        <v>297</v>
      </c>
      <c r="CN17" s="26">
        <v>3.6997604471652914</v>
      </c>
      <c r="CO17" s="26">
        <v>0.77760497667185069</v>
      </c>
      <c r="CP17" s="26" t="s">
        <v>297</v>
      </c>
      <c r="CQ17" s="26" t="s">
        <v>297</v>
      </c>
      <c r="CR17" s="26">
        <v>0.27785714285714286</v>
      </c>
      <c r="CS17" s="26">
        <v>1.3430531732418525</v>
      </c>
      <c r="CT17" s="26" t="s">
        <v>297</v>
      </c>
      <c r="CU17" s="26" t="s">
        <v>297</v>
      </c>
      <c r="CV17" s="26" t="s">
        <v>297</v>
      </c>
      <c r="CW17" s="26">
        <v>1.2269565217391305</v>
      </c>
      <c r="CX17" s="26" t="s">
        <v>297</v>
      </c>
      <c r="CY17" s="26" t="s">
        <v>297</v>
      </c>
      <c r="CZ17" s="26" t="s">
        <v>297</v>
      </c>
      <c r="DA17" s="26" t="s">
        <v>297</v>
      </c>
      <c r="DB17" s="26" t="s">
        <v>297</v>
      </c>
      <c r="DC17" s="26" t="s">
        <v>297</v>
      </c>
      <c r="DD17" s="26" t="s">
        <v>297</v>
      </c>
      <c r="DE17" s="26" t="s">
        <v>297</v>
      </c>
      <c r="DF17" s="26">
        <v>1.388586956521739</v>
      </c>
      <c r="DG17" s="26" t="s">
        <v>297</v>
      </c>
      <c r="DH17" s="26" t="s">
        <v>297</v>
      </c>
      <c r="DI17" s="26">
        <v>0.99926253687315636</v>
      </c>
      <c r="DJ17" s="26">
        <v>0.72233333333333338</v>
      </c>
      <c r="DK17" s="26" t="s">
        <v>297</v>
      </c>
      <c r="DL17" s="26" t="s">
        <v>297</v>
      </c>
      <c r="DM17" s="26" t="s">
        <v>297</v>
      </c>
      <c r="DN17" s="26">
        <v>0.72456521739130431</v>
      </c>
      <c r="DO17" s="26" t="s">
        <v>297</v>
      </c>
      <c r="DP17" s="26" t="s">
        <v>297</v>
      </c>
      <c r="DQ17" s="26" t="s">
        <v>297</v>
      </c>
      <c r="DR17" s="26" t="s">
        <v>297</v>
      </c>
      <c r="DS17" s="26" t="s">
        <v>297</v>
      </c>
      <c r="DT17" s="26" t="s">
        <v>297</v>
      </c>
      <c r="DU17" s="26">
        <v>18.238805970149254</v>
      </c>
      <c r="DV17" s="26" t="s">
        <v>297</v>
      </c>
      <c r="DW17" s="26" t="s">
        <v>297</v>
      </c>
      <c r="DX17" s="26" t="s">
        <v>297</v>
      </c>
      <c r="DY17" s="26" t="s">
        <v>297</v>
      </c>
    </row>
    <row r="18" spans="1:129" x14ac:dyDescent="0.2">
      <c r="A18" s="25" t="s">
        <v>305</v>
      </c>
      <c r="C18" s="26" t="s">
        <v>297</v>
      </c>
      <c r="D18" s="26" t="s">
        <v>297</v>
      </c>
      <c r="E18" s="26" t="s">
        <v>297</v>
      </c>
      <c r="F18" s="26" t="s">
        <v>297</v>
      </c>
      <c r="G18" s="26">
        <v>0.23499999999999999</v>
      </c>
      <c r="H18" s="26" t="s">
        <v>297</v>
      </c>
      <c r="I18" s="26" t="s">
        <v>297</v>
      </c>
      <c r="J18" s="26">
        <v>220.5</v>
      </c>
      <c r="K18" s="26" t="s">
        <v>297</v>
      </c>
      <c r="L18" s="26" t="s">
        <v>297</v>
      </c>
      <c r="M18" s="26" t="s">
        <v>297</v>
      </c>
      <c r="N18" s="26" t="s">
        <v>297</v>
      </c>
      <c r="O18" s="26" t="s">
        <v>297</v>
      </c>
      <c r="P18" s="26" t="s">
        <v>297</v>
      </c>
      <c r="Q18" s="26" t="s">
        <v>297</v>
      </c>
      <c r="R18" s="26">
        <v>3.5272727272727273</v>
      </c>
      <c r="S18" s="26" t="s">
        <v>297</v>
      </c>
      <c r="T18" s="26">
        <v>4.117460317460317</v>
      </c>
      <c r="U18" s="26">
        <v>0.70599999999999996</v>
      </c>
      <c r="V18" s="26" t="s">
        <v>297</v>
      </c>
      <c r="W18" s="26"/>
      <c r="X18" s="26">
        <v>8.8716666666666661</v>
      </c>
      <c r="Y18" s="26">
        <v>6.8142076502732243</v>
      </c>
      <c r="Z18" s="26">
        <v>7.3249810174639336</v>
      </c>
      <c r="AA18" s="26">
        <v>7.3319327731092434</v>
      </c>
      <c r="AB18" s="26" t="s">
        <v>297</v>
      </c>
      <c r="AC18" s="26">
        <v>2.3533333333333335</v>
      </c>
      <c r="AD18" s="26">
        <v>0.20585000000000001</v>
      </c>
      <c r="AE18" s="26" t="s">
        <v>297</v>
      </c>
      <c r="AF18" s="26">
        <v>0.8142894667717363</v>
      </c>
      <c r="AG18" s="26" t="s">
        <v>297</v>
      </c>
      <c r="AH18" s="26" t="s">
        <v>297</v>
      </c>
      <c r="AI18" s="26" t="s">
        <v>297</v>
      </c>
      <c r="AJ18" s="26"/>
      <c r="AK18" s="26" t="s">
        <v>297</v>
      </c>
      <c r="AL18" s="26" t="s">
        <v>297</v>
      </c>
      <c r="AM18" s="26" t="s">
        <v>297</v>
      </c>
      <c r="AN18" s="26" t="s">
        <v>297</v>
      </c>
      <c r="AO18" s="26" t="s">
        <v>297</v>
      </c>
      <c r="AP18" s="26">
        <v>0.70613333333333328</v>
      </c>
      <c r="AQ18" s="26">
        <v>0.35295475530932596</v>
      </c>
      <c r="AR18" s="26">
        <v>0.70585842148087874</v>
      </c>
      <c r="AS18" s="26" t="s">
        <v>297</v>
      </c>
      <c r="AT18" s="26" t="s">
        <v>297</v>
      </c>
      <c r="AU18" s="26">
        <v>0.70499999999999996</v>
      </c>
      <c r="AV18" s="26" t="s">
        <v>297</v>
      </c>
      <c r="AW18" s="26" t="s">
        <v>297</v>
      </c>
      <c r="AX18" s="26" t="s">
        <v>297</v>
      </c>
      <c r="AY18" s="26" t="s">
        <v>297</v>
      </c>
      <c r="AZ18" s="26">
        <v>0.29414814814814816</v>
      </c>
      <c r="BA18" s="26">
        <v>0.17646260350210397</v>
      </c>
      <c r="BB18" s="26">
        <v>0.34942378519662587</v>
      </c>
      <c r="BC18" s="26">
        <v>0.63268156424581001</v>
      </c>
      <c r="BD18" s="26" t="s">
        <v>297</v>
      </c>
      <c r="BE18" s="26" t="s">
        <v>297</v>
      </c>
      <c r="BF18" s="26" t="s">
        <v>297</v>
      </c>
      <c r="BG18" s="26"/>
      <c r="BH18" s="26" t="s">
        <v>297</v>
      </c>
      <c r="BI18" s="26">
        <v>0.48333333333333334</v>
      </c>
      <c r="BJ18" s="26">
        <v>14.6875</v>
      </c>
      <c r="BK18" s="26">
        <v>2.3129383404986283</v>
      </c>
      <c r="BL18" s="26" t="s">
        <v>297</v>
      </c>
      <c r="BM18" s="26" t="s">
        <v>297</v>
      </c>
      <c r="BN18" s="26" t="s">
        <v>297</v>
      </c>
      <c r="BO18" s="26" t="s">
        <v>297</v>
      </c>
      <c r="BP18" s="26" t="s">
        <v>297</v>
      </c>
      <c r="BQ18" s="26"/>
      <c r="BR18" s="26" t="s">
        <v>297</v>
      </c>
      <c r="BS18" s="26" t="s">
        <v>297</v>
      </c>
      <c r="BT18" s="26">
        <v>2.4466019417475726</v>
      </c>
      <c r="BU18" s="26" t="s">
        <v>297</v>
      </c>
      <c r="BV18" s="26">
        <v>0.7436781609195402</v>
      </c>
      <c r="BW18" s="26" t="s">
        <v>297</v>
      </c>
      <c r="BX18" s="26">
        <v>0.61199999999999999</v>
      </c>
      <c r="BY18" s="26">
        <v>0.88222698072805139</v>
      </c>
      <c r="BZ18" s="26" t="s">
        <v>297</v>
      </c>
      <c r="CA18" s="26" t="s">
        <v>297</v>
      </c>
      <c r="CB18" s="26" t="s">
        <v>297</v>
      </c>
      <c r="CC18" s="26" t="s">
        <v>297</v>
      </c>
      <c r="CD18" s="26" t="s">
        <v>297</v>
      </c>
      <c r="CE18" s="26" t="s">
        <v>297</v>
      </c>
      <c r="CF18" s="26"/>
      <c r="CG18" s="26" t="s">
        <v>297</v>
      </c>
      <c r="CH18" s="26" t="s">
        <v>297</v>
      </c>
      <c r="CI18" s="26" t="s">
        <v>297</v>
      </c>
      <c r="CJ18" s="26">
        <v>2.3529032258064517</v>
      </c>
      <c r="CK18" s="26" t="s">
        <v>297</v>
      </c>
      <c r="CL18" s="26" t="s">
        <v>297</v>
      </c>
      <c r="CM18" s="26" t="s">
        <v>297</v>
      </c>
      <c r="CN18" s="26">
        <v>3.6199095022624435</v>
      </c>
      <c r="CO18" s="26">
        <v>0.86163982430453878</v>
      </c>
      <c r="CP18" s="26">
        <v>0.58799999999999997</v>
      </c>
      <c r="CQ18" s="26" t="s">
        <v>297</v>
      </c>
      <c r="CR18" s="26">
        <v>0.2940740740740741</v>
      </c>
      <c r="CS18" s="26" t="s">
        <v>297</v>
      </c>
      <c r="CT18" s="26">
        <v>0.29399999999999998</v>
      </c>
      <c r="CU18" s="26">
        <v>0.95499999999999996</v>
      </c>
      <c r="CV18" s="26" t="s">
        <v>297</v>
      </c>
      <c r="CW18" s="26" t="s">
        <v>297</v>
      </c>
      <c r="CX18" s="26" t="s">
        <v>297</v>
      </c>
      <c r="CY18" s="26" t="s">
        <v>297</v>
      </c>
      <c r="CZ18" s="26" t="s">
        <v>297</v>
      </c>
      <c r="DA18" s="26" t="s">
        <v>297</v>
      </c>
      <c r="DB18" s="26" t="s">
        <v>297</v>
      </c>
      <c r="DC18" s="26" t="s">
        <v>297</v>
      </c>
      <c r="DD18" s="26" t="s">
        <v>297</v>
      </c>
      <c r="DE18" s="26" t="s">
        <v>297</v>
      </c>
      <c r="DF18" s="26">
        <v>1.1454918032786885</v>
      </c>
      <c r="DG18" s="26" t="s">
        <v>297</v>
      </c>
      <c r="DH18" s="26" t="s">
        <v>297</v>
      </c>
      <c r="DI18" s="26" t="s">
        <v>297</v>
      </c>
      <c r="DJ18" s="26" t="s">
        <v>297</v>
      </c>
      <c r="DK18" s="26">
        <v>0.86309523809523814</v>
      </c>
      <c r="DL18" s="26" t="s">
        <v>297</v>
      </c>
      <c r="DM18" s="26">
        <v>1.3877551020408163</v>
      </c>
      <c r="DN18" s="26">
        <v>0.67965517241379314</v>
      </c>
      <c r="DO18" s="26" t="s">
        <v>297</v>
      </c>
      <c r="DP18" s="26" t="s">
        <v>297</v>
      </c>
      <c r="DQ18" s="26" t="s">
        <v>297</v>
      </c>
      <c r="DR18" s="26" t="s">
        <v>297</v>
      </c>
      <c r="DS18" s="26" t="s">
        <v>297</v>
      </c>
      <c r="DT18" s="26" t="s">
        <v>297</v>
      </c>
      <c r="DU18" s="26" t="s">
        <v>297</v>
      </c>
      <c r="DV18" s="26">
        <v>14.98450012622788</v>
      </c>
      <c r="DW18" s="26" t="s">
        <v>297</v>
      </c>
      <c r="DX18" s="26" t="s">
        <v>297</v>
      </c>
      <c r="DY18" s="26" t="s">
        <v>297</v>
      </c>
    </row>
    <row r="19" spans="1:129" x14ac:dyDescent="0.2">
      <c r="A19" s="25" t="s">
        <v>306</v>
      </c>
      <c r="C19" s="26" t="s">
        <v>297</v>
      </c>
      <c r="D19" s="26" t="s">
        <v>297</v>
      </c>
      <c r="E19" s="26">
        <v>1.875</v>
      </c>
      <c r="F19" s="26">
        <v>2.5</v>
      </c>
      <c r="G19" s="26">
        <v>0.25</v>
      </c>
      <c r="H19" s="26" t="s">
        <v>297</v>
      </c>
      <c r="I19" s="26" t="s">
        <v>297</v>
      </c>
      <c r="J19" s="26">
        <v>312</v>
      </c>
      <c r="K19" s="26">
        <v>31.5</v>
      </c>
      <c r="L19" s="26" t="s">
        <v>297</v>
      </c>
      <c r="M19" s="26" t="s">
        <v>297</v>
      </c>
      <c r="N19" s="26" t="s">
        <v>297</v>
      </c>
      <c r="O19" s="26" t="s">
        <v>297</v>
      </c>
      <c r="P19" s="26" t="s">
        <v>297</v>
      </c>
      <c r="Q19" s="26" t="s">
        <v>297</v>
      </c>
      <c r="R19" s="26">
        <v>4.1886363636363635</v>
      </c>
      <c r="S19" s="26" t="s">
        <v>297</v>
      </c>
      <c r="T19" s="26">
        <v>3.125</v>
      </c>
      <c r="U19" s="26">
        <v>0.75</v>
      </c>
      <c r="V19" s="26" t="s">
        <v>297</v>
      </c>
      <c r="W19" s="26"/>
      <c r="X19" s="26">
        <v>8.3333333333333339</v>
      </c>
      <c r="Y19" s="26">
        <v>5.9670781893004117</v>
      </c>
      <c r="Z19" s="26">
        <v>9.4253968253968257</v>
      </c>
      <c r="AA19" s="26">
        <v>10.15925925925926</v>
      </c>
      <c r="AB19" s="26">
        <v>1.125</v>
      </c>
      <c r="AC19" s="26">
        <v>3.1266666666666665</v>
      </c>
      <c r="AD19" s="26">
        <v>0.21212121212121213</v>
      </c>
      <c r="AE19" s="26">
        <v>2.7857142857142856</v>
      </c>
      <c r="AF19" s="26">
        <v>1.2930693069306931</v>
      </c>
      <c r="AG19" s="26">
        <v>0.74960629921259847</v>
      </c>
      <c r="AH19" s="26" t="s">
        <v>297</v>
      </c>
      <c r="AI19" s="26" t="s">
        <v>297</v>
      </c>
      <c r="AJ19" s="26"/>
      <c r="AK19" s="26">
        <v>0.35483870967741937</v>
      </c>
      <c r="AL19" s="26" t="s">
        <v>297</v>
      </c>
      <c r="AM19" s="26" t="s">
        <v>297</v>
      </c>
      <c r="AN19" s="26" t="s">
        <v>297</v>
      </c>
      <c r="AO19" s="26" t="s">
        <v>297</v>
      </c>
      <c r="AP19" s="26">
        <v>0.73333333333333328</v>
      </c>
      <c r="AQ19" s="26">
        <v>0.45413333333333333</v>
      </c>
      <c r="AR19" s="26">
        <v>0.62486486486486481</v>
      </c>
      <c r="AS19" s="26" t="s">
        <v>297</v>
      </c>
      <c r="AT19" s="26" t="s">
        <v>297</v>
      </c>
      <c r="AU19" s="26">
        <v>0.6253333333333333</v>
      </c>
      <c r="AV19" s="26" t="s">
        <v>297</v>
      </c>
      <c r="AW19" s="26" t="s">
        <v>297</v>
      </c>
      <c r="AX19" s="26" t="s">
        <v>297</v>
      </c>
      <c r="AY19" s="26" t="s">
        <v>297</v>
      </c>
      <c r="AZ19" s="26">
        <v>0.43752380952380954</v>
      </c>
      <c r="BA19" s="26">
        <v>0.18733333333333332</v>
      </c>
      <c r="BB19" s="26">
        <v>0.54167320261437912</v>
      </c>
      <c r="BC19" s="26">
        <v>0.62521739130434784</v>
      </c>
      <c r="BD19" s="26">
        <v>0.93666666666666665</v>
      </c>
      <c r="BE19" s="26" t="s">
        <v>297</v>
      </c>
      <c r="BF19" s="26" t="s">
        <v>297</v>
      </c>
      <c r="BG19" s="26"/>
      <c r="BH19" s="26">
        <v>1.2495238095238095</v>
      </c>
      <c r="BI19" s="26" t="s">
        <v>297</v>
      </c>
      <c r="BJ19" s="26">
        <v>15.666666666666666</v>
      </c>
      <c r="BK19" s="26">
        <v>2.4633431085043989</v>
      </c>
      <c r="BL19" s="26" t="s">
        <v>297</v>
      </c>
      <c r="BM19" s="26" t="s">
        <v>297</v>
      </c>
      <c r="BN19" s="26">
        <v>0.6</v>
      </c>
      <c r="BO19" s="26">
        <v>0.93732970027247953</v>
      </c>
      <c r="BP19" s="26" t="s">
        <v>297</v>
      </c>
      <c r="BQ19" s="26"/>
      <c r="BR19" s="26" t="s">
        <v>297</v>
      </c>
      <c r="BS19" s="26" t="s">
        <v>297</v>
      </c>
      <c r="BT19" s="26">
        <v>2.5</v>
      </c>
      <c r="BU19" s="26" t="s">
        <v>297</v>
      </c>
      <c r="BV19" s="26" t="s">
        <v>297</v>
      </c>
      <c r="BW19" s="26" t="s">
        <v>297</v>
      </c>
      <c r="BX19" s="26">
        <v>0.37552836484983315</v>
      </c>
      <c r="BY19" s="26">
        <v>1.25</v>
      </c>
      <c r="BZ19" s="26" t="s">
        <v>297</v>
      </c>
      <c r="CA19" s="26" t="s">
        <v>297</v>
      </c>
      <c r="CB19" s="26" t="s">
        <v>297</v>
      </c>
      <c r="CC19" s="26" t="s">
        <v>297</v>
      </c>
      <c r="CD19" s="26" t="s">
        <v>297</v>
      </c>
      <c r="CE19" s="26" t="s">
        <v>297</v>
      </c>
      <c r="CF19" s="26"/>
      <c r="CG19" s="26" t="s">
        <v>297</v>
      </c>
      <c r="CH19" s="26" t="s">
        <v>297</v>
      </c>
      <c r="CI19" s="26" t="s">
        <v>297</v>
      </c>
      <c r="CJ19" s="26">
        <v>2.5</v>
      </c>
      <c r="CK19" s="26" t="s">
        <v>297</v>
      </c>
      <c r="CL19" s="26" t="s">
        <v>297</v>
      </c>
      <c r="CM19" s="26" t="s">
        <v>297</v>
      </c>
      <c r="CN19" s="26">
        <v>4.2480985847694228</v>
      </c>
      <c r="CO19" s="26">
        <v>0.75</v>
      </c>
      <c r="CP19" s="26">
        <v>0.62439024390243902</v>
      </c>
      <c r="CQ19" s="26" t="s">
        <v>297</v>
      </c>
      <c r="CR19" s="26">
        <v>0.31240000000000001</v>
      </c>
      <c r="CS19" s="26" t="s">
        <v>297</v>
      </c>
      <c r="CT19" s="26">
        <v>0.31233333333333335</v>
      </c>
      <c r="CU19" s="26" t="s">
        <v>297</v>
      </c>
      <c r="CV19" s="26">
        <v>0.74850299401197606</v>
      </c>
      <c r="CW19" s="26">
        <v>0.97711864406779658</v>
      </c>
      <c r="CX19" s="26" t="s">
        <v>297</v>
      </c>
      <c r="CY19" s="26">
        <v>0.62571428571428567</v>
      </c>
      <c r="CZ19" s="26" t="s">
        <v>297</v>
      </c>
      <c r="DA19" s="26" t="s">
        <v>297</v>
      </c>
      <c r="DB19" s="26">
        <v>3.1260869565217391</v>
      </c>
      <c r="DC19" s="26"/>
      <c r="DD19" s="26" t="s">
        <v>297</v>
      </c>
      <c r="DE19" s="26" t="s">
        <v>297</v>
      </c>
      <c r="DF19" s="26">
        <v>1.25</v>
      </c>
      <c r="DG19" s="26" t="s">
        <v>297</v>
      </c>
      <c r="DH19" s="26" t="s">
        <v>297</v>
      </c>
      <c r="DI19" s="26" t="s">
        <v>297</v>
      </c>
      <c r="DJ19" s="26" t="s">
        <v>297</v>
      </c>
      <c r="DK19" s="26">
        <v>0.87492063492063488</v>
      </c>
      <c r="DL19" s="26" t="s">
        <v>297</v>
      </c>
      <c r="DM19" s="26">
        <v>0.937037037037037</v>
      </c>
      <c r="DN19" s="26">
        <v>0.94</v>
      </c>
      <c r="DO19" s="26" t="s">
        <v>297</v>
      </c>
      <c r="DP19" s="26" t="s">
        <v>297</v>
      </c>
      <c r="DQ19" s="26" t="s">
        <v>297</v>
      </c>
      <c r="DR19" s="26" t="s">
        <v>297</v>
      </c>
      <c r="DS19" s="26" t="s">
        <v>297</v>
      </c>
      <c r="DT19" s="26" t="s">
        <v>297</v>
      </c>
      <c r="DU19" s="26" t="s">
        <v>297</v>
      </c>
      <c r="DV19" s="26">
        <v>15.922131780835224</v>
      </c>
      <c r="DW19" s="26" t="s">
        <v>297</v>
      </c>
      <c r="DX19" s="26" t="s">
        <v>297</v>
      </c>
      <c r="DY19" s="26" t="s">
        <v>297</v>
      </c>
    </row>
    <row r="20" spans="1:129" x14ac:dyDescent="0.2">
      <c r="A20" s="25" t="s">
        <v>307</v>
      </c>
      <c r="C20" s="26" t="s">
        <v>297</v>
      </c>
      <c r="D20" s="26" t="s">
        <v>297</v>
      </c>
      <c r="E20" s="26">
        <v>1.9</v>
      </c>
      <c r="F20" s="26">
        <v>2.5</v>
      </c>
      <c r="G20" s="26">
        <v>0.15666666666666668</v>
      </c>
      <c r="H20" s="26" t="s">
        <v>297</v>
      </c>
      <c r="I20" s="26" t="s">
        <v>297</v>
      </c>
      <c r="J20" s="26" t="s">
        <v>297</v>
      </c>
      <c r="K20" s="26" t="s">
        <v>297</v>
      </c>
      <c r="L20" s="26" t="s">
        <v>297</v>
      </c>
      <c r="M20" s="26" t="s">
        <v>297</v>
      </c>
      <c r="N20" s="26" t="s">
        <v>297</v>
      </c>
      <c r="O20" s="26" t="s">
        <v>297</v>
      </c>
      <c r="P20" s="26" t="s">
        <v>297</v>
      </c>
      <c r="Q20" s="26" t="s">
        <v>297</v>
      </c>
      <c r="R20" s="26">
        <v>3.1216216216216215</v>
      </c>
      <c r="S20" s="26" t="s">
        <v>297</v>
      </c>
      <c r="T20" s="26">
        <v>1.8750443734469293</v>
      </c>
      <c r="U20" s="26">
        <v>0.74909090909090914</v>
      </c>
      <c r="V20" s="26" t="s">
        <v>297</v>
      </c>
      <c r="W20" s="26"/>
      <c r="X20" s="26">
        <v>5.2081300813008129</v>
      </c>
      <c r="Y20" s="26">
        <v>6.2505910165484631</v>
      </c>
      <c r="Z20" s="26">
        <v>10.417047184170471</v>
      </c>
      <c r="AA20" s="26">
        <v>10.416326530612245</v>
      </c>
      <c r="AB20" s="26">
        <v>0.93928571428571428</v>
      </c>
      <c r="AC20" s="26">
        <v>3.1235294117647059</v>
      </c>
      <c r="AD20" s="26">
        <v>0.38732394366197181</v>
      </c>
      <c r="AE20" s="26">
        <v>3.7428571428571429</v>
      </c>
      <c r="AF20" s="26">
        <v>1.0984848484848484</v>
      </c>
      <c r="AG20" s="26">
        <v>0.75</v>
      </c>
      <c r="AH20" s="26" t="s">
        <v>297</v>
      </c>
      <c r="AI20" s="26" t="s">
        <v>297</v>
      </c>
      <c r="AJ20" s="26"/>
      <c r="AK20" s="26">
        <v>0.37586206896551722</v>
      </c>
      <c r="AL20" s="26" t="s">
        <v>297</v>
      </c>
      <c r="AM20" s="26" t="s">
        <v>297</v>
      </c>
      <c r="AN20" s="26" t="s">
        <v>297</v>
      </c>
      <c r="AO20" s="26" t="s">
        <v>297</v>
      </c>
      <c r="AP20" s="26">
        <v>0.93727272727272726</v>
      </c>
      <c r="AQ20" s="26">
        <v>0.62473684210526315</v>
      </c>
      <c r="AR20" s="26">
        <v>0.625</v>
      </c>
      <c r="AS20" s="26" t="s">
        <v>297</v>
      </c>
      <c r="AT20" s="26" t="s">
        <v>297</v>
      </c>
      <c r="AU20" s="26">
        <v>0.43777777777777777</v>
      </c>
      <c r="AV20" s="26" t="s">
        <v>297</v>
      </c>
      <c r="AW20" s="26" t="s">
        <v>297</v>
      </c>
      <c r="AX20" s="26" t="s">
        <v>297</v>
      </c>
      <c r="AY20" s="26" t="s">
        <v>297</v>
      </c>
      <c r="AZ20" s="26">
        <v>0.31247148288973386</v>
      </c>
      <c r="BA20" s="26">
        <v>0.18749532710280373</v>
      </c>
      <c r="BB20" s="26">
        <v>0.375</v>
      </c>
      <c r="BC20" s="26">
        <v>0.3125974025974026</v>
      </c>
      <c r="BD20" s="26" t="s">
        <v>297</v>
      </c>
      <c r="BE20" s="26" t="s">
        <v>297</v>
      </c>
      <c r="BF20" s="26" t="s">
        <v>297</v>
      </c>
      <c r="BG20" s="26"/>
      <c r="BH20" s="26" t="s">
        <v>297</v>
      </c>
      <c r="BI20" s="26" t="s">
        <v>297</v>
      </c>
      <c r="BJ20" s="26" t="s">
        <v>297</v>
      </c>
      <c r="BK20" s="26" t="s">
        <v>297</v>
      </c>
      <c r="BL20" s="26" t="s">
        <v>297</v>
      </c>
      <c r="BM20" s="26" t="s">
        <v>297</v>
      </c>
      <c r="BN20" s="26">
        <v>3.8</v>
      </c>
      <c r="BO20" s="26">
        <v>0.62285714285714289</v>
      </c>
      <c r="BP20" s="26" t="s">
        <v>297</v>
      </c>
      <c r="BQ20" s="26"/>
      <c r="BR20" s="26" t="s">
        <v>297</v>
      </c>
      <c r="BS20" s="26" t="s">
        <v>297</v>
      </c>
      <c r="BT20" s="26">
        <v>3.12</v>
      </c>
      <c r="BU20" s="26" t="s">
        <v>297</v>
      </c>
      <c r="BV20" s="26">
        <v>0.62857142857142856</v>
      </c>
      <c r="BW20" s="26" t="s">
        <v>297</v>
      </c>
      <c r="BX20" s="26">
        <v>0.25</v>
      </c>
      <c r="BY20" s="26">
        <v>1</v>
      </c>
      <c r="BZ20" s="26" t="s">
        <v>297</v>
      </c>
      <c r="CA20" s="26" t="s">
        <v>297</v>
      </c>
      <c r="CB20" s="26" t="s">
        <v>297</v>
      </c>
      <c r="CC20" s="26" t="s">
        <v>297</v>
      </c>
      <c r="CD20" s="26" t="s">
        <v>297</v>
      </c>
      <c r="CE20" s="26" t="s">
        <v>297</v>
      </c>
      <c r="CF20" s="26" t="s">
        <v>297</v>
      </c>
      <c r="CG20" s="26" t="s">
        <v>297</v>
      </c>
      <c r="CH20" s="26" t="s">
        <v>297</v>
      </c>
      <c r="CI20" s="26" t="s">
        <v>297</v>
      </c>
      <c r="CJ20" s="26">
        <v>3.125</v>
      </c>
      <c r="CK20" s="26" t="s">
        <v>297</v>
      </c>
      <c r="CL20" s="26" t="s">
        <v>297</v>
      </c>
      <c r="CM20" s="26" t="s">
        <v>297</v>
      </c>
      <c r="CN20" s="26">
        <v>4.2440318302387263</v>
      </c>
      <c r="CO20" s="26">
        <v>0.75</v>
      </c>
      <c r="CP20" s="26">
        <v>0.6253333333333333</v>
      </c>
      <c r="CQ20" s="26" t="s">
        <v>297</v>
      </c>
      <c r="CR20" s="26">
        <v>0.31233333333333335</v>
      </c>
      <c r="CS20" s="26">
        <v>0.44</v>
      </c>
      <c r="CT20" s="26" t="s">
        <v>297</v>
      </c>
      <c r="CU20" s="26" t="s">
        <v>297</v>
      </c>
      <c r="CV20" s="26">
        <v>0.72777777777777775</v>
      </c>
      <c r="CW20" s="26">
        <v>0.40225165562913906</v>
      </c>
      <c r="CX20" s="26" t="s">
        <v>297</v>
      </c>
      <c r="CY20" s="26">
        <v>0.625</v>
      </c>
      <c r="CZ20" s="26" t="s">
        <v>297</v>
      </c>
      <c r="DA20" s="26" t="s">
        <v>297</v>
      </c>
      <c r="DB20" s="26" t="s">
        <v>297</v>
      </c>
      <c r="DC20" s="26" t="s">
        <v>297</v>
      </c>
      <c r="DD20" s="26" t="s">
        <v>297</v>
      </c>
      <c r="DE20" s="26" t="s">
        <v>297</v>
      </c>
      <c r="DF20" s="26">
        <v>1.2503225806451612</v>
      </c>
      <c r="DG20" s="26" t="s">
        <v>297</v>
      </c>
      <c r="DH20" s="26" t="s">
        <v>297</v>
      </c>
      <c r="DI20" s="26" t="s">
        <v>297</v>
      </c>
      <c r="DJ20" s="26" t="s">
        <v>297</v>
      </c>
      <c r="DK20" s="26">
        <v>0.79166666666666663</v>
      </c>
      <c r="DL20" s="26" t="s">
        <v>297</v>
      </c>
      <c r="DM20" s="26">
        <v>0.93684210526315792</v>
      </c>
      <c r="DN20" s="26">
        <v>0.99739130434782608</v>
      </c>
      <c r="DO20" s="26" t="s">
        <v>297</v>
      </c>
      <c r="DP20" s="26" t="s">
        <v>297</v>
      </c>
      <c r="DQ20" s="26" t="s">
        <v>297</v>
      </c>
      <c r="DR20" s="26" t="s">
        <v>297</v>
      </c>
      <c r="DS20" s="26" t="s">
        <v>297</v>
      </c>
      <c r="DT20" s="26" t="s">
        <v>297</v>
      </c>
      <c r="DU20" s="26" t="s">
        <v>297</v>
      </c>
      <c r="DV20" s="26" t="s">
        <v>297</v>
      </c>
      <c r="DW20" s="26" t="s">
        <v>297</v>
      </c>
      <c r="DX20" s="26" t="s">
        <v>297</v>
      </c>
      <c r="DY20" s="26" t="s">
        <v>297</v>
      </c>
    </row>
    <row r="21" spans="1:129" x14ac:dyDescent="0.2">
      <c r="A21" s="25" t="s">
        <v>308</v>
      </c>
      <c r="C21" s="26" t="s">
        <v>297</v>
      </c>
      <c r="D21" s="26" t="s">
        <v>297</v>
      </c>
      <c r="E21" s="26">
        <v>2</v>
      </c>
      <c r="F21" s="26" t="s">
        <v>297</v>
      </c>
      <c r="G21" s="26">
        <v>0.26666666666666666</v>
      </c>
      <c r="H21" s="26" t="s">
        <v>297</v>
      </c>
      <c r="I21" s="26" t="s">
        <v>297</v>
      </c>
      <c r="J21" s="26" t="s">
        <v>297</v>
      </c>
      <c r="K21" s="26" t="s">
        <v>297</v>
      </c>
      <c r="L21" s="26" t="s">
        <v>297</v>
      </c>
      <c r="M21" s="26" t="s">
        <v>297</v>
      </c>
      <c r="N21" s="26" t="s">
        <v>297</v>
      </c>
      <c r="O21" s="26" t="s">
        <v>297</v>
      </c>
      <c r="P21" s="26" t="s">
        <v>297</v>
      </c>
      <c r="Q21" s="26" t="s">
        <v>297</v>
      </c>
      <c r="R21" s="26">
        <v>2.6666666666666665</v>
      </c>
      <c r="S21" s="26" t="s">
        <v>297</v>
      </c>
      <c r="T21" s="26">
        <v>1.6672972972972973</v>
      </c>
      <c r="U21" s="26">
        <v>0.8</v>
      </c>
      <c r="V21" s="26" t="s">
        <v>297</v>
      </c>
      <c r="W21" s="26"/>
      <c r="X21" s="26">
        <v>13.333333333333334</v>
      </c>
      <c r="Y21" s="26">
        <v>6.666666666666667</v>
      </c>
      <c r="Z21" s="26">
        <v>11.236245954692556</v>
      </c>
      <c r="AA21" s="26">
        <v>10.705454545454545</v>
      </c>
      <c r="AB21" s="26">
        <v>1</v>
      </c>
      <c r="AC21" s="26">
        <v>3.3571428571428572</v>
      </c>
      <c r="AD21" s="26">
        <v>0.33324999999999999</v>
      </c>
      <c r="AE21" s="26">
        <v>0.33076923076923076</v>
      </c>
      <c r="AF21" s="26">
        <v>2.2263888888888888</v>
      </c>
      <c r="AG21" s="26">
        <v>0.8</v>
      </c>
      <c r="AH21" s="26" t="s">
        <v>297</v>
      </c>
      <c r="AI21" s="26" t="s">
        <v>297</v>
      </c>
      <c r="AJ21" s="26"/>
      <c r="AK21" s="26">
        <v>0.40093457943925231</v>
      </c>
      <c r="AL21" s="26" t="s">
        <v>297</v>
      </c>
      <c r="AM21" s="26" t="s">
        <v>297</v>
      </c>
      <c r="AN21" s="26" t="s">
        <v>297</v>
      </c>
      <c r="AO21" s="26" t="s">
        <v>297</v>
      </c>
      <c r="AP21" s="26">
        <v>1</v>
      </c>
      <c r="AQ21" s="26">
        <v>0.66636363636363638</v>
      </c>
      <c r="AR21" s="26">
        <v>0.66688144329896903</v>
      </c>
      <c r="AS21" s="26" t="s">
        <v>297</v>
      </c>
      <c r="AT21" s="26" t="s">
        <v>297</v>
      </c>
      <c r="AU21" s="26">
        <v>0.43533333333333335</v>
      </c>
      <c r="AV21" s="26" t="s">
        <v>297</v>
      </c>
      <c r="AW21" s="26" t="s">
        <v>297</v>
      </c>
      <c r="AX21" s="26" t="s">
        <v>297</v>
      </c>
      <c r="AY21" s="26" t="s">
        <v>297</v>
      </c>
      <c r="AZ21" s="26">
        <v>0.33333333333333331</v>
      </c>
      <c r="BA21" s="26">
        <v>0.2</v>
      </c>
      <c r="BB21" s="26">
        <v>0.4</v>
      </c>
      <c r="BC21" s="26">
        <v>0.66661157024793394</v>
      </c>
      <c r="BD21" s="26" t="s">
        <v>297</v>
      </c>
      <c r="BE21" s="26" t="s">
        <v>297</v>
      </c>
      <c r="BF21" s="26" t="s">
        <v>297</v>
      </c>
      <c r="BG21" s="26" t="s">
        <v>297</v>
      </c>
      <c r="BH21" s="26" t="s">
        <v>297</v>
      </c>
      <c r="BI21" s="26" t="s">
        <v>297</v>
      </c>
      <c r="BJ21" s="26" t="s">
        <v>297</v>
      </c>
      <c r="BK21" s="26" t="s">
        <v>297</v>
      </c>
      <c r="BL21" s="26" t="s">
        <v>297</v>
      </c>
      <c r="BM21" s="26" t="s">
        <v>297</v>
      </c>
      <c r="BN21" s="26">
        <v>4</v>
      </c>
      <c r="BO21" s="26">
        <v>0.66666666666666663</v>
      </c>
      <c r="BP21" s="26" t="s">
        <v>297</v>
      </c>
      <c r="BQ21" s="26"/>
      <c r="BR21" s="26">
        <v>2.6666666666666668E-2</v>
      </c>
      <c r="BS21" s="26" t="s">
        <v>297</v>
      </c>
      <c r="BT21" s="26">
        <v>3.34</v>
      </c>
      <c r="BU21" s="26" t="s">
        <v>297</v>
      </c>
      <c r="BV21" s="26">
        <v>0.66666666666666663</v>
      </c>
      <c r="BW21" s="26" t="s">
        <v>297</v>
      </c>
      <c r="BX21" s="26">
        <v>0.26640000000000003</v>
      </c>
      <c r="BY21" s="26">
        <v>1.13375</v>
      </c>
      <c r="BZ21" s="26" t="s">
        <v>297</v>
      </c>
      <c r="CA21" s="26" t="s">
        <v>297</v>
      </c>
      <c r="CB21" s="26" t="s">
        <v>297</v>
      </c>
      <c r="CC21" s="26">
        <v>1.6833333333333333</v>
      </c>
      <c r="CD21" s="26" t="s">
        <v>297</v>
      </c>
      <c r="CE21" s="26">
        <v>1</v>
      </c>
      <c r="CF21" s="26" t="s">
        <v>297</v>
      </c>
      <c r="CG21" s="26" t="s">
        <v>297</v>
      </c>
      <c r="CH21" s="26" t="s">
        <v>297</v>
      </c>
      <c r="CI21" s="26" t="s">
        <v>297</v>
      </c>
      <c r="CJ21" s="26">
        <v>3.3337500000000002</v>
      </c>
      <c r="CK21" s="26" t="s">
        <v>297</v>
      </c>
      <c r="CL21" s="26" t="s">
        <v>297</v>
      </c>
      <c r="CM21" s="26" t="s">
        <v>297</v>
      </c>
      <c r="CN21" s="26">
        <v>4.6015798757573432</v>
      </c>
      <c r="CO21" s="26">
        <v>1.2</v>
      </c>
      <c r="CP21" s="26">
        <v>0.33333333333333331</v>
      </c>
      <c r="CQ21" s="26" t="s">
        <v>297</v>
      </c>
      <c r="CR21" s="26">
        <v>0.33514285714285713</v>
      </c>
      <c r="CS21" s="26" t="s">
        <v>297</v>
      </c>
      <c r="CT21" s="26" t="s">
        <v>297</v>
      </c>
      <c r="CU21" s="26" t="s">
        <v>297</v>
      </c>
      <c r="CV21" s="26">
        <v>1</v>
      </c>
      <c r="CW21" s="26">
        <v>1.280722891566265</v>
      </c>
      <c r="CX21" s="26" t="s">
        <v>297</v>
      </c>
      <c r="CY21" s="26">
        <v>0.66666666666666663</v>
      </c>
      <c r="CZ21" s="26" t="s">
        <v>297</v>
      </c>
      <c r="DA21" s="26" t="s">
        <v>297</v>
      </c>
      <c r="DB21" s="26" t="s">
        <v>297</v>
      </c>
      <c r="DC21" s="26" t="s">
        <v>297</v>
      </c>
      <c r="DD21" s="26" t="s">
        <v>297</v>
      </c>
      <c r="DE21" s="26" t="s">
        <v>297</v>
      </c>
      <c r="DF21" s="26">
        <v>2</v>
      </c>
      <c r="DG21" s="26" t="s">
        <v>297</v>
      </c>
      <c r="DH21" s="26" t="s">
        <v>297</v>
      </c>
      <c r="DI21" s="26" t="s">
        <v>297</v>
      </c>
      <c r="DJ21" s="26" t="s">
        <v>297</v>
      </c>
      <c r="DK21" s="26">
        <v>0.72311529933481156</v>
      </c>
      <c r="DL21" s="26" t="s">
        <v>297</v>
      </c>
      <c r="DM21" s="26">
        <v>1</v>
      </c>
      <c r="DN21" s="26">
        <v>0.83297644539614557</v>
      </c>
      <c r="DO21" s="26" t="s">
        <v>297</v>
      </c>
      <c r="DP21" s="26" t="s">
        <v>297</v>
      </c>
      <c r="DQ21" s="26" t="s">
        <v>297</v>
      </c>
      <c r="DR21" s="26" t="s">
        <v>297</v>
      </c>
      <c r="DS21" s="26" t="s">
        <v>297</v>
      </c>
      <c r="DT21" s="26" t="s">
        <v>297</v>
      </c>
      <c r="DU21" s="26" t="s">
        <v>297</v>
      </c>
      <c r="DV21" s="26" t="s">
        <v>297</v>
      </c>
      <c r="DW21" s="26" t="s">
        <v>297</v>
      </c>
      <c r="DX21" s="26" t="s">
        <v>297</v>
      </c>
      <c r="DY21" s="26" t="s">
        <v>297</v>
      </c>
    </row>
    <row r="22" spans="1:129" x14ac:dyDescent="0.2">
      <c r="A22" s="25" t="s">
        <v>309</v>
      </c>
      <c r="C22" s="26" t="s">
        <v>297</v>
      </c>
      <c r="D22" s="26" t="s">
        <v>297</v>
      </c>
      <c r="E22" s="26" t="s">
        <v>297</v>
      </c>
      <c r="F22" s="26" t="s">
        <v>297</v>
      </c>
      <c r="G22" s="26">
        <v>0.26666666666666666</v>
      </c>
      <c r="H22" s="26" t="s">
        <v>297</v>
      </c>
      <c r="I22" s="26" t="s">
        <v>297</v>
      </c>
      <c r="J22" s="26" t="s">
        <v>297</v>
      </c>
      <c r="K22" s="26" t="s">
        <v>297</v>
      </c>
      <c r="L22" s="26" t="s">
        <v>297</v>
      </c>
      <c r="M22" s="26" t="s">
        <v>297</v>
      </c>
      <c r="N22" s="26" t="s">
        <v>297</v>
      </c>
      <c r="O22" s="26" t="s">
        <v>297</v>
      </c>
      <c r="P22" s="26" t="s">
        <v>297</v>
      </c>
      <c r="Q22" s="26" t="s">
        <v>297</v>
      </c>
      <c r="R22" s="26">
        <v>2.6666666666666665</v>
      </c>
      <c r="S22" s="26" t="s">
        <v>297</v>
      </c>
      <c r="T22" s="26">
        <v>1.6545126353790613</v>
      </c>
      <c r="U22" s="26">
        <v>0.8</v>
      </c>
      <c r="V22" s="26">
        <v>9.9684530596731289</v>
      </c>
      <c r="W22" s="26"/>
      <c r="X22" s="26" t="s">
        <v>297</v>
      </c>
      <c r="Y22" s="26" t="s">
        <v>297</v>
      </c>
      <c r="Z22" s="26" t="s">
        <v>297</v>
      </c>
      <c r="AA22" s="26" t="s">
        <v>297</v>
      </c>
      <c r="AB22" s="26">
        <v>1</v>
      </c>
      <c r="AC22" s="26">
        <v>3.3279999999999998</v>
      </c>
      <c r="AD22" s="26">
        <v>0.26669999999999999</v>
      </c>
      <c r="AE22" s="26">
        <v>0.33500000000000002</v>
      </c>
      <c r="AF22" s="26">
        <v>1.527457627118644</v>
      </c>
      <c r="AG22" s="26" t="s">
        <v>297</v>
      </c>
      <c r="AH22" s="26" t="s">
        <v>297</v>
      </c>
      <c r="AI22" s="26" t="s">
        <v>297</v>
      </c>
      <c r="AJ22" s="26"/>
      <c r="AK22" s="26">
        <v>0.4</v>
      </c>
      <c r="AL22" s="26" t="s">
        <v>297</v>
      </c>
      <c r="AM22" s="26" t="s">
        <v>297</v>
      </c>
      <c r="AN22" s="26" t="s">
        <v>297</v>
      </c>
      <c r="AO22" s="26" t="s">
        <v>297</v>
      </c>
      <c r="AP22" s="26">
        <v>1</v>
      </c>
      <c r="AQ22" s="26">
        <v>0.66698564593301435</v>
      </c>
      <c r="AR22" s="26">
        <v>0.66666666666666663</v>
      </c>
      <c r="AS22" s="26" t="s">
        <v>297</v>
      </c>
      <c r="AT22" s="26" t="s">
        <v>297</v>
      </c>
      <c r="AU22" s="26">
        <v>0.46571428571428569</v>
      </c>
      <c r="AV22" s="26" t="s">
        <v>297</v>
      </c>
      <c r="AW22" s="26" t="s">
        <v>297</v>
      </c>
      <c r="AX22" s="26" t="s">
        <v>297</v>
      </c>
      <c r="AY22" s="26">
        <v>0.39592065545493749</v>
      </c>
      <c r="AZ22" s="26" t="s">
        <v>297</v>
      </c>
      <c r="BA22" s="26" t="s">
        <v>297</v>
      </c>
      <c r="BB22" s="26" t="s">
        <v>297</v>
      </c>
      <c r="BC22" s="26" t="s">
        <v>297</v>
      </c>
      <c r="BD22" s="26" t="s">
        <v>297</v>
      </c>
      <c r="BE22" s="26" t="s">
        <v>297</v>
      </c>
      <c r="BF22" s="26" t="s">
        <v>297</v>
      </c>
      <c r="BG22" s="26" t="s">
        <v>297</v>
      </c>
      <c r="BH22" s="26" t="s">
        <v>297</v>
      </c>
      <c r="BI22" s="26" t="s">
        <v>297</v>
      </c>
      <c r="BJ22" s="26" t="s">
        <v>297</v>
      </c>
      <c r="BK22" s="26" t="s">
        <v>297</v>
      </c>
      <c r="BL22" s="26" t="s">
        <v>297</v>
      </c>
      <c r="BM22" s="26" t="s">
        <v>297</v>
      </c>
      <c r="BN22" s="26">
        <v>4</v>
      </c>
      <c r="BO22" s="26">
        <v>0.66461538461538461</v>
      </c>
      <c r="BP22" s="26" t="s">
        <v>297</v>
      </c>
      <c r="BQ22" s="26"/>
      <c r="BR22" s="26">
        <v>2.2173913043478259E-2</v>
      </c>
      <c r="BS22" s="26" t="s">
        <v>297</v>
      </c>
      <c r="BT22" s="26">
        <v>3.342857142857143</v>
      </c>
      <c r="BU22" s="26" t="s">
        <v>297</v>
      </c>
      <c r="BV22" s="26">
        <v>0.66620689655172416</v>
      </c>
      <c r="BW22" s="26" t="s">
        <v>297</v>
      </c>
      <c r="BX22" s="26">
        <v>0.36633333333333334</v>
      </c>
      <c r="BY22" s="26">
        <v>1.1339999999999999</v>
      </c>
      <c r="BZ22" s="26" t="s">
        <v>297</v>
      </c>
      <c r="CA22" s="26" t="s">
        <v>297</v>
      </c>
      <c r="CB22" s="26" t="s">
        <v>297</v>
      </c>
      <c r="CC22" s="26">
        <v>1.68</v>
      </c>
      <c r="CD22" s="26" t="s">
        <v>297</v>
      </c>
      <c r="CE22" s="26">
        <v>1</v>
      </c>
      <c r="CF22" s="26" t="s">
        <v>297</v>
      </c>
      <c r="CG22" s="26" t="s">
        <v>297</v>
      </c>
      <c r="CH22" s="26" t="s">
        <v>297</v>
      </c>
      <c r="CI22" s="26" t="s">
        <v>297</v>
      </c>
      <c r="CJ22" s="26">
        <v>2.5</v>
      </c>
      <c r="CK22" s="26" t="s">
        <v>297</v>
      </c>
      <c r="CL22" s="26" t="s">
        <v>297</v>
      </c>
      <c r="CM22" s="26" t="s">
        <v>297</v>
      </c>
      <c r="CN22" s="26">
        <v>4.5248868778280542</v>
      </c>
      <c r="CO22" s="26">
        <v>1.2</v>
      </c>
      <c r="CP22" s="26">
        <v>0.33358208955223878</v>
      </c>
      <c r="CQ22" s="26" t="s">
        <v>297</v>
      </c>
      <c r="CR22" s="26">
        <v>0.4</v>
      </c>
      <c r="CS22" s="26" t="s">
        <v>297</v>
      </c>
      <c r="CT22" s="26">
        <v>0.4</v>
      </c>
      <c r="CU22" s="26" t="s">
        <v>297</v>
      </c>
      <c r="CV22" s="26">
        <v>1</v>
      </c>
      <c r="CW22" s="26">
        <v>1.1724137931034482</v>
      </c>
      <c r="CX22" s="26" t="s">
        <v>297</v>
      </c>
      <c r="CY22" s="26">
        <v>0.66857142857142859</v>
      </c>
      <c r="CZ22" s="26" t="s">
        <v>297</v>
      </c>
      <c r="DA22" s="26" t="s">
        <v>297</v>
      </c>
      <c r="DB22" s="26" t="s">
        <v>297</v>
      </c>
      <c r="DC22" s="26" t="s">
        <v>297</v>
      </c>
      <c r="DD22" s="26" t="s">
        <v>297</v>
      </c>
      <c r="DE22" s="26" t="s">
        <v>297</v>
      </c>
      <c r="DF22" s="26">
        <v>2</v>
      </c>
      <c r="DG22" s="26" t="s">
        <v>297</v>
      </c>
      <c r="DH22" s="26" t="s">
        <v>297</v>
      </c>
      <c r="DI22" s="26" t="s">
        <v>297</v>
      </c>
      <c r="DJ22" s="26" t="s">
        <v>297</v>
      </c>
      <c r="DK22" s="26">
        <v>0.8</v>
      </c>
      <c r="DL22" s="26" t="s">
        <v>297</v>
      </c>
      <c r="DM22" s="26">
        <v>1</v>
      </c>
      <c r="DN22" s="26">
        <v>0.71698113207547165</v>
      </c>
      <c r="DO22" s="26" t="s">
        <v>297</v>
      </c>
      <c r="DP22" s="26" t="s">
        <v>297</v>
      </c>
      <c r="DQ22" s="26" t="s">
        <v>297</v>
      </c>
      <c r="DR22" s="26" t="s">
        <v>297</v>
      </c>
      <c r="DS22" s="26" t="s">
        <v>297</v>
      </c>
      <c r="DT22" s="26" t="s">
        <v>297</v>
      </c>
      <c r="DU22" s="26" t="s">
        <v>297</v>
      </c>
      <c r="DV22" s="26" t="s">
        <v>297</v>
      </c>
      <c r="DW22" s="26" t="s">
        <v>297</v>
      </c>
      <c r="DX22" s="26" t="s">
        <v>297</v>
      </c>
      <c r="DY22" s="26" t="s">
        <v>297</v>
      </c>
    </row>
    <row r="23" spans="1:129" x14ac:dyDescent="0.2">
      <c r="A23" s="25" t="s">
        <v>310</v>
      </c>
      <c r="C23" s="26" t="s">
        <v>297</v>
      </c>
      <c r="D23" s="26" t="s">
        <v>297</v>
      </c>
      <c r="E23" s="26" t="s">
        <v>297</v>
      </c>
      <c r="F23" s="26" t="s">
        <v>297</v>
      </c>
      <c r="G23" s="26">
        <v>0.26500000000000001</v>
      </c>
      <c r="H23" s="26" t="s">
        <v>297</v>
      </c>
      <c r="I23" s="26" t="s">
        <v>297</v>
      </c>
      <c r="J23" s="26" t="s">
        <v>297</v>
      </c>
      <c r="K23" s="26" t="s">
        <v>297</v>
      </c>
      <c r="L23" s="26" t="s">
        <v>297</v>
      </c>
      <c r="M23" s="26" t="s">
        <v>297</v>
      </c>
      <c r="N23" s="26" t="s">
        <v>297</v>
      </c>
      <c r="O23" s="26" t="s">
        <v>297</v>
      </c>
      <c r="P23" s="26" t="s">
        <v>297</v>
      </c>
      <c r="Q23" s="26" t="s">
        <v>297</v>
      </c>
      <c r="R23" s="26">
        <v>2.6671408250355619</v>
      </c>
      <c r="S23" s="26" t="s">
        <v>297</v>
      </c>
      <c r="T23" s="26">
        <v>1.6666666666666667</v>
      </c>
      <c r="U23" s="26">
        <v>0.8</v>
      </c>
      <c r="V23" s="26">
        <v>10.665283540802212</v>
      </c>
      <c r="W23" s="26"/>
      <c r="X23" s="26" t="s">
        <v>297</v>
      </c>
      <c r="Y23" s="26" t="s">
        <v>297</v>
      </c>
      <c r="Z23" s="26" t="s">
        <v>297</v>
      </c>
      <c r="AA23" s="26" t="s">
        <v>297</v>
      </c>
      <c r="AB23" s="26">
        <v>0.96</v>
      </c>
      <c r="AC23" s="26">
        <v>3.3333333333333335</v>
      </c>
      <c r="AD23" s="26">
        <v>0.26663999999999999</v>
      </c>
      <c r="AE23" s="26">
        <v>0.33333333333333331</v>
      </c>
      <c r="AF23" s="26">
        <v>1.6608841634023503</v>
      </c>
      <c r="AG23" s="26" t="s">
        <v>297</v>
      </c>
      <c r="AH23" s="26" t="s">
        <v>297</v>
      </c>
      <c r="AI23" s="26" t="s">
        <v>297</v>
      </c>
      <c r="AJ23" s="26"/>
      <c r="AK23" s="26" t="s">
        <v>297</v>
      </c>
      <c r="AL23" s="26" t="s">
        <v>297</v>
      </c>
      <c r="AM23" s="26" t="s">
        <v>297</v>
      </c>
      <c r="AN23" s="26" t="s">
        <v>297</v>
      </c>
      <c r="AO23" s="26" t="s">
        <v>297</v>
      </c>
      <c r="AP23" s="26">
        <v>1</v>
      </c>
      <c r="AQ23" s="26">
        <v>0.66804123711340202</v>
      </c>
      <c r="AR23" s="26">
        <v>0.66515151515151516</v>
      </c>
      <c r="AS23" s="26" t="s">
        <v>297</v>
      </c>
      <c r="AT23" s="26" t="s">
        <v>297</v>
      </c>
      <c r="AU23" s="26">
        <v>0.66666666666666663</v>
      </c>
      <c r="AV23" s="26" t="s">
        <v>297</v>
      </c>
      <c r="AW23" s="26" t="s">
        <v>297</v>
      </c>
      <c r="AX23" s="26" t="s">
        <v>297</v>
      </c>
      <c r="AY23" s="26">
        <v>0.45299769053117783</v>
      </c>
      <c r="AZ23" s="26" t="s">
        <v>297</v>
      </c>
      <c r="BA23" s="26" t="s">
        <v>297</v>
      </c>
      <c r="BB23" s="26" t="s">
        <v>297</v>
      </c>
      <c r="BC23" s="26" t="s">
        <v>297</v>
      </c>
      <c r="BD23" s="26">
        <v>0.83529411764705885</v>
      </c>
      <c r="BE23" s="26" t="s">
        <v>297</v>
      </c>
      <c r="BF23" s="26" t="s">
        <v>297</v>
      </c>
      <c r="BG23" s="26" t="s">
        <v>297</v>
      </c>
      <c r="BH23" s="26" t="s">
        <v>297</v>
      </c>
      <c r="BI23" s="26" t="s">
        <v>297</v>
      </c>
      <c r="BJ23" s="26" t="s">
        <v>297</v>
      </c>
      <c r="BK23" s="26" t="s">
        <v>297</v>
      </c>
      <c r="BL23" s="26" t="s">
        <v>297</v>
      </c>
      <c r="BM23" s="26" t="s">
        <v>297</v>
      </c>
      <c r="BN23" s="26" t="s">
        <v>297</v>
      </c>
      <c r="BO23" s="26">
        <v>0.8</v>
      </c>
      <c r="BP23" s="26" t="s">
        <v>297</v>
      </c>
      <c r="BQ23" s="26"/>
      <c r="BR23" s="26">
        <v>3.3333333333333333E-2</v>
      </c>
      <c r="BS23" s="26" t="s">
        <v>297</v>
      </c>
      <c r="BT23" s="26">
        <v>3.32</v>
      </c>
      <c r="BU23" s="26" t="s">
        <v>297</v>
      </c>
      <c r="BV23" s="26">
        <v>0.66761904761904767</v>
      </c>
      <c r="BW23" s="26" t="s">
        <v>297</v>
      </c>
      <c r="BX23" s="26">
        <v>0.30818181818181817</v>
      </c>
      <c r="BY23" s="26">
        <v>1.1346153846153846</v>
      </c>
      <c r="BZ23" s="26" t="s">
        <v>297</v>
      </c>
      <c r="CA23" s="26" t="s">
        <v>297</v>
      </c>
      <c r="CB23" s="26" t="s">
        <v>297</v>
      </c>
      <c r="CC23" s="26">
        <v>1.66</v>
      </c>
      <c r="CD23" s="26" t="s">
        <v>297</v>
      </c>
      <c r="CE23" s="26">
        <v>1</v>
      </c>
      <c r="CF23" s="26" t="s">
        <v>297</v>
      </c>
      <c r="CG23" s="26" t="s">
        <v>297</v>
      </c>
      <c r="CH23" s="26" t="s">
        <v>297</v>
      </c>
      <c r="CI23" s="26" t="s">
        <v>297</v>
      </c>
      <c r="CJ23" s="26">
        <v>3.333076923076923</v>
      </c>
      <c r="CK23" s="26" t="s">
        <v>297</v>
      </c>
      <c r="CL23" s="26" t="s">
        <v>297</v>
      </c>
      <c r="CM23" s="26" t="s">
        <v>297</v>
      </c>
      <c r="CN23" s="26">
        <v>4.5248868778280542</v>
      </c>
      <c r="CO23" s="26">
        <v>1.3342857142857143</v>
      </c>
      <c r="CP23" s="26">
        <v>0.33333333333333331</v>
      </c>
      <c r="CQ23" s="26" t="s">
        <v>297</v>
      </c>
      <c r="CR23" s="26">
        <v>0.7</v>
      </c>
      <c r="CS23" s="26" t="s">
        <v>297</v>
      </c>
      <c r="CT23" s="26">
        <v>0.46600000000000003</v>
      </c>
      <c r="CU23" s="26" t="s">
        <v>297</v>
      </c>
      <c r="CV23" s="26">
        <v>1</v>
      </c>
      <c r="CW23" s="26">
        <v>1.0137190082644627</v>
      </c>
      <c r="CX23" s="26" t="s">
        <v>297</v>
      </c>
      <c r="CY23" s="26">
        <v>0.66744186046511633</v>
      </c>
      <c r="CZ23" s="26" t="s">
        <v>297</v>
      </c>
      <c r="DA23" s="26" t="s">
        <v>297</v>
      </c>
      <c r="DB23" s="26" t="s">
        <v>297</v>
      </c>
      <c r="DC23" s="26" t="s">
        <v>297</v>
      </c>
      <c r="DD23" s="26" t="s">
        <v>297</v>
      </c>
      <c r="DE23" s="26" t="s">
        <v>297</v>
      </c>
      <c r="DF23" s="26">
        <v>1.3852534562211982</v>
      </c>
      <c r="DG23" s="26" t="s">
        <v>297</v>
      </c>
      <c r="DH23" s="26" t="s">
        <v>297</v>
      </c>
      <c r="DI23" s="26" t="s">
        <v>297</v>
      </c>
      <c r="DJ23" s="26" t="s">
        <v>297</v>
      </c>
      <c r="DK23" s="26">
        <v>0.66662650602409634</v>
      </c>
      <c r="DL23" s="26" t="s">
        <v>297</v>
      </c>
      <c r="DM23" s="26">
        <v>1</v>
      </c>
      <c r="DN23" s="26">
        <v>0.67770477441962329</v>
      </c>
      <c r="DO23" s="26" t="s">
        <v>297</v>
      </c>
      <c r="DP23" s="26" t="s">
        <v>297</v>
      </c>
      <c r="DQ23" s="26" t="s">
        <v>297</v>
      </c>
      <c r="DR23" s="26" t="s">
        <v>297</v>
      </c>
      <c r="DS23" s="26" t="s">
        <v>297</v>
      </c>
      <c r="DT23" s="26" t="s">
        <v>297</v>
      </c>
      <c r="DU23" s="26" t="s">
        <v>297</v>
      </c>
      <c r="DV23" s="26" t="s">
        <v>297</v>
      </c>
      <c r="DW23" s="26" t="s">
        <v>297</v>
      </c>
      <c r="DX23" s="26" t="s">
        <v>297</v>
      </c>
      <c r="DY23" s="26" t="s">
        <v>297</v>
      </c>
    </row>
    <row r="24" spans="1:129" x14ac:dyDescent="0.2">
      <c r="A24" s="25" t="s">
        <v>311</v>
      </c>
      <c r="C24" s="26" t="s">
        <v>297</v>
      </c>
      <c r="D24" s="26">
        <v>16</v>
      </c>
      <c r="E24" s="26">
        <v>2.625</v>
      </c>
      <c r="F24" s="26" t="s">
        <v>297</v>
      </c>
      <c r="G24" s="26">
        <v>2.3684210526315788</v>
      </c>
      <c r="H24" s="26">
        <v>0.24340998317442514</v>
      </c>
      <c r="I24" s="26" t="s">
        <v>297</v>
      </c>
      <c r="J24" s="26" t="s">
        <v>297</v>
      </c>
      <c r="K24" s="26" t="s">
        <v>297</v>
      </c>
      <c r="L24" s="26" t="s">
        <v>297</v>
      </c>
      <c r="M24" s="26" t="s">
        <v>297</v>
      </c>
      <c r="N24" s="26" t="s">
        <v>297</v>
      </c>
      <c r="O24" s="26" t="s">
        <v>297</v>
      </c>
      <c r="P24" s="26" t="s">
        <v>297</v>
      </c>
      <c r="Q24" s="26" t="s">
        <v>297</v>
      </c>
      <c r="R24" s="26" t="s">
        <v>297</v>
      </c>
      <c r="S24" s="26" t="s">
        <v>297</v>
      </c>
      <c r="T24" s="26" t="s">
        <v>297</v>
      </c>
      <c r="U24" s="26">
        <v>6.875</v>
      </c>
      <c r="V24" s="26" t="s">
        <v>297</v>
      </c>
      <c r="W24" s="26"/>
      <c r="X24" s="26">
        <v>2.4863221884498481</v>
      </c>
      <c r="Y24" s="26" t="s">
        <v>297</v>
      </c>
      <c r="Z24" s="26" t="s">
        <v>297</v>
      </c>
      <c r="AA24" s="26" t="s">
        <v>297</v>
      </c>
      <c r="AB24" s="26">
        <v>1.8377192982456141</v>
      </c>
      <c r="AC24" s="26" t="s">
        <v>297</v>
      </c>
      <c r="AD24" s="26">
        <v>0.2847826086956522</v>
      </c>
      <c r="AE24" s="26" t="s">
        <v>297</v>
      </c>
      <c r="AF24" s="26" t="s">
        <v>297</v>
      </c>
      <c r="AG24" s="26" t="s">
        <v>297</v>
      </c>
      <c r="AH24" s="26" t="s">
        <v>297</v>
      </c>
      <c r="AI24" s="26">
        <v>0.65696010772597202</v>
      </c>
      <c r="AJ24" s="26"/>
      <c r="AK24" s="26">
        <v>1.546474358974359</v>
      </c>
      <c r="AL24" s="26">
        <v>0.5625</v>
      </c>
      <c r="AM24" s="26" t="s">
        <v>297</v>
      </c>
      <c r="AN24" s="26" t="s">
        <v>297</v>
      </c>
      <c r="AO24" s="26" t="s">
        <v>297</v>
      </c>
      <c r="AP24" s="26">
        <v>0.7254464285714286</v>
      </c>
      <c r="AQ24" s="26">
        <v>0.45654993514915693</v>
      </c>
      <c r="AR24" s="26">
        <v>0.5566355140186916</v>
      </c>
      <c r="AS24" s="26" t="s">
        <v>297</v>
      </c>
      <c r="AT24" s="26" t="s">
        <v>297</v>
      </c>
      <c r="AU24" s="26" t="s">
        <v>297</v>
      </c>
      <c r="AV24" s="26">
        <v>0.21301775147928995</v>
      </c>
      <c r="AW24" s="26">
        <v>6.5046461758398857E-2</v>
      </c>
      <c r="AX24" s="26" t="s">
        <v>297</v>
      </c>
      <c r="AY24" s="26" t="s">
        <v>297</v>
      </c>
      <c r="AZ24" s="26" t="s">
        <v>297</v>
      </c>
      <c r="BA24" s="26" t="s">
        <v>297</v>
      </c>
      <c r="BB24" s="26" t="s">
        <v>297</v>
      </c>
      <c r="BC24" s="26">
        <v>0.27944444444444444</v>
      </c>
      <c r="BD24" s="26" t="s">
        <v>297</v>
      </c>
      <c r="BE24" s="26" t="s">
        <v>297</v>
      </c>
      <c r="BF24" s="26"/>
      <c r="BG24" s="26" t="s">
        <v>297</v>
      </c>
      <c r="BH24" s="26" t="s">
        <v>297</v>
      </c>
      <c r="BI24" s="26" t="s">
        <v>297</v>
      </c>
      <c r="BJ24" s="26" t="s">
        <v>297</v>
      </c>
      <c r="BK24" s="26">
        <v>1.4350282485875707</v>
      </c>
      <c r="BL24" s="26" t="s">
        <v>297</v>
      </c>
      <c r="BM24" s="26" t="s">
        <v>297</v>
      </c>
      <c r="BN24" s="26" t="s">
        <v>297</v>
      </c>
      <c r="BO24" s="26" t="s">
        <v>297</v>
      </c>
      <c r="BP24" s="26" t="s">
        <v>297</v>
      </c>
      <c r="BQ24" s="26"/>
      <c r="BR24" s="26" t="s">
        <v>297</v>
      </c>
      <c r="BS24" s="26">
        <v>0.10330843116328708</v>
      </c>
      <c r="BT24" s="26" t="s">
        <v>297</v>
      </c>
      <c r="BU24" s="26" t="s">
        <v>297</v>
      </c>
      <c r="BV24" s="26" t="s">
        <v>297</v>
      </c>
      <c r="BW24" s="26" t="s">
        <v>297</v>
      </c>
      <c r="BX24" s="26" t="s">
        <v>297</v>
      </c>
      <c r="BY24" s="26">
        <v>1.5943678849610545</v>
      </c>
      <c r="BZ24" s="26">
        <v>0.62790697674418605</v>
      </c>
      <c r="CA24" s="26" t="s">
        <v>297</v>
      </c>
      <c r="CB24" s="26" t="s">
        <v>297</v>
      </c>
      <c r="CC24" s="26" t="s">
        <v>297</v>
      </c>
      <c r="CD24" s="26" t="s">
        <v>297</v>
      </c>
      <c r="CE24" s="26" t="s">
        <v>297</v>
      </c>
      <c r="CF24" s="26" t="s">
        <v>297</v>
      </c>
      <c r="CG24" s="26" t="s">
        <v>297</v>
      </c>
      <c r="CH24" s="26" t="s">
        <v>297</v>
      </c>
      <c r="CI24" s="26" t="s">
        <v>297</v>
      </c>
      <c r="CJ24" s="26">
        <v>2.8106904231625833</v>
      </c>
      <c r="CK24" s="26" t="s">
        <v>297</v>
      </c>
      <c r="CL24" s="26">
        <v>0.6339285714285714</v>
      </c>
      <c r="CM24" s="26" t="s">
        <v>297</v>
      </c>
      <c r="CN24" s="26" t="s">
        <v>297</v>
      </c>
      <c r="CO24" s="26" t="s">
        <v>297</v>
      </c>
      <c r="CP24" s="26" t="s">
        <v>297</v>
      </c>
      <c r="CQ24" s="26" t="s">
        <v>297</v>
      </c>
      <c r="CR24" s="26" t="s">
        <v>297</v>
      </c>
      <c r="CS24" s="26" t="s">
        <v>297</v>
      </c>
      <c r="CT24" s="26" t="s">
        <v>297</v>
      </c>
      <c r="CU24" s="26" t="s">
        <v>297</v>
      </c>
      <c r="CV24" s="26" t="s">
        <v>297</v>
      </c>
      <c r="CW24" s="26" t="s">
        <v>297</v>
      </c>
      <c r="CX24" s="26" t="s">
        <v>297</v>
      </c>
      <c r="CY24" s="26" t="s">
        <v>297</v>
      </c>
      <c r="CZ24" s="26" t="s">
        <v>297</v>
      </c>
      <c r="DA24" s="26" t="s">
        <v>297</v>
      </c>
      <c r="DB24" s="26" t="s">
        <v>297</v>
      </c>
      <c r="DC24" s="26" t="s">
        <v>297</v>
      </c>
      <c r="DD24" s="26" t="s">
        <v>297</v>
      </c>
      <c r="DE24" s="26">
        <v>1</v>
      </c>
      <c r="DF24" s="26" t="s">
        <v>297</v>
      </c>
      <c r="DG24" s="26" t="s">
        <v>297</v>
      </c>
      <c r="DH24" s="26" t="s">
        <v>297</v>
      </c>
      <c r="DI24" s="26" t="s">
        <v>297</v>
      </c>
      <c r="DJ24" s="26" t="s">
        <v>297</v>
      </c>
      <c r="DK24" s="26" t="s">
        <v>297</v>
      </c>
      <c r="DL24" s="26" t="s">
        <v>297</v>
      </c>
      <c r="DM24" s="26" t="s">
        <v>297</v>
      </c>
      <c r="DN24" s="26">
        <v>0.54837898969590348</v>
      </c>
      <c r="DO24" s="26" t="s">
        <v>297</v>
      </c>
      <c r="DP24" s="26" t="s">
        <v>297</v>
      </c>
      <c r="DQ24" s="26" t="s">
        <v>297</v>
      </c>
      <c r="DR24" s="26" t="s">
        <v>297</v>
      </c>
      <c r="DS24" s="26" t="s">
        <v>297</v>
      </c>
      <c r="DT24" s="26" t="s">
        <v>297</v>
      </c>
      <c r="DU24" s="26" t="s">
        <v>297</v>
      </c>
      <c r="DV24" s="26">
        <v>7.7582089552238802</v>
      </c>
      <c r="DW24" s="26">
        <v>0.59190031152647971</v>
      </c>
      <c r="DX24" s="26" t="s">
        <v>297</v>
      </c>
      <c r="DY24" s="26" t="s">
        <v>297</v>
      </c>
    </row>
    <row r="25" spans="1:129" x14ac:dyDescent="0.2">
      <c r="A25" s="25" t="s">
        <v>312</v>
      </c>
      <c r="C25" s="26" t="s">
        <v>297</v>
      </c>
      <c r="D25" s="26">
        <v>14</v>
      </c>
      <c r="E25" s="26">
        <v>3</v>
      </c>
      <c r="F25" s="26" t="s">
        <v>297</v>
      </c>
      <c r="G25" s="26" t="s">
        <v>297</v>
      </c>
      <c r="H25" s="26">
        <v>0.20831677923453848</v>
      </c>
      <c r="I25" s="26">
        <v>0.16292798110979928</v>
      </c>
      <c r="J25" s="26" t="s">
        <v>297</v>
      </c>
      <c r="K25" s="26" t="s">
        <v>297</v>
      </c>
      <c r="L25" s="26">
        <v>0.875</v>
      </c>
      <c r="M25" s="26" t="s">
        <v>297</v>
      </c>
      <c r="N25" s="26" t="s">
        <v>297</v>
      </c>
      <c r="O25" s="26" t="s">
        <v>297</v>
      </c>
      <c r="P25" s="26" t="s">
        <v>297</v>
      </c>
      <c r="Q25" s="26" t="s">
        <v>297</v>
      </c>
      <c r="R25" s="26" t="s">
        <v>297</v>
      </c>
      <c r="S25" s="26" t="s">
        <v>297</v>
      </c>
      <c r="T25" s="26" t="s">
        <v>297</v>
      </c>
      <c r="U25" s="26" t="s">
        <v>297</v>
      </c>
      <c r="V25" s="26" t="s">
        <v>297</v>
      </c>
      <c r="W25" s="26"/>
      <c r="X25" s="26">
        <v>4.05241935483871</v>
      </c>
      <c r="Y25" s="26" t="s">
        <v>297</v>
      </c>
      <c r="Z25" s="26" t="s">
        <v>297</v>
      </c>
      <c r="AA25" s="26">
        <v>0.90780141843971629</v>
      </c>
      <c r="AB25" s="26">
        <v>1.9561403508771931</v>
      </c>
      <c r="AC25" s="26" t="s">
        <v>297</v>
      </c>
      <c r="AD25" s="26">
        <v>0.3021618903971845</v>
      </c>
      <c r="AE25" s="26" t="s">
        <v>297</v>
      </c>
      <c r="AF25" s="26" t="s">
        <v>297</v>
      </c>
      <c r="AG25" s="26">
        <v>1.0075018754688672</v>
      </c>
      <c r="AH25" s="26">
        <v>1.193798449612403</v>
      </c>
      <c r="AI25" s="26">
        <v>0.75516766192007345</v>
      </c>
      <c r="AJ25" s="26"/>
      <c r="AK25" s="26">
        <v>1.1442953020134228</v>
      </c>
      <c r="AL25" s="26" t="s">
        <v>297</v>
      </c>
      <c r="AM25" s="26" t="s">
        <v>297</v>
      </c>
      <c r="AN25" s="26" t="s">
        <v>297</v>
      </c>
      <c r="AO25" s="26" t="s">
        <v>297</v>
      </c>
      <c r="AP25" s="26">
        <v>0.84819734345351039</v>
      </c>
      <c r="AQ25" s="26">
        <v>0.49807162534435262</v>
      </c>
      <c r="AR25" s="26">
        <v>0.37443713197090406</v>
      </c>
      <c r="AS25" s="26" t="s">
        <v>297</v>
      </c>
      <c r="AT25" s="26" t="s">
        <v>297</v>
      </c>
      <c r="AU25" s="26" t="s">
        <v>297</v>
      </c>
      <c r="AV25" s="26">
        <v>0.16908212560386474</v>
      </c>
      <c r="AW25" s="26">
        <v>5.6060606060606061E-2</v>
      </c>
      <c r="AX25" s="26" t="s">
        <v>297</v>
      </c>
      <c r="AY25" s="26" t="s">
        <v>297</v>
      </c>
      <c r="AZ25" s="26">
        <v>0.30872124130551098</v>
      </c>
      <c r="BA25" s="26" t="s">
        <v>297</v>
      </c>
      <c r="BB25" s="26" t="s">
        <v>297</v>
      </c>
      <c r="BC25" s="26" t="s">
        <v>297</v>
      </c>
      <c r="BD25" s="26">
        <v>2.5769230769230771</v>
      </c>
      <c r="BE25" s="26" t="s">
        <v>297</v>
      </c>
      <c r="BF25" s="26"/>
      <c r="BG25" s="26">
        <v>1.5904761904761904</v>
      </c>
      <c r="BH25" s="26" t="s">
        <v>297</v>
      </c>
      <c r="BI25" s="26" t="s">
        <v>297</v>
      </c>
      <c r="BJ25" s="26" t="s">
        <v>297</v>
      </c>
      <c r="BK25" s="26">
        <v>2.3043478260869565</v>
      </c>
      <c r="BL25" s="26" t="s">
        <v>297</v>
      </c>
      <c r="BM25" s="26" t="s">
        <v>297</v>
      </c>
      <c r="BN25" s="26" t="s">
        <v>297</v>
      </c>
      <c r="BO25" s="26" t="s">
        <v>297</v>
      </c>
      <c r="BP25" s="26">
        <v>0.24778761061946902</v>
      </c>
      <c r="BQ25" s="26" t="s">
        <v>297</v>
      </c>
      <c r="BR25" s="26" t="s">
        <v>297</v>
      </c>
      <c r="BS25" s="26">
        <v>0.13182507583417594</v>
      </c>
      <c r="BT25" s="26" t="s">
        <v>297</v>
      </c>
      <c r="BU25" s="26" t="s">
        <v>297</v>
      </c>
      <c r="BV25" s="26" t="s">
        <v>297</v>
      </c>
      <c r="BW25" s="26" t="s">
        <v>297</v>
      </c>
      <c r="BX25" s="26">
        <v>1.2948717948717949</v>
      </c>
      <c r="BY25" s="26">
        <v>1.2996955197912137</v>
      </c>
      <c r="BZ25" s="26">
        <v>0.83333333333333337</v>
      </c>
      <c r="CA25" s="26" t="s">
        <v>297</v>
      </c>
      <c r="CB25" s="26" t="s">
        <v>297</v>
      </c>
      <c r="CC25" s="26">
        <v>0.65686274509803921</v>
      </c>
      <c r="CD25" s="26" t="s">
        <v>297</v>
      </c>
      <c r="CE25" s="26" t="s">
        <v>297</v>
      </c>
      <c r="CF25" s="26">
        <v>9.3023255813953487E-2</v>
      </c>
      <c r="CG25" s="26"/>
      <c r="CH25" s="26" t="s">
        <v>297</v>
      </c>
      <c r="CI25" s="26" t="s">
        <v>297</v>
      </c>
      <c r="CJ25" s="26">
        <v>3.3813953488372093</v>
      </c>
      <c r="CK25" s="26">
        <v>0.40642002176278563</v>
      </c>
      <c r="CL25" s="26">
        <v>0.59876543209876543</v>
      </c>
      <c r="CM25" s="26">
        <v>1.4411764705882353</v>
      </c>
      <c r="CN25" s="26" t="s">
        <v>297</v>
      </c>
      <c r="CO25" s="26" t="s">
        <v>297</v>
      </c>
      <c r="CP25" s="26">
        <v>0.47202050405809481</v>
      </c>
      <c r="CQ25" s="26" t="s">
        <v>297</v>
      </c>
      <c r="CR25" s="26">
        <v>0.49079754601226994</v>
      </c>
      <c r="CS25" s="26" t="s">
        <v>297</v>
      </c>
      <c r="CT25" s="26" t="s">
        <v>297</v>
      </c>
      <c r="CU25" s="26" t="s">
        <v>297</v>
      </c>
      <c r="CV25" s="26" t="s">
        <v>297</v>
      </c>
      <c r="CW25" s="26">
        <v>0.66577060931899645</v>
      </c>
      <c r="CX25" s="26" t="s">
        <v>297</v>
      </c>
      <c r="CY25" s="26" t="s">
        <v>297</v>
      </c>
      <c r="CZ25" s="26" t="s">
        <v>297</v>
      </c>
      <c r="DA25" s="26" t="s">
        <v>297</v>
      </c>
      <c r="DB25" s="26" t="s">
        <v>297</v>
      </c>
      <c r="DC25" s="26" t="s">
        <v>297</v>
      </c>
      <c r="DD25" s="26" t="s">
        <v>297</v>
      </c>
      <c r="DE25" s="26" t="s">
        <v>297</v>
      </c>
      <c r="DF25" s="26">
        <v>0.83014861995753719</v>
      </c>
      <c r="DG25" s="26" t="s">
        <v>297</v>
      </c>
      <c r="DH25" s="26" t="s">
        <v>297</v>
      </c>
      <c r="DI25" s="26" t="s">
        <v>297</v>
      </c>
      <c r="DJ25" s="26" t="s">
        <v>297</v>
      </c>
      <c r="DK25" s="26">
        <v>0.75</v>
      </c>
      <c r="DL25" s="26" t="s">
        <v>297</v>
      </c>
      <c r="DM25" s="26" t="s">
        <v>297</v>
      </c>
      <c r="DN25" s="26">
        <v>0.87555839183152517</v>
      </c>
      <c r="DO25" s="26" t="s">
        <v>297</v>
      </c>
      <c r="DP25" s="26" t="s">
        <v>297</v>
      </c>
      <c r="DQ25" s="26" t="s">
        <v>297</v>
      </c>
      <c r="DR25" s="26" t="s">
        <v>297</v>
      </c>
      <c r="DS25" s="26" t="s">
        <v>297</v>
      </c>
      <c r="DT25" s="26">
        <v>10.043478260869565</v>
      </c>
      <c r="DU25" s="26" t="s">
        <v>297</v>
      </c>
      <c r="DV25" s="26">
        <v>10.894064613072878</v>
      </c>
      <c r="DW25" s="26" t="s">
        <v>297</v>
      </c>
      <c r="DX25" s="26" t="s">
        <v>297</v>
      </c>
      <c r="DY25" s="26" t="s">
        <v>297</v>
      </c>
    </row>
    <row r="26" spans="1:129" x14ac:dyDescent="0.2">
      <c r="A26" s="25" t="s">
        <v>313</v>
      </c>
      <c r="C26" s="26" t="s">
        <v>297</v>
      </c>
      <c r="D26" s="26">
        <v>20</v>
      </c>
      <c r="E26" s="26">
        <v>2.6</v>
      </c>
      <c r="F26" s="26" t="s">
        <v>297</v>
      </c>
      <c r="G26" s="26" t="s">
        <v>297</v>
      </c>
      <c r="H26" s="26">
        <v>0.29093198992443325</v>
      </c>
      <c r="I26" s="26" t="s">
        <v>297</v>
      </c>
      <c r="J26" s="26" t="s">
        <v>297</v>
      </c>
      <c r="K26" s="26" t="s">
        <v>297</v>
      </c>
      <c r="L26" s="26">
        <v>1.125</v>
      </c>
      <c r="M26" s="26" t="s">
        <v>297</v>
      </c>
      <c r="N26" s="26" t="s">
        <v>297</v>
      </c>
      <c r="O26" s="26" t="s">
        <v>297</v>
      </c>
      <c r="P26" s="26" t="s">
        <v>297</v>
      </c>
      <c r="Q26" s="26" t="s">
        <v>297</v>
      </c>
      <c r="R26" s="26" t="s">
        <v>297</v>
      </c>
      <c r="S26" s="26" t="s">
        <v>297</v>
      </c>
      <c r="T26" s="26" t="s">
        <v>297</v>
      </c>
      <c r="U26" s="26" t="s">
        <v>297</v>
      </c>
      <c r="V26" s="26" t="s">
        <v>297</v>
      </c>
      <c r="W26" s="26"/>
      <c r="X26" s="26">
        <v>5.3593220338983052</v>
      </c>
      <c r="Y26" s="26" t="s">
        <v>297</v>
      </c>
      <c r="Z26" s="26" t="s">
        <v>297</v>
      </c>
      <c r="AA26" s="26">
        <v>2.2899408284023668</v>
      </c>
      <c r="AB26" s="26">
        <v>1.6578947368421053</v>
      </c>
      <c r="AC26" s="26" t="s">
        <v>297</v>
      </c>
      <c r="AD26" s="26">
        <v>0.3190611297394893</v>
      </c>
      <c r="AE26" s="26" t="s">
        <v>297</v>
      </c>
      <c r="AF26" s="26" t="s">
        <v>297</v>
      </c>
      <c r="AG26" s="26">
        <v>1.0498533724340176</v>
      </c>
      <c r="AH26" s="26">
        <v>1.125</v>
      </c>
      <c r="AI26" s="26">
        <v>0.74514285714285711</v>
      </c>
      <c r="AJ26" s="26"/>
      <c r="AK26" s="26">
        <v>0.65384615384615385</v>
      </c>
      <c r="AL26" s="26" t="s">
        <v>297</v>
      </c>
      <c r="AM26" s="26" t="s">
        <v>297</v>
      </c>
      <c r="AN26" s="26" t="s">
        <v>297</v>
      </c>
      <c r="AO26" s="26" t="s">
        <v>297</v>
      </c>
      <c r="AP26" s="26">
        <v>0.77500000000000002</v>
      </c>
      <c r="AQ26" s="26">
        <v>0.6015625</v>
      </c>
      <c r="AR26" s="26">
        <v>0.41606367583212733</v>
      </c>
      <c r="AS26" s="26" t="s">
        <v>297</v>
      </c>
      <c r="AT26" s="26" t="s">
        <v>297</v>
      </c>
      <c r="AU26" s="26" t="s">
        <v>297</v>
      </c>
      <c r="AV26" s="26">
        <v>0.38366336633663367</v>
      </c>
      <c r="AW26" s="26">
        <v>7.6891489580125247E-2</v>
      </c>
      <c r="AX26" s="26" t="s">
        <v>297</v>
      </c>
      <c r="AY26" s="26" t="s">
        <v>297</v>
      </c>
      <c r="AZ26" s="26">
        <v>0.37647987371744279</v>
      </c>
      <c r="BA26" s="26">
        <v>0.33155080213903743</v>
      </c>
      <c r="BB26" s="26" t="s">
        <v>297</v>
      </c>
      <c r="BC26" s="26" t="s">
        <v>297</v>
      </c>
      <c r="BD26" s="26">
        <v>3.6333333333333333</v>
      </c>
      <c r="BE26" s="26" t="s">
        <v>297</v>
      </c>
      <c r="BF26" s="26"/>
      <c r="BG26" s="26">
        <v>1.0333333333333334</v>
      </c>
      <c r="BH26" s="26" t="s">
        <v>297</v>
      </c>
      <c r="BI26" s="26" t="s">
        <v>297</v>
      </c>
      <c r="BJ26" s="26" t="s">
        <v>297</v>
      </c>
      <c r="BK26" s="26">
        <v>1.5256410256410255</v>
      </c>
      <c r="BL26" s="26" t="s">
        <v>297</v>
      </c>
      <c r="BM26" s="26" t="s">
        <v>297</v>
      </c>
      <c r="BN26" s="26" t="s">
        <v>297</v>
      </c>
      <c r="BO26" s="26" t="s">
        <v>297</v>
      </c>
      <c r="BP26" s="26" t="s">
        <v>297</v>
      </c>
      <c r="BQ26" s="26" t="s">
        <v>297</v>
      </c>
      <c r="BR26" s="26" t="s">
        <v>297</v>
      </c>
      <c r="BS26" s="26" t="s">
        <v>297</v>
      </c>
      <c r="BT26" s="26" t="s">
        <v>297</v>
      </c>
      <c r="BU26" s="26" t="s">
        <v>297</v>
      </c>
      <c r="BV26" s="26">
        <v>2.7684964200477329E-2</v>
      </c>
      <c r="BW26" s="26" t="s">
        <v>297</v>
      </c>
      <c r="BX26" s="26" t="s">
        <v>297</v>
      </c>
      <c r="BY26" s="26">
        <v>1.5786713286713288</v>
      </c>
      <c r="BZ26" s="26" t="s">
        <v>297</v>
      </c>
      <c r="CA26" s="26" t="s">
        <v>297</v>
      </c>
      <c r="CB26" s="26" t="s">
        <v>297</v>
      </c>
      <c r="CC26" s="26">
        <v>0.79377431906614782</v>
      </c>
      <c r="CD26" s="26" t="s">
        <v>297</v>
      </c>
      <c r="CE26" s="26" t="s">
        <v>297</v>
      </c>
      <c r="CF26" s="26">
        <v>0.34375</v>
      </c>
      <c r="CG26" s="26"/>
      <c r="CH26" s="26" t="s">
        <v>297</v>
      </c>
      <c r="CI26" s="26" t="s">
        <v>297</v>
      </c>
      <c r="CJ26" s="26">
        <v>4.0620689655172413</v>
      </c>
      <c r="CK26" s="26">
        <v>0.32592052497265767</v>
      </c>
      <c r="CL26" s="26">
        <v>0.59554140127388533</v>
      </c>
      <c r="CM26" s="26" t="s">
        <v>297</v>
      </c>
      <c r="CN26" s="26" t="s">
        <v>297</v>
      </c>
      <c r="CO26" s="26" t="s">
        <v>297</v>
      </c>
      <c r="CP26" s="26">
        <v>0.81818181818181823</v>
      </c>
      <c r="CQ26" s="26" t="s">
        <v>297</v>
      </c>
      <c r="CR26" s="26" t="s">
        <v>297</v>
      </c>
      <c r="CS26" s="26" t="s">
        <v>297</v>
      </c>
      <c r="CT26" s="26" t="s">
        <v>297</v>
      </c>
      <c r="CU26" s="26" t="s">
        <v>297</v>
      </c>
      <c r="CV26" s="26" t="s">
        <v>297</v>
      </c>
      <c r="CW26" s="26">
        <v>1.4599555061179088</v>
      </c>
      <c r="CX26" s="26" t="s">
        <v>297</v>
      </c>
      <c r="CY26" s="26" t="s">
        <v>297</v>
      </c>
      <c r="CZ26" s="26" t="s">
        <v>297</v>
      </c>
      <c r="DA26" s="26" t="s">
        <v>297</v>
      </c>
      <c r="DB26" s="26" t="s">
        <v>297</v>
      </c>
      <c r="DC26" s="26" t="s">
        <v>297</v>
      </c>
      <c r="DD26" s="26" t="s">
        <v>297</v>
      </c>
      <c r="DE26" s="26" t="s">
        <v>297</v>
      </c>
      <c r="DF26" s="26">
        <v>1.148876404494382</v>
      </c>
      <c r="DG26" s="26" t="s">
        <v>297</v>
      </c>
      <c r="DH26" s="26" t="s">
        <v>297</v>
      </c>
      <c r="DI26" s="26" t="s">
        <v>297</v>
      </c>
      <c r="DJ26" s="26" t="s">
        <v>297</v>
      </c>
      <c r="DK26" s="26">
        <v>0.74509803921568629</v>
      </c>
      <c r="DL26" s="26">
        <v>2.5625</v>
      </c>
      <c r="DM26" s="26" t="s">
        <v>297</v>
      </c>
      <c r="DN26" s="26">
        <v>0.78772112382934445</v>
      </c>
      <c r="DO26" s="26" t="s">
        <v>297</v>
      </c>
      <c r="DP26" s="26">
        <v>0.33333333333333331</v>
      </c>
      <c r="DQ26" s="26" t="s">
        <v>297</v>
      </c>
      <c r="DR26" s="26">
        <v>0.95652173913043481</v>
      </c>
      <c r="DS26" s="26" t="s">
        <v>297</v>
      </c>
      <c r="DT26" s="26" t="s">
        <v>297</v>
      </c>
      <c r="DU26" s="26" t="s">
        <v>297</v>
      </c>
      <c r="DV26" s="26">
        <v>8.9330484330484339</v>
      </c>
      <c r="DW26" s="26" t="s">
        <v>297</v>
      </c>
      <c r="DX26" s="26" t="s">
        <v>297</v>
      </c>
      <c r="DY26" s="26" t="s">
        <v>297</v>
      </c>
    </row>
    <row r="27" spans="1:129" x14ac:dyDescent="0.2">
      <c r="A27" s="25" t="s">
        <v>314</v>
      </c>
      <c r="C27" s="26" t="s">
        <v>297</v>
      </c>
      <c r="D27" s="26" t="s">
        <v>297</v>
      </c>
      <c r="E27" s="26">
        <v>4</v>
      </c>
      <c r="F27" s="26" t="s">
        <v>297</v>
      </c>
      <c r="G27" s="26">
        <v>1.6363636363636365</v>
      </c>
      <c r="H27" s="26">
        <v>0.34961439588688947</v>
      </c>
      <c r="I27" s="26">
        <v>8.8421052631578956</v>
      </c>
      <c r="J27" s="26" t="s">
        <v>297</v>
      </c>
      <c r="K27" s="26" t="s">
        <v>297</v>
      </c>
      <c r="L27" s="26" t="s">
        <v>297</v>
      </c>
      <c r="M27" s="26" t="s">
        <v>297</v>
      </c>
      <c r="N27" s="26" t="s">
        <v>297</v>
      </c>
      <c r="O27" s="26" t="s">
        <v>297</v>
      </c>
      <c r="P27" s="26" t="s">
        <v>297</v>
      </c>
      <c r="Q27" s="26">
        <v>2.1538461538461537</v>
      </c>
      <c r="R27" s="26" t="s">
        <v>297</v>
      </c>
      <c r="S27" s="26" t="s">
        <v>297</v>
      </c>
      <c r="T27" s="26" t="s">
        <v>297</v>
      </c>
      <c r="U27" s="26">
        <v>0.44897959183673469</v>
      </c>
      <c r="V27" s="26">
        <v>4.8569760653823701</v>
      </c>
      <c r="W27" s="26"/>
      <c r="X27" s="26" t="s">
        <v>297</v>
      </c>
      <c r="Y27" s="26" t="s">
        <v>297</v>
      </c>
      <c r="Z27" s="26" t="s">
        <v>297</v>
      </c>
      <c r="AA27" s="26" t="s">
        <v>297</v>
      </c>
      <c r="AB27" s="26">
        <v>1.6857142857142857</v>
      </c>
      <c r="AC27" s="26" t="s">
        <v>297</v>
      </c>
      <c r="AD27" s="26">
        <v>0.35695410009350736</v>
      </c>
      <c r="AE27" s="26" t="s">
        <v>297</v>
      </c>
      <c r="AF27" s="26" t="s">
        <v>297</v>
      </c>
      <c r="AG27" s="26" t="s">
        <v>297</v>
      </c>
      <c r="AH27" s="26" t="s">
        <v>297</v>
      </c>
      <c r="AI27" s="26">
        <v>2.1569858712715857</v>
      </c>
      <c r="AJ27" s="26"/>
      <c r="AK27" s="26">
        <v>0.98612862547288782</v>
      </c>
      <c r="AL27" s="26" t="s">
        <v>297</v>
      </c>
      <c r="AM27" s="26" t="s">
        <v>297</v>
      </c>
      <c r="AN27" s="26" t="s">
        <v>297</v>
      </c>
      <c r="AO27" s="26" t="s">
        <v>297</v>
      </c>
      <c r="AP27" s="26" t="s">
        <v>297</v>
      </c>
      <c r="AQ27" s="26" t="s">
        <v>297</v>
      </c>
      <c r="AR27" s="26" t="s">
        <v>297</v>
      </c>
      <c r="AS27" s="26">
        <v>0.67636810821889737</v>
      </c>
      <c r="AT27" s="26" t="s">
        <v>297</v>
      </c>
      <c r="AU27" s="26" t="s">
        <v>297</v>
      </c>
      <c r="AV27" s="26">
        <v>0.2564369310793238</v>
      </c>
      <c r="AW27" s="26" t="s">
        <v>297</v>
      </c>
      <c r="AX27" s="26">
        <v>6.1818181818181817</v>
      </c>
      <c r="AY27" s="26" t="s">
        <v>297</v>
      </c>
      <c r="AZ27" s="26" t="s">
        <v>297</v>
      </c>
      <c r="BA27" s="26" t="s">
        <v>297</v>
      </c>
      <c r="BB27" s="26">
        <v>0.64386536373507053</v>
      </c>
      <c r="BC27" s="26">
        <v>0.64367816091954022</v>
      </c>
      <c r="BD27" s="26">
        <v>0.80645161290322576</v>
      </c>
      <c r="BE27" s="26" t="s">
        <v>297</v>
      </c>
      <c r="BF27" s="26"/>
      <c r="BG27" s="26">
        <v>1.9342915811088295</v>
      </c>
      <c r="BH27" s="26" t="s">
        <v>297</v>
      </c>
      <c r="BI27" s="26" t="s">
        <v>297</v>
      </c>
      <c r="BJ27" s="26" t="s">
        <v>297</v>
      </c>
      <c r="BK27" s="26">
        <v>2.5071770334928232</v>
      </c>
      <c r="BL27" s="26" t="s">
        <v>297</v>
      </c>
      <c r="BM27" s="26" t="s">
        <v>297</v>
      </c>
      <c r="BN27" s="26" t="s">
        <v>297</v>
      </c>
      <c r="BO27" s="26" t="s">
        <v>297</v>
      </c>
      <c r="BP27" s="26">
        <v>1.0256410256410255</v>
      </c>
      <c r="BQ27" s="26" t="s">
        <v>297</v>
      </c>
      <c r="BR27" s="26" t="s">
        <v>297</v>
      </c>
      <c r="BS27" s="26" t="s">
        <v>297</v>
      </c>
      <c r="BT27" s="26">
        <v>3.4257425742574257</v>
      </c>
      <c r="BU27" s="26" t="s">
        <v>297</v>
      </c>
      <c r="BV27" s="26">
        <v>0.70828105395232122</v>
      </c>
      <c r="BW27" s="26" t="s">
        <v>297</v>
      </c>
      <c r="BX27" s="26">
        <v>0.45224719101123595</v>
      </c>
      <c r="BY27" s="26">
        <v>0.82954545454545459</v>
      </c>
      <c r="BZ27" s="26" t="s">
        <v>297</v>
      </c>
      <c r="CA27" s="26" t="s">
        <v>297</v>
      </c>
      <c r="CB27" s="26" t="s">
        <v>297</v>
      </c>
      <c r="CC27" s="26">
        <v>0.40132970686007857</v>
      </c>
      <c r="CD27" s="26" t="s">
        <v>297</v>
      </c>
      <c r="CE27" s="26" t="s">
        <v>297</v>
      </c>
      <c r="CF27" s="26">
        <v>0.532258064516129</v>
      </c>
      <c r="CG27" s="26"/>
      <c r="CH27" s="26" t="s">
        <v>297</v>
      </c>
      <c r="CI27" s="26" t="s">
        <v>297</v>
      </c>
      <c r="CJ27" s="26">
        <v>4.6776379477250725</v>
      </c>
      <c r="CK27" s="26">
        <v>0.53040540540540537</v>
      </c>
      <c r="CL27" s="26">
        <v>0.73014618727775582</v>
      </c>
      <c r="CM27" s="26" t="s">
        <v>297</v>
      </c>
      <c r="CN27" s="26" t="s">
        <v>297</v>
      </c>
      <c r="CO27" s="26" t="s">
        <v>297</v>
      </c>
      <c r="CP27" s="26">
        <v>0.64367816091954022</v>
      </c>
      <c r="CQ27" s="26" t="s">
        <v>297</v>
      </c>
      <c r="CR27" s="26" t="s">
        <v>297</v>
      </c>
      <c r="CS27" s="26" t="s">
        <v>297</v>
      </c>
      <c r="CT27" s="26" t="s">
        <v>297</v>
      </c>
      <c r="CU27" s="26" t="s">
        <v>297</v>
      </c>
      <c r="CV27" s="26" t="s">
        <v>297</v>
      </c>
      <c r="CW27" s="26">
        <v>0.28977699824605363</v>
      </c>
      <c r="CX27" s="26">
        <v>0.86956521739130432</v>
      </c>
      <c r="CY27" s="26" t="s">
        <v>297</v>
      </c>
      <c r="CZ27" s="26" t="s">
        <v>297</v>
      </c>
      <c r="DA27" s="26" t="s">
        <v>297</v>
      </c>
      <c r="DB27" s="26"/>
      <c r="DC27" s="26" t="s">
        <v>297</v>
      </c>
      <c r="DD27" s="26" t="s">
        <v>297</v>
      </c>
      <c r="DE27" s="26">
        <v>0.30588235294117649</v>
      </c>
      <c r="DF27" s="26">
        <v>0.99291693496458466</v>
      </c>
      <c r="DG27" s="26">
        <v>3.0769230769230766</v>
      </c>
      <c r="DH27" s="26" t="s">
        <v>297</v>
      </c>
      <c r="DI27" s="26" t="s">
        <v>297</v>
      </c>
      <c r="DJ27" s="26" t="s">
        <v>297</v>
      </c>
      <c r="DK27" s="26">
        <v>0.97340425531914898</v>
      </c>
      <c r="DL27" s="26" t="s">
        <v>297</v>
      </c>
      <c r="DM27" s="26" t="s">
        <v>297</v>
      </c>
      <c r="DN27" s="26">
        <v>1.1926833599715858</v>
      </c>
      <c r="DO27" s="26" t="s">
        <v>297</v>
      </c>
      <c r="DP27" s="26" t="s">
        <v>297</v>
      </c>
      <c r="DQ27" s="26" t="s">
        <v>297</v>
      </c>
      <c r="DR27" s="26">
        <v>0.65333333333333332</v>
      </c>
      <c r="DS27" s="26">
        <v>0.15632463822413711</v>
      </c>
      <c r="DT27" s="26" t="s">
        <v>297</v>
      </c>
      <c r="DU27" s="26" t="s">
        <v>297</v>
      </c>
      <c r="DV27" s="26">
        <v>9.9400146305779078</v>
      </c>
      <c r="DW27" s="26" t="s">
        <v>297</v>
      </c>
      <c r="DX27" s="26" t="s">
        <v>297</v>
      </c>
      <c r="DY27" s="26">
        <v>0.65493910690121782</v>
      </c>
    </row>
    <row r="28" spans="1:129" x14ac:dyDescent="0.2">
      <c r="A28" s="25" t="s">
        <v>315</v>
      </c>
      <c r="C28" s="26" t="s">
        <v>297</v>
      </c>
      <c r="D28" s="26" t="s">
        <v>297</v>
      </c>
      <c r="E28" s="26">
        <v>3.3333333333333335</v>
      </c>
      <c r="F28" s="26" t="s">
        <v>297</v>
      </c>
      <c r="G28" s="26">
        <v>2.5555555555555554</v>
      </c>
      <c r="H28" s="26">
        <v>0.26819741981299561</v>
      </c>
      <c r="I28" s="26">
        <v>0.3231850117096019</v>
      </c>
      <c r="J28" s="26" t="s">
        <v>297</v>
      </c>
      <c r="K28" s="26" t="s">
        <v>297</v>
      </c>
      <c r="L28" s="26" t="s">
        <v>297</v>
      </c>
      <c r="M28" s="26" t="s">
        <v>297</v>
      </c>
      <c r="N28" s="26">
        <v>0.80952380952380953</v>
      </c>
      <c r="O28" s="26" t="s">
        <v>297</v>
      </c>
      <c r="P28" s="26" t="s">
        <v>297</v>
      </c>
      <c r="Q28" s="26" t="s">
        <v>297</v>
      </c>
      <c r="R28" s="26" t="s">
        <v>297</v>
      </c>
      <c r="S28" s="26" t="s">
        <v>297</v>
      </c>
      <c r="T28" s="26" t="s">
        <v>297</v>
      </c>
      <c r="U28" s="26">
        <v>1.1333333333333333</v>
      </c>
      <c r="V28" s="26">
        <v>4.9069212410501191</v>
      </c>
      <c r="W28" s="26"/>
      <c r="X28" s="26" t="s">
        <v>297</v>
      </c>
      <c r="Y28" s="26" t="s">
        <v>297</v>
      </c>
      <c r="Z28" s="26" t="s">
        <v>297</v>
      </c>
      <c r="AA28" s="26" t="s">
        <v>297</v>
      </c>
      <c r="AB28" s="26">
        <v>2.1633986928104574</v>
      </c>
      <c r="AC28" s="26" t="s">
        <v>297</v>
      </c>
      <c r="AD28" s="26">
        <v>0.26279863481228671</v>
      </c>
      <c r="AE28" s="26" t="s">
        <v>297</v>
      </c>
      <c r="AF28" s="26" t="s">
        <v>297</v>
      </c>
      <c r="AG28" s="26" t="s">
        <v>297</v>
      </c>
      <c r="AH28" s="26">
        <v>5.0664031620553356</v>
      </c>
      <c r="AI28" s="26">
        <v>0.99464882943143818</v>
      </c>
      <c r="AJ28" s="26"/>
      <c r="AK28" s="26">
        <v>0.8035714285714286</v>
      </c>
      <c r="AL28" s="26">
        <v>0.29268292682926828</v>
      </c>
      <c r="AM28" s="26">
        <v>1.6190476190476191</v>
      </c>
      <c r="AN28" s="26">
        <v>2.953846153846154</v>
      </c>
      <c r="AO28" s="26" t="s">
        <v>297</v>
      </c>
      <c r="AP28" s="26" t="s">
        <v>297</v>
      </c>
      <c r="AQ28" s="26" t="s">
        <v>297</v>
      </c>
      <c r="AR28" s="26" t="s">
        <v>297</v>
      </c>
      <c r="AS28" s="26">
        <v>0.70297699594046004</v>
      </c>
      <c r="AT28" s="26" t="s">
        <v>297</v>
      </c>
      <c r="AU28" s="26" t="s">
        <v>297</v>
      </c>
      <c r="AV28" s="26">
        <v>0.14427860696517414</v>
      </c>
      <c r="AW28" s="26" t="s">
        <v>297</v>
      </c>
      <c r="AX28" s="26">
        <v>1.9137931034482758</v>
      </c>
      <c r="AY28" s="26" t="s">
        <v>297</v>
      </c>
      <c r="AZ28" s="26">
        <v>0.26238738738738737</v>
      </c>
      <c r="BA28" s="26">
        <v>0.27696793002915454</v>
      </c>
      <c r="BB28" s="26">
        <v>0.44683626875407695</v>
      </c>
      <c r="BC28" s="26">
        <v>0.6576354679802956</v>
      </c>
      <c r="BD28" s="26" t="s">
        <v>297</v>
      </c>
      <c r="BE28" s="26">
        <v>2.5803921568627453</v>
      </c>
      <c r="BF28" s="26"/>
      <c r="BG28" s="26" t="s">
        <v>297</v>
      </c>
      <c r="BH28" s="26" t="s">
        <v>297</v>
      </c>
      <c r="BI28" s="26" t="s">
        <v>297</v>
      </c>
      <c r="BJ28" s="26" t="s">
        <v>297</v>
      </c>
      <c r="BK28" s="26">
        <v>2.6585365853658538</v>
      </c>
      <c r="BL28" s="26">
        <v>3.0769230769230771</v>
      </c>
      <c r="BM28" s="26" t="s">
        <v>297</v>
      </c>
      <c r="BN28" s="26" t="s">
        <v>297</v>
      </c>
      <c r="BO28" s="26" t="s">
        <v>297</v>
      </c>
      <c r="BP28" s="26" t="s">
        <v>297</v>
      </c>
      <c r="BQ28" s="26" t="s">
        <v>297</v>
      </c>
      <c r="BR28" s="26" t="s">
        <v>297</v>
      </c>
      <c r="BS28" s="26" t="s">
        <v>297</v>
      </c>
      <c r="BT28" s="26">
        <v>1.441860465116279</v>
      </c>
      <c r="BU28" s="26" t="s">
        <v>297</v>
      </c>
      <c r="BV28" s="26">
        <v>0.75933609958506221</v>
      </c>
      <c r="BW28" s="26" t="s">
        <v>297</v>
      </c>
      <c r="BX28" s="26">
        <v>0.43270524899057872</v>
      </c>
      <c r="BY28" s="26">
        <v>0.26645004061738425</v>
      </c>
      <c r="BZ28" s="26" t="s">
        <v>297</v>
      </c>
      <c r="CA28" s="26" t="s">
        <v>297</v>
      </c>
      <c r="CB28" s="26" t="s">
        <v>297</v>
      </c>
      <c r="CC28" s="26" t="s">
        <v>297</v>
      </c>
      <c r="CD28" s="26">
        <v>1.3467084639498432</v>
      </c>
      <c r="CE28" s="26" t="s">
        <v>297</v>
      </c>
      <c r="CF28" s="26">
        <v>1.5555555555555556</v>
      </c>
      <c r="CG28" s="26"/>
      <c r="CH28" s="26" t="s">
        <v>297</v>
      </c>
      <c r="CI28" s="26">
        <v>0.66666666666666663</v>
      </c>
      <c r="CJ28" s="26">
        <v>3.9054820415879017</v>
      </c>
      <c r="CK28" s="26">
        <v>0.53674380836378399</v>
      </c>
      <c r="CL28" s="26">
        <v>0.82825822168087693</v>
      </c>
      <c r="CM28" s="26" t="s">
        <v>297</v>
      </c>
      <c r="CN28" s="26" t="s">
        <v>297</v>
      </c>
      <c r="CO28" s="26" t="s">
        <v>297</v>
      </c>
      <c r="CP28" s="26">
        <v>0.88888888888888884</v>
      </c>
      <c r="CQ28" s="26">
        <v>0.84210526315789469</v>
      </c>
      <c r="CR28" s="26" t="s">
        <v>297</v>
      </c>
      <c r="CS28" s="26" t="s">
        <v>297</v>
      </c>
      <c r="CT28" s="26" t="s">
        <v>297</v>
      </c>
      <c r="CU28" s="26" t="s">
        <v>297</v>
      </c>
      <c r="CV28" s="26" t="s">
        <v>297</v>
      </c>
      <c r="CW28" s="26">
        <v>0.22438409854423291</v>
      </c>
      <c r="CX28" s="26">
        <v>0.45714285714285713</v>
      </c>
      <c r="CY28" s="26" t="s">
        <v>297</v>
      </c>
      <c r="CZ28" s="26" t="s">
        <v>297</v>
      </c>
      <c r="DA28" s="26" t="s">
        <v>297</v>
      </c>
      <c r="DB28" s="26"/>
      <c r="DC28" s="26">
        <v>24.266666666666666</v>
      </c>
      <c r="DD28" s="26" t="s">
        <v>297</v>
      </c>
      <c r="DE28" s="26">
        <v>0.8571428571428571</v>
      </c>
      <c r="DF28" s="26">
        <v>1.3963133640552996</v>
      </c>
      <c r="DG28" s="26" t="s">
        <v>297</v>
      </c>
      <c r="DH28" s="26" t="s">
        <v>297</v>
      </c>
      <c r="DI28" s="26" t="s">
        <v>297</v>
      </c>
      <c r="DJ28" s="26" t="s">
        <v>297</v>
      </c>
      <c r="DK28" s="26">
        <v>1.6080178173719377</v>
      </c>
      <c r="DL28" s="26">
        <v>1.0212765957446808</v>
      </c>
      <c r="DM28" s="26" t="s">
        <v>297</v>
      </c>
      <c r="DN28" s="26">
        <v>1.0147058823529411</v>
      </c>
      <c r="DO28" s="26" t="s">
        <v>297</v>
      </c>
      <c r="DP28" s="26">
        <v>1.0069605568445477</v>
      </c>
      <c r="DQ28" s="26">
        <v>3.375</v>
      </c>
      <c r="DR28" s="26" t="s">
        <v>297</v>
      </c>
      <c r="DS28" s="26">
        <v>0.17694051603152328</v>
      </c>
      <c r="DT28" s="26">
        <v>0.41176470588235292</v>
      </c>
      <c r="DU28" s="26" t="s">
        <v>297</v>
      </c>
      <c r="DV28" s="26">
        <v>10.571582928146947</v>
      </c>
      <c r="DW28" s="26" t="s">
        <v>297</v>
      </c>
      <c r="DX28" s="26">
        <v>13.368421052631579</v>
      </c>
      <c r="DY28" s="26">
        <v>0.41624365482233505</v>
      </c>
    </row>
    <row r="29" spans="1:129" x14ac:dyDescent="0.2">
      <c r="A29" s="25" t="s">
        <v>316</v>
      </c>
      <c r="C29" s="26" t="s">
        <v>297</v>
      </c>
      <c r="D29" s="26">
        <v>16</v>
      </c>
      <c r="E29" s="26">
        <v>5.3571428571428568</v>
      </c>
      <c r="F29" s="26">
        <v>8</v>
      </c>
      <c r="G29" s="26">
        <v>2.375</v>
      </c>
      <c r="H29" s="26">
        <v>0.20821008585239159</v>
      </c>
      <c r="I29" s="26" t="s">
        <v>297</v>
      </c>
      <c r="J29" s="26" t="s">
        <v>297</v>
      </c>
      <c r="K29" s="26" t="s">
        <v>297</v>
      </c>
      <c r="L29" s="26" t="s">
        <v>297</v>
      </c>
      <c r="M29" s="26" t="s">
        <v>297</v>
      </c>
      <c r="N29" s="26">
        <v>0.69696969696969702</v>
      </c>
      <c r="O29" s="26" t="s">
        <v>297</v>
      </c>
      <c r="P29" s="26">
        <v>0.1056241426611797</v>
      </c>
      <c r="Q29" s="26">
        <v>2.4</v>
      </c>
      <c r="R29" s="26" t="s">
        <v>297</v>
      </c>
      <c r="S29" s="26" t="s">
        <v>297</v>
      </c>
      <c r="T29" s="26" t="s">
        <v>297</v>
      </c>
      <c r="U29" s="26">
        <v>0.7342995169082126</v>
      </c>
      <c r="V29" s="26">
        <v>4.8919860627177698</v>
      </c>
      <c r="W29" s="26"/>
      <c r="X29" s="26" t="s">
        <v>297</v>
      </c>
      <c r="Y29" s="26" t="s">
        <v>297</v>
      </c>
      <c r="Z29" s="26" t="s">
        <v>297</v>
      </c>
      <c r="AA29" s="26" t="s">
        <v>297</v>
      </c>
      <c r="AB29" s="26">
        <v>2.5470085470085468</v>
      </c>
      <c r="AC29" s="26">
        <v>0.66666666666666663</v>
      </c>
      <c r="AD29" s="26">
        <v>0.37626962142197601</v>
      </c>
      <c r="AE29" s="26" t="s">
        <v>297</v>
      </c>
      <c r="AF29" s="26" t="s">
        <v>297</v>
      </c>
      <c r="AG29" s="26" t="s">
        <v>297</v>
      </c>
      <c r="AH29" s="26">
        <v>6.4408703878902553</v>
      </c>
      <c r="AI29" s="26">
        <v>0.52270091874052271</v>
      </c>
      <c r="AJ29" s="26"/>
      <c r="AK29" s="26">
        <v>0.79841112214498511</v>
      </c>
      <c r="AL29" s="26">
        <v>0.23529411764705882</v>
      </c>
      <c r="AM29" s="26" t="s">
        <v>297</v>
      </c>
      <c r="AN29" s="26">
        <v>0.14000000000000001</v>
      </c>
      <c r="AO29" s="26" t="s">
        <v>297</v>
      </c>
      <c r="AP29" s="26" t="s">
        <v>297</v>
      </c>
      <c r="AQ29" s="26" t="s">
        <v>297</v>
      </c>
      <c r="AR29" s="26" t="s">
        <v>297</v>
      </c>
      <c r="AS29" s="26">
        <v>0.74334339829810592</v>
      </c>
      <c r="AT29" s="26">
        <v>1.1000000000000001</v>
      </c>
      <c r="AU29" s="26" t="s">
        <v>297</v>
      </c>
      <c r="AV29" s="26">
        <v>0.24896836313617607</v>
      </c>
      <c r="AW29" s="26" t="s">
        <v>297</v>
      </c>
      <c r="AX29" s="26">
        <v>1.4</v>
      </c>
      <c r="AY29" s="26" t="s">
        <v>297</v>
      </c>
      <c r="AZ29" s="26">
        <v>0.34137040226350107</v>
      </c>
      <c r="BA29" s="26">
        <v>0.21845655693470048</v>
      </c>
      <c r="BB29" s="26">
        <v>0.58429380738425474</v>
      </c>
      <c r="BC29" s="26">
        <v>0.62844542447629548</v>
      </c>
      <c r="BD29" s="26" t="s">
        <v>297</v>
      </c>
      <c r="BE29" s="26">
        <v>1.180952380952381</v>
      </c>
      <c r="BF29" s="26"/>
      <c r="BG29" s="26" t="s">
        <v>297</v>
      </c>
      <c r="BH29" s="26" t="s">
        <v>297</v>
      </c>
      <c r="BI29" s="26" t="s">
        <v>297</v>
      </c>
      <c r="BJ29" s="26" t="s">
        <v>297</v>
      </c>
      <c r="BK29" s="26">
        <v>2.1492537313432836</v>
      </c>
      <c r="BL29" s="26" t="s">
        <v>297</v>
      </c>
      <c r="BM29" s="26" t="s">
        <v>297</v>
      </c>
      <c r="BN29" s="26" t="s">
        <v>297</v>
      </c>
      <c r="BO29" s="26" t="s">
        <v>297</v>
      </c>
      <c r="BP29" s="26">
        <v>0.23853211009174313</v>
      </c>
      <c r="BQ29" s="26" t="s">
        <v>297</v>
      </c>
      <c r="BR29" s="26" t="s">
        <v>297</v>
      </c>
      <c r="BS29" s="26" t="s">
        <v>297</v>
      </c>
      <c r="BT29" s="26">
        <v>5</v>
      </c>
      <c r="BU29" s="26">
        <v>1.6767676767676767</v>
      </c>
      <c r="BV29" s="26">
        <v>0.11038196197206798</v>
      </c>
      <c r="BW29" s="26" t="s">
        <v>297</v>
      </c>
      <c r="BX29" s="26">
        <v>0.37367993501218522</v>
      </c>
      <c r="BY29" s="26">
        <v>1.1692307692307693</v>
      </c>
      <c r="BZ29" s="26" t="s">
        <v>297</v>
      </c>
      <c r="CA29" s="26" t="s">
        <v>297</v>
      </c>
      <c r="CB29" s="26" t="s">
        <v>297</v>
      </c>
      <c r="CC29" s="26" t="s">
        <v>297</v>
      </c>
      <c r="CD29" s="26">
        <v>1.3542967908679733</v>
      </c>
      <c r="CE29" s="26" t="s">
        <v>297</v>
      </c>
      <c r="CF29" s="26" t="s">
        <v>297</v>
      </c>
      <c r="CG29" s="26"/>
      <c r="CH29" s="26" t="s">
        <v>297</v>
      </c>
      <c r="CI29" s="26">
        <v>0.7678571428571429</v>
      </c>
      <c r="CJ29" s="26">
        <v>3.6616989567809242</v>
      </c>
      <c r="CK29" s="26">
        <v>0.36025130248237819</v>
      </c>
      <c r="CL29" s="26">
        <v>0.63293864370290631</v>
      </c>
      <c r="CM29" s="26" t="s">
        <v>297</v>
      </c>
      <c r="CN29" s="26" t="s">
        <v>297</v>
      </c>
      <c r="CO29" s="26" t="s">
        <v>297</v>
      </c>
      <c r="CP29" s="26">
        <v>0.57258064516129037</v>
      </c>
      <c r="CQ29" s="26" t="s">
        <v>297</v>
      </c>
      <c r="CR29" s="26" t="s">
        <v>297</v>
      </c>
      <c r="CS29" s="26" t="s">
        <v>297</v>
      </c>
      <c r="CT29" s="26" t="s">
        <v>297</v>
      </c>
      <c r="CU29" s="26" t="s">
        <v>297</v>
      </c>
      <c r="CV29" s="26" t="s">
        <v>297</v>
      </c>
      <c r="CW29" s="26">
        <v>9.1323210412147499E-2</v>
      </c>
      <c r="CX29" s="26">
        <v>0.39175257731958762</v>
      </c>
      <c r="CY29" s="26" t="s">
        <v>297</v>
      </c>
      <c r="CZ29" s="26" t="s">
        <v>297</v>
      </c>
      <c r="DA29" s="26" t="s">
        <v>297</v>
      </c>
      <c r="DB29" s="26"/>
      <c r="DC29" s="26">
        <v>24</v>
      </c>
      <c r="DD29" s="26">
        <v>42.666666666666664</v>
      </c>
      <c r="DE29" s="26">
        <v>2.3333333333333335</v>
      </c>
      <c r="DF29" s="26">
        <v>1.2572402044293016</v>
      </c>
      <c r="DG29" s="26" t="s">
        <v>297</v>
      </c>
      <c r="DH29" s="26" t="s">
        <v>297</v>
      </c>
      <c r="DI29" s="26" t="s">
        <v>297</v>
      </c>
      <c r="DJ29" s="26" t="s">
        <v>297</v>
      </c>
      <c r="DK29" s="26">
        <v>0.79601990049751248</v>
      </c>
      <c r="DL29" s="26">
        <v>1.1343283582089552</v>
      </c>
      <c r="DM29" s="26" t="s">
        <v>297</v>
      </c>
      <c r="DN29" s="26">
        <v>1.0781344639612356</v>
      </c>
      <c r="DO29" s="26" t="s">
        <v>297</v>
      </c>
      <c r="DP29" s="26">
        <v>0.32077764277035237</v>
      </c>
      <c r="DQ29" s="26">
        <v>4</v>
      </c>
      <c r="DR29" s="26" t="s">
        <v>297</v>
      </c>
      <c r="DS29" s="26">
        <v>0.166598611678236</v>
      </c>
      <c r="DT29" s="26">
        <v>0.98039215686274506</v>
      </c>
      <c r="DU29" s="26" t="s">
        <v>297</v>
      </c>
      <c r="DV29" s="26">
        <v>12.793284365162645</v>
      </c>
      <c r="DW29" s="26" t="s">
        <v>297</v>
      </c>
      <c r="DX29" s="26">
        <v>17</v>
      </c>
      <c r="DY29" s="26">
        <v>0.71028037383177567</v>
      </c>
    </row>
    <row r="30" spans="1:129" x14ac:dyDescent="0.2">
      <c r="A30" s="25" t="s">
        <v>317</v>
      </c>
      <c r="C30" s="26" t="s">
        <v>297</v>
      </c>
      <c r="D30" s="26">
        <v>4</v>
      </c>
      <c r="E30" s="26">
        <v>6.4375</v>
      </c>
      <c r="F30" s="26">
        <v>6</v>
      </c>
      <c r="G30" s="26">
        <v>2.290909090909091</v>
      </c>
      <c r="H30" s="26">
        <v>0.21053842613897836</v>
      </c>
      <c r="I30" s="26">
        <v>0.68571428571428572</v>
      </c>
      <c r="J30" s="26" t="s">
        <v>297</v>
      </c>
      <c r="K30" s="26" t="s">
        <v>297</v>
      </c>
      <c r="L30" s="26" t="s">
        <v>297</v>
      </c>
      <c r="M30" s="26" t="s">
        <v>297</v>
      </c>
      <c r="N30" s="26">
        <v>0.7407407407407407</v>
      </c>
      <c r="O30" s="26" t="s">
        <v>297</v>
      </c>
      <c r="P30" s="26">
        <v>0.19007717750826902</v>
      </c>
      <c r="Q30" s="26">
        <v>1.6</v>
      </c>
      <c r="R30" s="26" t="s">
        <v>297</v>
      </c>
      <c r="S30" s="26" t="s">
        <v>297</v>
      </c>
      <c r="T30" s="26" t="s">
        <v>297</v>
      </c>
      <c r="U30" s="26">
        <v>0.67326732673267331</v>
      </c>
      <c r="V30" s="26">
        <v>5.9317291550083944</v>
      </c>
      <c r="W30" s="26"/>
      <c r="X30" s="26" t="s">
        <v>297</v>
      </c>
      <c r="Y30" s="26" t="s">
        <v>297</v>
      </c>
      <c r="Z30" s="26" t="s">
        <v>297</v>
      </c>
      <c r="AA30" s="26" t="s">
        <v>297</v>
      </c>
      <c r="AB30" s="26">
        <v>2.8125</v>
      </c>
      <c r="AC30" s="26">
        <v>3.8</v>
      </c>
      <c r="AD30" s="26">
        <v>0.27458550987962754</v>
      </c>
      <c r="AE30" s="26" t="s">
        <v>297</v>
      </c>
      <c r="AF30" s="26" t="s">
        <v>297</v>
      </c>
      <c r="AG30" s="26" t="s">
        <v>297</v>
      </c>
      <c r="AH30" s="26">
        <v>5.7356608478802995</v>
      </c>
      <c r="AI30" s="26">
        <v>0.97372488408037094</v>
      </c>
      <c r="AJ30" s="26"/>
      <c r="AK30" s="26">
        <v>0.76631578947368417</v>
      </c>
      <c r="AL30" s="26">
        <v>0.84978540772532185</v>
      </c>
      <c r="AM30" s="26" t="s">
        <v>297</v>
      </c>
      <c r="AN30" s="26">
        <v>0.37142857142857144</v>
      </c>
      <c r="AO30" s="26" t="s">
        <v>297</v>
      </c>
      <c r="AP30" s="26" t="s">
        <v>297</v>
      </c>
      <c r="AQ30" s="26" t="s">
        <v>297</v>
      </c>
      <c r="AR30" s="26" t="s">
        <v>297</v>
      </c>
      <c r="AS30" s="26">
        <v>1.1468812877263581</v>
      </c>
      <c r="AT30" s="26">
        <v>0.76056338028169013</v>
      </c>
      <c r="AU30" s="26" t="s">
        <v>297</v>
      </c>
      <c r="AV30" s="26">
        <v>0.22268211920529801</v>
      </c>
      <c r="AW30" s="26" t="s">
        <v>297</v>
      </c>
      <c r="AX30" s="26">
        <v>2.9090909090909092</v>
      </c>
      <c r="AY30" s="26" t="s">
        <v>297</v>
      </c>
      <c r="AZ30" s="26">
        <v>0.34010446894950669</v>
      </c>
      <c r="BA30" s="26">
        <v>0.27577169481654046</v>
      </c>
      <c r="BB30" s="26">
        <v>0.52352452202826272</v>
      </c>
      <c r="BC30" s="26">
        <v>0.93529411764705883</v>
      </c>
      <c r="BD30" s="26">
        <v>3.5555555555555554</v>
      </c>
      <c r="BE30" s="26">
        <v>2.6666666666666665</v>
      </c>
      <c r="BF30" s="26" t="s">
        <v>297</v>
      </c>
      <c r="BG30" s="26" t="s">
        <v>297</v>
      </c>
      <c r="BH30" s="26" t="s">
        <v>297</v>
      </c>
      <c r="BI30" s="26" t="s">
        <v>297</v>
      </c>
      <c r="BJ30" s="26" t="s">
        <v>297</v>
      </c>
      <c r="BK30" s="26">
        <v>3.3142857142857145</v>
      </c>
      <c r="BL30" s="26">
        <v>6.5</v>
      </c>
      <c r="BM30" s="26" t="s">
        <v>297</v>
      </c>
      <c r="BN30" s="26" t="s">
        <v>297</v>
      </c>
      <c r="BO30" s="26" t="s">
        <v>297</v>
      </c>
      <c r="BP30" s="26">
        <v>1.3333333333333333</v>
      </c>
      <c r="BQ30" s="26" t="s">
        <v>297</v>
      </c>
      <c r="BR30" s="26" t="s">
        <v>297</v>
      </c>
      <c r="BS30" s="26" t="s">
        <v>297</v>
      </c>
      <c r="BT30" s="26">
        <v>10</v>
      </c>
      <c r="BU30" s="26">
        <v>1.75</v>
      </c>
      <c r="BV30" s="26" t="s">
        <v>297</v>
      </c>
      <c r="BW30" s="26" t="s">
        <v>297</v>
      </c>
      <c r="BX30" s="26">
        <v>0.47286821705426357</v>
      </c>
      <c r="BY30" s="26">
        <v>1.8181212524983343</v>
      </c>
      <c r="BZ30" s="26" t="s">
        <v>297</v>
      </c>
      <c r="CA30" s="26" t="s">
        <v>297</v>
      </c>
      <c r="CB30" s="26" t="s">
        <v>297</v>
      </c>
      <c r="CC30" s="26" t="s">
        <v>297</v>
      </c>
      <c r="CD30" s="26">
        <v>1.221754613143412</v>
      </c>
      <c r="CE30" s="26" t="s">
        <v>297</v>
      </c>
      <c r="CF30" s="26" t="s">
        <v>297</v>
      </c>
      <c r="CG30" s="26"/>
      <c r="CH30" s="26" t="s">
        <v>297</v>
      </c>
      <c r="CI30" s="26">
        <v>0.84615384615384615</v>
      </c>
      <c r="CJ30" s="26">
        <v>4.3445229681978796</v>
      </c>
      <c r="CK30" s="26">
        <v>0.41428571428571431</v>
      </c>
      <c r="CL30" s="26">
        <v>0.5679180887372014</v>
      </c>
      <c r="CM30" s="26" t="s">
        <v>297</v>
      </c>
      <c r="CN30" s="26" t="s">
        <v>297</v>
      </c>
      <c r="CO30" s="26" t="s">
        <v>297</v>
      </c>
      <c r="CP30" s="26" t="s">
        <v>297</v>
      </c>
      <c r="CQ30" s="26">
        <v>0.77777777777777779</v>
      </c>
      <c r="CR30" s="26">
        <v>0.68493150684931514</v>
      </c>
      <c r="CS30" s="26" t="s">
        <v>297</v>
      </c>
      <c r="CT30" s="26" t="s">
        <v>297</v>
      </c>
      <c r="CU30" s="26" t="s">
        <v>297</v>
      </c>
      <c r="CV30" s="26" t="s">
        <v>297</v>
      </c>
      <c r="CW30" s="26">
        <v>0.85288237254248589</v>
      </c>
      <c r="CX30" s="26">
        <v>0.31775700934579437</v>
      </c>
      <c r="CY30" s="26" t="s">
        <v>297</v>
      </c>
      <c r="CZ30" s="26" t="s">
        <v>297</v>
      </c>
      <c r="DA30" s="26" t="s">
        <v>297</v>
      </c>
      <c r="DB30" s="26"/>
      <c r="DC30" s="26">
        <v>60</v>
      </c>
      <c r="DD30" s="26" t="s">
        <v>297</v>
      </c>
      <c r="DE30" s="26">
        <v>1.5384615384615385</v>
      </c>
      <c r="DF30" s="26">
        <v>0.9375</v>
      </c>
      <c r="DG30" s="26" t="s">
        <v>297</v>
      </c>
      <c r="DH30" s="26" t="s">
        <v>297</v>
      </c>
      <c r="DI30" s="26" t="s">
        <v>297</v>
      </c>
      <c r="DJ30" s="26" t="s">
        <v>297</v>
      </c>
      <c r="DK30" s="26">
        <v>0.97142857142857142</v>
      </c>
      <c r="DL30" s="26">
        <v>2.09375</v>
      </c>
      <c r="DM30" s="26" t="s">
        <v>297</v>
      </c>
      <c r="DN30" s="26">
        <v>1.2072524407252441</v>
      </c>
      <c r="DO30" s="26" t="s">
        <v>297</v>
      </c>
      <c r="DP30" s="26">
        <v>0.25641025641025639</v>
      </c>
      <c r="DQ30" s="26">
        <v>5.8571428571428568</v>
      </c>
      <c r="DR30" s="26" t="s">
        <v>297</v>
      </c>
      <c r="DS30" s="26">
        <v>0.1876632801161103</v>
      </c>
      <c r="DT30" s="26" t="s">
        <v>297</v>
      </c>
      <c r="DU30" s="26" t="s">
        <v>297</v>
      </c>
      <c r="DV30" s="26">
        <v>13.954716981132075</v>
      </c>
      <c r="DW30" s="26" t="s">
        <v>297</v>
      </c>
      <c r="DX30" s="26">
        <v>3</v>
      </c>
      <c r="DY30" s="26">
        <v>0.8928571428571429</v>
      </c>
    </row>
    <row r="31" spans="1:129" x14ac:dyDescent="0.2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20"/>
  <sheetViews>
    <sheetView zoomScale="60" zoomScaleNormal="60" zoomScaleSheetLayoutView="70" workbookViewId="0">
      <pane xSplit="1" ySplit="3" topLeftCell="B162" activePane="bottomRight" state="frozen"/>
      <selection pane="topRight" activeCell="B1" sqref="B1"/>
      <selection pane="bottomLeft" activeCell="A4" sqref="A4"/>
      <selection pane="bottomRight" activeCell="G183" sqref="G183"/>
    </sheetView>
  </sheetViews>
  <sheetFormatPr defaultRowHeight="14.4" x14ac:dyDescent="0.3"/>
  <cols>
    <col min="1" max="1" width="28.33203125" style="49" customWidth="1"/>
    <col min="2" max="2" width="9.21875" style="38" customWidth="1"/>
    <col min="3" max="3" width="11.6640625" style="44" customWidth="1"/>
    <col min="4" max="4" width="13.109375" style="44" customWidth="1"/>
    <col min="5" max="5" width="11.6640625" style="44" customWidth="1"/>
    <col min="6" max="6" width="10" style="44" customWidth="1"/>
    <col min="7" max="9" width="11.6640625" style="44" customWidth="1"/>
    <col min="10" max="10" width="10" style="44" customWidth="1"/>
    <col min="11" max="13" width="11.6640625" style="44" customWidth="1"/>
    <col min="14" max="14" width="10" style="44" customWidth="1"/>
    <col min="15" max="17" width="11.6640625" style="44" customWidth="1"/>
    <col min="18" max="18" width="10" style="44" customWidth="1"/>
    <col min="19" max="21" width="11.6640625" style="44" customWidth="1"/>
    <col min="22" max="22" width="10" style="44" customWidth="1"/>
    <col min="23" max="24" width="11.6640625" style="44" customWidth="1"/>
    <col min="25" max="25" width="10" style="44" customWidth="1"/>
    <col min="26" max="27" width="11.6640625" style="44" customWidth="1"/>
    <col min="28" max="28" width="10" style="44" customWidth="1"/>
    <col min="29" max="31" width="11.6640625" style="44" customWidth="1"/>
    <col min="32" max="32" width="10" style="44" customWidth="1"/>
    <col min="33" max="34" width="11.6640625" style="44" customWidth="1"/>
    <col min="35" max="35" width="10" style="44" customWidth="1"/>
    <col min="36" max="38" width="11.6640625" style="44" customWidth="1"/>
    <col min="39" max="39" width="10" style="44" customWidth="1"/>
    <col min="40" max="42" width="11.6640625" style="44" customWidth="1"/>
    <col min="43" max="43" width="10" style="44" customWidth="1"/>
    <col min="44" max="46" width="11.6640625" style="44" customWidth="1"/>
    <col min="47" max="47" width="10" style="44" customWidth="1"/>
    <col min="48" max="50" width="11.6640625" style="44" customWidth="1"/>
    <col min="51" max="51" width="10" style="44" customWidth="1"/>
    <col min="52" max="54" width="11.6640625" style="44" customWidth="1"/>
    <col min="55" max="55" width="10" style="44" customWidth="1"/>
    <col min="56" max="56" width="11.6640625" style="44" customWidth="1"/>
    <col min="57" max="57" width="8.5546875" style="44" customWidth="1"/>
    <col min="58" max="58" width="10" style="44" customWidth="1"/>
    <col min="59" max="59" width="10.88671875" style="44" customWidth="1"/>
    <col min="60" max="60" width="13.77734375" style="44" customWidth="1"/>
    <col min="61" max="61" width="13.44140625" style="44" customWidth="1"/>
    <col min="62" max="62" width="10" style="44" customWidth="1"/>
    <col min="63" max="63" width="12.44140625" style="44" customWidth="1"/>
    <col min="64" max="64" width="11.6640625" style="44" customWidth="1"/>
    <col min="65" max="65" width="10" style="44" customWidth="1"/>
    <col min="66" max="68" width="11.6640625" style="44" customWidth="1"/>
    <col min="69" max="69" width="10" style="44" customWidth="1"/>
    <col min="70" max="71" width="11.6640625" style="44" customWidth="1"/>
    <col min="72" max="72" width="10" style="44" customWidth="1"/>
    <col min="73" max="74" width="11.6640625" style="44" customWidth="1"/>
    <col min="75" max="75" width="10" style="44" customWidth="1"/>
    <col min="76" max="78" width="11.6640625" style="44" customWidth="1"/>
    <col min="79" max="79" width="10" style="44" customWidth="1"/>
    <col min="80" max="80" width="11.6640625" style="44" customWidth="1"/>
    <col min="81" max="81" width="8.88671875" style="44"/>
    <col min="82" max="82" width="10" style="44" customWidth="1"/>
    <col min="83" max="16384" width="8.88671875" style="44"/>
  </cols>
  <sheetData>
    <row r="1" spans="1:82" s="47" customFormat="1" ht="29.4" customHeight="1" x14ac:dyDescent="0.3">
      <c r="A1" s="46"/>
      <c r="B1" s="49"/>
      <c r="D1" s="83" t="s">
        <v>207</v>
      </c>
      <c r="E1" s="83"/>
      <c r="F1" s="83"/>
      <c r="H1" s="83" t="s">
        <v>208</v>
      </c>
      <c r="I1" s="83"/>
      <c r="J1" s="83"/>
      <c r="L1" s="83" t="s">
        <v>209</v>
      </c>
      <c r="M1" s="83"/>
      <c r="N1" s="83"/>
      <c r="P1" s="83" t="s">
        <v>210</v>
      </c>
      <c r="Q1" s="83"/>
      <c r="R1" s="83"/>
      <c r="T1" s="83" t="s">
        <v>211</v>
      </c>
      <c r="U1" s="83"/>
      <c r="V1" s="83"/>
      <c r="W1" s="83" t="s">
        <v>212</v>
      </c>
      <c r="X1" s="83"/>
      <c r="Y1" s="83"/>
      <c r="Z1" s="83" t="s">
        <v>213</v>
      </c>
      <c r="AA1" s="83"/>
      <c r="AB1" s="83"/>
      <c r="AD1" s="83" t="s">
        <v>214</v>
      </c>
      <c r="AE1" s="83"/>
      <c r="AF1" s="83"/>
      <c r="AG1" s="83" t="s">
        <v>215</v>
      </c>
      <c r="AH1" s="83"/>
      <c r="AI1" s="83"/>
      <c r="AK1" s="83" t="s">
        <v>216</v>
      </c>
      <c r="AL1" s="83"/>
      <c r="AM1" s="83"/>
      <c r="AO1" s="83" t="s">
        <v>217</v>
      </c>
      <c r="AP1" s="83"/>
      <c r="AQ1" s="83"/>
      <c r="AS1" s="83" t="s">
        <v>218</v>
      </c>
      <c r="AT1" s="83"/>
      <c r="AU1" s="83"/>
      <c r="AW1" s="83" t="s">
        <v>219</v>
      </c>
      <c r="AX1" s="83"/>
      <c r="AY1" s="83"/>
      <c r="BA1" s="83" t="s">
        <v>220</v>
      </c>
      <c r="BB1" s="83"/>
      <c r="BC1" s="83"/>
      <c r="BD1" s="83" t="s">
        <v>221</v>
      </c>
      <c r="BE1" s="83"/>
      <c r="BF1" s="83"/>
      <c r="BH1" s="83" t="s">
        <v>222</v>
      </c>
      <c r="BI1" s="83"/>
      <c r="BJ1" s="83"/>
      <c r="BK1" s="83" t="s">
        <v>223</v>
      </c>
      <c r="BL1" s="83"/>
      <c r="BM1" s="83"/>
      <c r="BO1" s="83" t="s">
        <v>224</v>
      </c>
      <c r="BP1" s="83"/>
      <c r="BQ1" s="83"/>
      <c r="BR1" s="83" t="s">
        <v>225</v>
      </c>
      <c r="BS1" s="83"/>
      <c r="BT1" s="83"/>
      <c r="BU1" s="83" t="s">
        <v>56</v>
      </c>
      <c r="BV1" s="83"/>
      <c r="BW1" s="83"/>
      <c r="BY1" s="83" t="s">
        <v>57</v>
      </c>
      <c r="BZ1" s="83"/>
      <c r="CA1" s="83"/>
      <c r="CB1" s="83" t="s">
        <v>58</v>
      </c>
      <c r="CC1" s="83"/>
      <c r="CD1" s="83"/>
    </row>
    <row r="2" spans="1:82" ht="15" hidden="1" customHeight="1" x14ac:dyDescent="0.3">
      <c r="B2" s="49"/>
      <c r="C2" s="50"/>
      <c r="D2" s="84">
        <v>1887</v>
      </c>
      <c r="E2" s="84"/>
      <c r="F2" s="51"/>
      <c r="G2" s="50"/>
      <c r="H2" s="84">
        <v>1888</v>
      </c>
      <c r="I2" s="84"/>
      <c r="J2" s="51"/>
      <c r="K2" s="50"/>
      <c r="L2" s="84">
        <v>1889</v>
      </c>
      <c r="M2" s="84"/>
      <c r="N2" s="51"/>
      <c r="O2" s="50"/>
      <c r="P2" s="84">
        <v>1890</v>
      </c>
      <c r="Q2" s="84"/>
      <c r="R2" s="51"/>
      <c r="S2" s="50"/>
      <c r="T2" s="84">
        <v>1891</v>
      </c>
      <c r="U2" s="84"/>
      <c r="V2" s="51"/>
      <c r="W2" s="84">
        <v>1892</v>
      </c>
      <c r="X2" s="84"/>
      <c r="Y2" s="51"/>
      <c r="Z2" s="84">
        <v>1893</v>
      </c>
      <c r="AA2" s="84"/>
      <c r="AB2" s="51"/>
      <c r="AD2" s="84">
        <v>1894</v>
      </c>
      <c r="AE2" s="84"/>
      <c r="AF2" s="51"/>
      <c r="AG2" s="84">
        <v>1895</v>
      </c>
      <c r="AH2" s="84"/>
      <c r="AI2" s="51"/>
      <c r="AJ2" s="50"/>
      <c r="AK2" s="84">
        <v>1896</v>
      </c>
      <c r="AL2" s="84"/>
      <c r="AM2" s="51"/>
      <c r="AN2" s="50"/>
      <c r="AO2" s="84">
        <v>1897</v>
      </c>
      <c r="AP2" s="84"/>
      <c r="AQ2" s="51"/>
      <c r="AR2" s="50"/>
      <c r="AS2" s="84">
        <v>1898</v>
      </c>
      <c r="AT2" s="84"/>
      <c r="AU2" s="51"/>
      <c r="AV2" s="50"/>
      <c r="AW2" s="84">
        <v>1899</v>
      </c>
      <c r="AX2" s="84"/>
      <c r="AY2" s="51"/>
      <c r="AZ2" s="50"/>
      <c r="BA2" s="84">
        <v>1900</v>
      </c>
      <c r="BB2" s="84"/>
      <c r="BC2" s="51"/>
      <c r="BD2" s="84">
        <v>1901</v>
      </c>
      <c r="BE2" s="84"/>
      <c r="BF2" s="51"/>
      <c r="BG2" s="50"/>
      <c r="BH2" s="84">
        <v>1906</v>
      </c>
      <c r="BI2" s="84"/>
      <c r="BJ2" s="51"/>
      <c r="BK2" s="84">
        <v>1907</v>
      </c>
      <c r="BL2" s="84"/>
      <c r="BM2" s="51"/>
      <c r="BN2" s="50"/>
      <c r="BO2" s="84">
        <v>1908</v>
      </c>
      <c r="BP2" s="84"/>
      <c r="BQ2" s="51"/>
      <c r="BR2" s="84">
        <v>1909</v>
      </c>
      <c r="BS2" s="84"/>
      <c r="BT2" s="51"/>
      <c r="BU2" s="84">
        <v>1910</v>
      </c>
      <c r="BV2" s="84"/>
      <c r="BW2" s="51"/>
      <c r="BX2" s="50"/>
      <c r="BY2" s="84">
        <v>1911</v>
      </c>
      <c r="BZ2" s="84"/>
      <c r="CA2" s="51"/>
      <c r="CB2" s="84">
        <v>1912</v>
      </c>
      <c r="CC2" s="84"/>
      <c r="CD2" s="51"/>
    </row>
    <row r="3" spans="1:82" s="47" customFormat="1" ht="29.4" customHeight="1" x14ac:dyDescent="0.3">
      <c r="A3" s="68" t="s">
        <v>0</v>
      </c>
      <c r="B3" s="72" t="s">
        <v>283</v>
      </c>
      <c r="C3" s="69" t="s">
        <v>3</v>
      </c>
      <c r="D3" s="70" t="s">
        <v>4</v>
      </c>
      <c r="E3" s="71" t="s">
        <v>201</v>
      </c>
      <c r="F3" s="71" t="s">
        <v>285</v>
      </c>
      <c r="G3" s="69" t="s">
        <v>3</v>
      </c>
      <c r="H3" s="70" t="s">
        <v>4</v>
      </c>
      <c r="I3" s="71" t="s">
        <v>201</v>
      </c>
      <c r="J3" s="71" t="s">
        <v>285</v>
      </c>
      <c r="K3" s="69" t="s">
        <v>3</v>
      </c>
      <c r="L3" s="70" t="s">
        <v>4</v>
      </c>
      <c r="M3" s="71" t="s">
        <v>201</v>
      </c>
      <c r="N3" s="71" t="s">
        <v>285</v>
      </c>
      <c r="O3" s="69" t="s">
        <v>3</v>
      </c>
      <c r="P3" s="70" t="s">
        <v>4</v>
      </c>
      <c r="Q3" s="71" t="s">
        <v>201</v>
      </c>
      <c r="R3" s="71" t="s">
        <v>285</v>
      </c>
      <c r="S3" s="69" t="s">
        <v>3</v>
      </c>
      <c r="T3" s="70" t="s">
        <v>4</v>
      </c>
      <c r="U3" s="71" t="s">
        <v>201</v>
      </c>
      <c r="V3" s="71" t="s">
        <v>285</v>
      </c>
      <c r="W3" s="70" t="s">
        <v>4</v>
      </c>
      <c r="X3" s="71" t="s">
        <v>201</v>
      </c>
      <c r="Y3" s="71" t="s">
        <v>285</v>
      </c>
      <c r="Z3" s="70" t="s">
        <v>4</v>
      </c>
      <c r="AA3" s="71" t="s">
        <v>201</v>
      </c>
      <c r="AB3" s="71" t="s">
        <v>285</v>
      </c>
      <c r="AC3" s="69" t="s">
        <v>3</v>
      </c>
      <c r="AD3" s="70" t="s">
        <v>4</v>
      </c>
      <c r="AE3" s="71" t="s">
        <v>201</v>
      </c>
      <c r="AF3" s="71" t="s">
        <v>285</v>
      </c>
      <c r="AG3" s="70" t="s">
        <v>4</v>
      </c>
      <c r="AH3" s="71" t="s">
        <v>201</v>
      </c>
      <c r="AI3" s="71" t="s">
        <v>285</v>
      </c>
      <c r="AJ3" s="69" t="s">
        <v>3</v>
      </c>
      <c r="AK3" s="70" t="s">
        <v>4</v>
      </c>
      <c r="AL3" s="71" t="s">
        <v>201</v>
      </c>
      <c r="AM3" s="71" t="s">
        <v>285</v>
      </c>
      <c r="AN3" s="69" t="s">
        <v>3</v>
      </c>
      <c r="AO3" s="70" t="s">
        <v>4</v>
      </c>
      <c r="AP3" s="71" t="s">
        <v>201</v>
      </c>
      <c r="AQ3" s="71" t="s">
        <v>285</v>
      </c>
      <c r="AR3" s="69" t="s">
        <v>3</v>
      </c>
      <c r="AS3" s="70" t="s">
        <v>4</v>
      </c>
      <c r="AT3" s="71" t="s">
        <v>201</v>
      </c>
      <c r="AU3" s="71" t="s">
        <v>285</v>
      </c>
      <c r="AV3" s="69" t="s">
        <v>3</v>
      </c>
      <c r="AW3" s="70" t="s">
        <v>4</v>
      </c>
      <c r="AX3" s="71" t="s">
        <v>201</v>
      </c>
      <c r="AY3" s="71" t="s">
        <v>285</v>
      </c>
      <c r="AZ3" s="69" t="s">
        <v>3</v>
      </c>
      <c r="BA3" s="70" t="s">
        <v>4</v>
      </c>
      <c r="BB3" s="71" t="s">
        <v>201</v>
      </c>
      <c r="BC3" s="71" t="s">
        <v>285</v>
      </c>
      <c r="BD3" s="70" t="s">
        <v>4</v>
      </c>
      <c r="BE3" s="71" t="s">
        <v>201</v>
      </c>
      <c r="BF3" s="71" t="s">
        <v>285</v>
      </c>
      <c r="BG3" s="69" t="s">
        <v>3</v>
      </c>
      <c r="BH3" s="70" t="s">
        <v>4</v>
      </c>
      <c r="BI3" s="71" t="s">
        <v>201</v>
      </c>
      <c r="BJ3" s="71" t="s">
        <v>285</v>
      </c>
      <c r="BK3" s="70" t="s">
        <v>4</v>
      </c>
      <c r="BL3" s="71" t="s">
        <v>201</v>
      </c>
      <c r="BM3" s="71" t="s">
        <v>285</v>
      </c>
      <c r="BN3" s="69" t="s">
        <v>3</v>
      </c>
      <c r="BO3" s="70" t="s">
        <v>4</v>
      </c>
      <c r="BP3" s="71" t="s">
        <v>201</v>
      </c>
      <c r="BQ3" s="71" t="s">
        <v>285</v>
      </c>
      <c r="BR3" s="70" t="s">
        <v>4</v>
      </c>
      <c r="BS3" s="71" t="s">
        <v>201</v>
      </c>
      <c r="BT3" s="71" t="s">
        <v>285</v>
      </c>
      <c r="BU3" s="70" t="s">
        <v>4</v>
      </c>
      <c r="BV3" s="71" t="s">
        <v>201</v>
      </c>
      <c r="BW3" s="71" t="s">
        <v>285</v>
      </c>
      <c r="BX3" s="69" t="s">
        <v>3</v>
      </c>
      <c r="BY3" s="70" t="s">
        <v>4</v>
      </c>
      <c r="BZ3" s="71" t="s">
        <v>201</v>
      </c>
      <c r="CA3" s="71" t="s">
        <v>285</v>
      </c>
      <c r="CB3" s="70" t="s">
        <v>4</v>
      </c>
      <c r="CC3" s="71" t="s">
        <v>201</v>
      </c>
      <c r="CD3" s="71" t="s">
        <v>285</v>
      </c>
    </row>
    <row r="4" spans="1:82" x14ac:dyDescent="0.3">
      <c r="A4" s="49" t="s">
        <v>5</v>
      </c>
      <c r="B4" s="49" t="s">
        <v>112</v>
      </c>
      <c r="C4" s="44" t="s">
        <v>34</v>
      </c>
      <c r="D4" s="44">
        <v>350</v>
      </c>
      <c r="E4" s="44">
        <v>911</v>
      </c>
      <c r="F4" s="62">
        <f>IFERROR(E4/D4,"")</f>
        <v>2.6028571428571428</v>
      </c>
      <c r="G4" s="44" t="s">
        <v>34</v>
      </c>
      <c r="H4" s="44">
        <v>274</v>
      </c>
      <c r="I4" s="44">
        <v>631</v>
      </c>
      <c r="J4" s="62">
        <f>IFERROR(I4/H4,"")</f>
        <v>2.3029197080291972</v>
      </c>
      <c r="K4" s="44" t="s">
        <v>39</v>
      </c>
      <c r="L4" s="44">
        <v>229</v>
      </c>
      <c r="M4" s="44">
        <v>786</v>
      </c>
      <c r="N4" s="62">
        <f>IFERROR(M4/L4,"")</f>
        <v>3.4323144104803491</v>
      </c>
      <c r="O4" s="44" t="s">
        <v>39</v>
      </c>
      <c r="P4" s="44">
        <v>100</v>
      </c>
      <c r="Q4" s="44">
        <v>435</v>
      </c>
      <c r="R4" s="62">
        <f>IFERROR(Q4/P4,"")</f>
        <v>4.3499999999999996</v>
      </c>
      <c r="S4" s="44" t="s">
        <v>39</v>
      </c>
      <c r="T4" s="44">
        <v>304</v>
      </c>
      <c r="U4" s="44">
        <v>864</v>
      </c>
      <c r="V4" s="62">
        <f>IFERROR(U4/T4,"")</f>
        <v>2.8421052631578947</v>
      </c>
      <c r="Y4" s="62" t="str">
        <f>IFERROR(X4/W4,"")</f>
        <v/>
      </c>
      <c r="Z4" s="44">
        <v>136</v>
      </c>
      <c r="AA4" s="44">
        <v>689</v>
      </c>
      <c r="AB4" s="62">
        <f>IFERROR(AA4/Z4,"")</f>
        <v>5.0661764705882355</v>
      </c>
      <c r="AC4" s="44" t="s">
        <v>39</v>
      </c>
      <c r="AD4" s="44">
        <v>297</v>
      </c>
      <c r="AE4" s="44">
        <v>754</v>
      </c>
      <c r="AF4" s="62">
        <f>IFERROR(AE4/AD4,"")</f>
        <v>2.5387205387205389</v>
      </c>
      <c r="AG4" s="44">
        <v>322</v>
      </c>
      <c r="AH4" s="44">
        <v>561</v>
      </c>
      <c r="AI4" s="62">
        <f>IFERROR(AH4/AG4,"")</f>
        <v>1.7422360248447204</v>
      </c>
      <c r="AM4" s="62" t="str">
        <f>IFERROR(AL4/AK4,"")</f>
        <v/>
      </c>
      <c r="AQ4" s="62" t="str">
        <f>IFERROR(AP4/AO4,"")</f>
        <v/>
      </c>
      <c r="AU4" s="62" t="str">
        <f>IFERROR(AT4/AS4,"")</f>
        <v/>
      </c>
      <c r="AY4" s="62" t="str">
        <f>IFERROR(AX4/AW4,"")</f>
        <v/>
      </c>
      <c r="BC4" s="62" t="str">
        <f>IFERROR(BB4/BA4,"")</f>
        <v/>
      </c>
      <c r="BF4" s="62" t="str">
        <f>IFERROR(BE4/BD4,"")</f>
        <v/>
      </c>
      <c r="BJ4" s="62" t="str">
        <f>IFERROR(BI4/BH4,"")</f>
        <v/>
      </c>
      <c r="BM4" s="62" t="str">
        <f>IFERROR(BL4/BK4,"")</f>
        <v/>
      </c>
      <c r="BQ4" s="62" t="str">
        <f>IFERROR(BP4/BO4,"")</f>
        <v/>
      </c>
      <c r="BT4" s="62" t="str">
        <f>IFERROR(BS4/BR4,"")</f>
        <v/>
      </c>
      <c r="BW4" s="62" t="str">
        <f>IFERROR(BV4/BU4,"")</f>
        <v/>
      </c>
      <c r="CA4" s="62" t="str">
        <f>IFERROR(BZ4/BY4,"")</f>
        <v/>
      </c>
      <c r="CD4" s="62" t="str">
        <f>IFERROR(CC4/CB4,"")</f>
        <v/>
      </c>
    </row>
    <row r="5" spans="1:82" x14ac:dyDescent="0.3">
      <c r="A5" s="49" t="s">
        <v>202</v>
      </c>
      <c r="B5" s="49" t="s">
        <v>112</v>
      </c>
      <c r="C5" s="44" t="s">
        <v>34</v>
      </c>
      <c r="F5" s="62" t="str">
        <f t="shared" ref="F5:F68" si="0">IFERROR(E5/D5,"")</f>
        <v/>
      </c>
      <c r="J5" s="62" t="str">
        <f t="shared" ref="J5:J68" si="1">IFERROR(I5/H5,"")</f>
        <v/>
      </c>
      <c r="N5" s="62" t="str">
        <f t="shared" ref="N5:N68" si="2">IFERROR(M5/L5,"")</f>
        <v/>
      </c>
      <c r="R5" s="62" t="str">
        <f t="shared" ref="R5:R68" si="3">IFERROR(Q5/P5,"")</f>
        <v/>
      </c>
      <c r="V5" s="62" t="str">
        <f t="shared" ref="V5:V68" si="4">IFERROR(U5/T5,"")</f>
        <v/>
      </c>
      <c r="Y5" s="62" t="str">
        <f t="shared" ref="Y5:Y68" si="5">IFERROR(X5/W5,"")</f>
        <v/>
      </c>
      <c r="AB5" s="62" t="str">
        <f t="shared" ref="AB5:AB68" si="6">IFERROR(AA5/Z5,"")</f>
        <v/>
      </c>
      <c r="AF5" s="62" t="str">
        <f t="shared" ref="AF5:AF68" si="7">IFERROR(AE5/AD5,"")</f>
        <v/>
      </c>
      <c r="AI5" s="62" t="str">
        <f t="shared" ref="AI5:AI68" si="8">IFERROR(AH5/AG5,"")</f>
        <v/>
      </c>
      <c r="AJ5" s="44" t="s">
        <v>39</v>
      </c>
      <c r="AK5" s="44">
        <v>7</v>
      </c>
      <c r="AL5" s="44">
        <v>88</v>
      </c>
      <c r="AM5" s="62">
        <f t="shared" ref="AM5:AM68" si="9">IFERROR(AL5/AK5,"")</f>
        <v>12.571428571428571</v>
      </c>
      <c r="AQ5" s="62" t="str">
        <f t="shared" ref="AQ5:AQ68" si="10">IFERROR(AP5/AO5,"")</f>
        <v/>
      </c>
      <c r="AU5" s="62" t="str">
        <f t="shared" ref="AU5:AU68" si="11">IFERROR(AT5/AS5,"")</f>
        <v/>
      </c>
      <c r="AY5" s="62" t="str">
        <f t="shared" ref="AY5:AY68" si="12">IFERROR(AX5/AW5,"")</f>
        <v/>
      </c>
      <c r="BC5" s="62" t="str">
        <f t="shared" ref="BC5:BC68" si="13">IFERROR(BB5/BA5,"")</f>
        <v/>
      </c>
      <c r="BF5" s="62" t="str">
        <f t="shared" ref="BF5:BF68" si="14">IFERROR(BE5/BD5,"")</f>
        <v/>
      </c>
      <c r="BG5" s="44" t="s">
        <v>39</v>
      </c>
      <c r="BH5" s="44">
        <v>7</v>
      </c>
      <c r="BI5" s="44">
        <v>48</v>
      </c>
      <c r="BJ5" s="62">
        <f t="shared" ref="BJ5:BJ68" si="15">IFERROR(BI5/BH5,"")</f>
        <v>6.8571428571428568</v>
      </c>
      <c r="BK5" s="44">
        <v>1</v>
      </c>
      <c r="BL5" s="44">
        <v>38</v>
      </c>
      <c r="BM5" s="62">
        <f t="shared" ref="BM5:BM68" si="16">IFERROR(BL5/BK5,"")</f>
        <v>38</v>
      </c>
      <c r="BN5" s="44" t="s">
        <v>39</v>
      </c>
      <c r="BO5" s="44">
        <v>1</v>
      </c>
      <c r="BP5" s="44">
        <v>10</v>
      </c>
      <c r="BQ5" s="62">
        <f t="shared" ref="BQ5:BQ68" si="17">IFERROR(BP5/BO5,"")</f>
        <v>10</v>
      </c>
      <c r="BT5" s="62" t="str">
        <f t="shared" ref="BT5:BT68" si="18">IFERROR(BS5/BR5,"")</f>
        <v/>
      </c>
      <c r="BW5" s="62" t="str">
        <f t="shared" ref="BW5:BW68" si="19">IFERROR(BV5/BU5,"")</f>
        <v/>
      </c>
      <c r="CA5" s="62" t="str">
        <f t="shared" ref="CA5:CA68" si="20">IFERROR(BZ5/BY5,"")</f>
        <v/>
      </c>
      <c r="CD5" s="62" t="str">
        <f t="shared" ref="CD5:CD68" si="21">IFERROR(CC5/CB5,"")</f>
        <v/>
      </c>
    </row>
    <row r="6" spans="1:82" x14ac:dyDescent="0.3">
      <c r="A6" s="49" t="s">
        <v>203</v>
      </c>
      <c r="B6" s="49" t="s">
        <v>112</v>
      </c>
      <c r="C6" s="44" t="s">
        <v>34</v>
      </c>
      <c r="F6" s="62" t="str">
        <f t="shared" si="0"/>
        <v/>
      </c>
      <c r="J6" s="62" t="str">
        <f t="shared" si="1"/>
        <v/>
      </c>
      <c r="N6" s="62" t="str">
        <f t="shared" si="2"/>
        <v/>
      </c>
      <c r="R6" s="62" t="str">
        <f t="shared" si="3"/>
        <v/>
      </c>
      <c r="V6" s="62" t="str">
        <f t="shared" si="4"/>
        <v/>
      </c>
      <c r="Y6" s="62" t="str">
        <f t="shared" si="5"/>
        <v/>
      </c>
      <c r="AB6" s="62" t="str">
        <f t="shared" si="6"/>
        <v/>
      </c>
      <c r="AF6" s="62" t="str">
        <f t="shared" si="7"/>
        <v/>
      </c>
      <c r="AI6" s="62" t="str">
        <f t="shared" si="8"/>
        <v/>
      </c>
      <c r="AJ6" s="44" t="s">
        <v>39</v>
      </c>
      <c r="AK6" s="44">
        <v>150</v>
      </c>
      <c r="AL6" s="44">
        <v>309</v>
      </c>
      <c r="AM6" s="62">
        <f t="shared" si="9"/>
        <v>2.06</v>
      </c>
      <c r="AN6" s="44" t="s">
        <v>39</v>
      </c>
      <c r="AO6" s="44">
        <v>105</v>
      </c>
      <c r="AP6" s="44">
        <v>197</v>
      </c>
      <c r="AQ6" s="62">
        <f t="shared" si="10"/>
        <v>1.8761904761904762</v>
      </c>
      <c r="AR6" s="44" t="s">
        <v>39</v>
      </c>
      <c r="AS6" s="44">
        <v>20</v>
      </c>
      <c r="AT6" s="44">
        <v>38</v>
      </c>
      <c r="AU6" s="62">
        <f t="shared" si="11"/>
        <v>1.9</v>
      </c>
      <c r="AV6" s="44" t="s">
        <v>39</v>
      </c>
      <c r="AW6" s="44">
        <v>25</v>
      </c>
      <c r="AX6" s="44">
        <v>50</v>
      </c>
      <c r="AY6" s="62">
        <f t="shared" si="12"/>
        <v>2</v>
      </c>
      <c r="AZ6" s="44" t="s">
        <v>39</v>
      </c>
      <c r="BA6" s="44">
        <v>90</v>
      </c>
      <c r="BB6" s="44">
        <v>180</v>
      </c>
      <c r="BC6" s="62">
        <f t="shared" si="13"/>
        <v>2</v>
      </c>
      <c r="BD6" s="44">
        <v>65</v>
      </c>
      <c r="BE6" s="44">
        <v>130</v>
      </c>
      <c r="BF6" s="62">
        <f t="shared" si="14"/>
        <v>2</v>
      </c>
      <c r="BG6" s="44" t="s">
        <v>39</v>
      </c>
      <c r="BH6" s="44">
        <v>68</v>
      </c>
      <c r="BI6" s="44">
        <v>175</v>
      </c>
      <c r="BJ6" s="62">
        <f t="shared" si="15"/>
        <v>2.5735294117647061</v>
      </c>
      <c r="BK6" s="44">
        <v>205</v>
      </c>
      <c r="BL6" s="44">
        <v>451</v>
      </c>
      <c r="BM6" s="62">
        <f t="shared" si="16"/>
        <v>2.2000000000000002</v>
      </c>
      <c r="BN6" s="44" t="s">
        <v>39</v>
      </c>
      <c r="BO6" s="44">
        <v>26</v>
      </c>
      <c r="BP6" s="44">
        <v>88</v>
      </c>
      <c r="BQ6" s="62">
        <f t="shared" si="17"/>
        <v>3.3846153846153846</v>
      </c>
      <c r="BR6" s="44">
        <v>7</v>
      </c>
      <c r="BS6" s="44">
        <v>28</v>
      </c>
      <c r="BT6" s="62">
        <f t="shared" si="18"/>
        <v>4</v>
      </c>
      <c r="BU6" s="44">
        <v>30</v>
      </c>
      <c r="BV6" s="44">
        <v>116</v>
      </c>
      <c r="BW6" s="62">
        <f t="shared" si="19"/>
        <v>3.8666666666666667</v>
      </c>
      <c r="BX6" s="44" t="s">
        <v>39</v>
      </c>
      <c r="BY6" s="44">
        <v>61</v>
      </c>
      <c r="BZ6" s="44">
        <v>264</v>
      </c>
      <c r="CA6" s="62">
        <f t="shared" si="20"/>
        <v>4.3278688524590168</v>
      </c>
      <c r="CB6" s="44">
        <v>17</v>
      </c>
      <c r="CC6" s="44">
        <v>88</v>
      </c>
      <c r="CD6" s="62">
        <f t="shared" si="21"/>
        <v>5.1764705882352944</v>
      </c>
    </row>
    <row r="7" spans="1:82" x14ac:dyDescent="0.3">
      <c r="A7" s="49" t="s">
        <v>204</v>
      </c>
      <c r="B7" s="49" t="s">
        <v>112</v>
      </c>
      <c r="C7" s="44" t="s">
        <v>34</v>
      </c>
      <c r="F7" s="62" t="str">
        <f t="shared" si="0"/>
        <v/>
      </c>
      <c r="J7" s="62" t="str">
        <f t="shared" si="1"/>
        <v/>
      </c>
      <c r="N7" s="62" t="str">
        <f t="shared" si="2"/>
        <v/>
      </c>
      <c r="R7" s="62" t="str">
        <f t="shared" si="3"/>
        <v/>
      </c>
      <c r="V7" s="62" t="str">
        <f t="shared" si="4"/>
        <v/>
      </c>
      <c r="Y7" s="62" t="str">
        <f t="shared" si="5"/>
        <v/>
      </c>
      <c r="AB7" s="62" t="str">
        <f t="shared" si="6"/>
        <v/>
      </c>
      <c r="AF7" s="62" t="str">
        <f t="shared" si="7"/>
        <v/>
      </c>
      <c r="AI7" s="62" t="str">
        <f t="shared" si="8"/>
        <v/>
      </c>
      <c r="AM7" s="62" t="str">
        <f t="shared" si="9"/>
        <v/>
      </c>
      <c r="AN7" s="44" t="s">
        <v>39</v>
      </c>
      <c r="AO7" s="44">
        <v>85</v>
      </c>
      <c r="AP7" s="44">
        <v>212</v>
      </c>
      <c r="AQ7" s="62">
        <f t="shared" si="10"/>
        <v>2.4941176470588236</v>
      </c>
      <c r="AR7" s="44" t="s">
        <v>39</v>
      </c>
      <c r="AS7" s="44">
        <v>20</v>
      </c>
      <c r="AT7" s="44">
        <v>50</v>
      </c>
      <c r="AU7" s="62">
        <f t="shared" si="11"/>
        <v>2.5</v>
      </c>
      <c r="AY7" s="62" t="str">
        <f t="shared" si="12"/>
        <v/>
      </c>
      <c r="BC7" s="62" t="str">
        <f t="shared" si="13"/>
        <v/>
      </c>
      <c r="BF7" s="62" t="str">
        <f t="shared" si="14"/>
        <v/>
      </c>
      <c r="BJ7" s="62" t="str">
        <f t="shared" si="15"/>
        <v/>
      </c>
      <c r="BM7" s="62" t="str">
        <f t="shared" si="16"/>
        <v/>
      </c>
      <c r="BN7" s="44" t="s">
        <v>39</v>
      </c>
      <c r="BO7" s="44">
        <v>9</v>
      </c>
      <c r="BP7" s="44">
        <v>40</v>
      </c>
      <c r="BQ7" s="62">
        <f t="shared" si="17"/>
        <v>4.4444444444444446</v>
      </c>
      <c r="BR7" s="44">
        <v>1</v>
      </c>
      <c r="BS7" s="44">
        <v>2</v>
      </c>
      <c r="BT7" s="62">
        <f t="shared" si="18"/>
        <v>2</v>
      </c>
      <c r="BU7" s="44">
        <v>1</v>
      </c>
      <c r="BV7" s="44">
        <v>1.5</v>
      </c>
      <c r="BW7" s="62">
        <f t="shared" si="19"/>
        <v>1.5</v>
      </c>
      <c r="BX7" s="44" t="s">
        <v>39</v>
      </c>
      <c r="BY7" s="44">
        <v>3</v>
      </c>
      <c r="BZ7" s="44">
        <v>40</v>
      </c>
      <c r="CA7" s="62">
        <f t="shared" si="20"/>
        <v>13.333333333333334</v>
      </c>
      <c r="CD7" s="62" t="str">
        <f t="shared" si="21"/>
        <v/>
      </c>
    </row>
    <row r="8" spans="1:82" x14ac:dyDescent="0.3">
      <c r="A8" s="52" t="s">
        <v>227</v>
      </c>
      <c r="B8" s="49" t="s">
        <v>291</v>
      </c>
      <c r="C8" s="44" t="s">
        <v>39</v>
      </c>
      <c r="D8" s="44">
        <v>14700</v>
      </c>
      <c r="E8" s="44">
        <v>3675</v>
      </c>
      <c r="F8" s="62">
        <f>IFERROR(E8/D8,"")</f>
        <v>0.25</v>
      </c>
      <c r="G8" s="44" t="s">
        <v>39</v>
      </c>
      <c r="H8" s="44">
        <v>16500</v>
      </c>
      <c r="I8" s="44">
        <v>3899</v>
      </c>
      <c r="J8" s="62">
        <f>IFERROR(I8/H8,"")</f>
        <v>0.23630303030303029</v>
      </c>
      <c r="K8" s="44" t="s">
        <v>39</v>
      </c>
      <c r="L8" s="44">
        <v>14000</v>
      </c>
      <c r="M8" s="44">
        <v>2872</v>
      </c>
      <c r="N8" s="62">
        <f>IFERROR(M8/L8,"")</f>
        <v>0.20514285714285715</v>
      </c>
      <c r="O8" s="44" t="s">
        <v>39</v>
      </c>
      <c r="P8" s="44">
        <v>16000</v>
      </c>
      <c r="Q8" s="44">
        <v>3692</v>
      </c>
      <c r="R8" s="62">
        <f>IFERROR(Q8/P8,"")</f>
        <v>0.23075000000000001</v>
      </c>
      <c r="S8" s="44" t="s">
        <v>39</v>
      </c>
      <c r="T8" s="44">
        <v>12000</v>
      </c>
      <c r="U8" s="44">
        <v>3000</v>
      </c>
      <c r="V8" s="62">
        <f>IFERROR(U8/T8,"")</f>
        <v>0.25</v>
      </c>
      <c r="W8" s="44">
        <v>10000</v>
      </c>
      <c r="X8" s="44">
        <v>1875</v>
      </c>
      <c r="Y8" s="62">
        <f>IFERROR(X8/W8,"")</f>
        <v>0.1875</v>
      </c>
      <c r="Z8" s="44">
        <v>7500</v>
      </c>
      <c r="AA8" s="44">
        <v>1615</v>
      </c>
      <c r="AB8" s="62">
        <f>IFERROR(AA8/Z8,"")</f>
        <v>0.21533333333333332</v>
      </c>
      <c r="AC8" s="44" t="s">
        <v>39</v>
      </c>
      <c r="AD8" s="44">
        <v>6500</v>
      </c>
      <c r="AE8" s="44">
        <v>1264</v>
      </c>
      <c r="AF8" s="62">
        <f>IFERROR(AE8/AD8,"")</f>
        <v>0.19446153846153846</v>
      </c>
      <c r="AG8" s="44">
        <v>5500</v>
      </c>
      <c r="AH8" s="44">
        <v>1069</v>
      </c>
      <c r="AI8" s="62">
        <f>IFERROR(AH8/AG8,"")</f>
        <v>0.19436363636363638</v>
      </c>
      <c r="AM8" s="62" t="str">
        <f>IFERROR(AL8/AK8,"")</f>
        <v/>
      </c>
      <c r="AQ8" s="62" t="str">
        <f>IFERROR(AP8/AO8,"")</f>
        <v/>
      </c>
      <c r="AU8" s="62" t="str">
        <f>IFERROR(AT8/AS8,"")</f>
        <v/>
      </c>
      <c r="AY8" s="62" t="str">
        <f>IFERROR(AX8/AW8,"")</f>
        <v/>
      </c>
      <c r="BC8" s="62" t="str">
        <f>IFERROR(BB8/BA8,"")</f>
        <v/>
      </c>
      <c r="BF8" s="62" t="str">
        <f>IFERROR(BE8/BD8,"")</f>
        <v/>
      </c>
      <c r="BJ8" s="62" t="str">
        <f>IFERROR(BI8/BH8,"")</f>
        <v/>
      </c>
      <c r="BM8" s="62" t="str">
        <f>IFERROR(BL8/BK8,"")</f>
        <v/>
      </c>
      <c r="BQ8" s="62" t="str">
        <f>IFERROR(BP8/BO8,"")</f>
        <v/>
      </c>
      <c r="BT8" s="62" t="str">
        <f>IFERROR(BS8/BR8,"")</f>
        <v/>
      </c>
      <c r="BW8" s="62" t="str">
        <f>IFERROR(BV8/BU8,"")</f>
        <v/>
      </c>
      <c r="CA8" s="62" t="str">
        <f>IFERROR(BZ8/BY8,"")</f>
        <v/>
      </c>
      <c r="CD8" s="62" t="str">
        <f>IFERROR(CC8/CB8,"")</f>
        <v/>
      </c>
    </row>
    <row r="9" spans="1:82" x14ac:dyDescent="0.3">
      <c r="A9" s="49" t="s">
        <v>205</v>
      </c>
      <c r="B9" s="49" t="s">
        <v>112</v>
      </c>
      <c r="C9" s="44" t="s">
        <v>34</v>
      </c>
      <c r="F9" s="62" t="str">
        <f t="shared" si="0"/>
        <v/>
      </c>
      <c r="J9" s="62" t="str">
        <f t="shared" si="1"/>
        <v/>
      </c>
      <c r="N9" s="62" t="str">
        <f t="shared" si="2"/>
        <v/>
      </c>
      <c r="R9" s="62" t="str">
        <f t="shared" si="3"/>
        <v/>
      </c>
      <c r="V9" s="62" t="str">
        <f t="shared" si="4"/>
        <v/>
      </c>
      <c r="Y9" s="62" t="str">
        <f t="shared" si="5"/>
        <v/>
      </c>
      <c r="AB9" s="62" t="str">
        <f t="shared" si="6"/>
        <v/>
      </c>
      <c r="AF9" s="62" t="str">
        <f t="shared" si="7"/>
        <v/>
      </c>
      <c r="AI9" s="62" t="str">
        <f t="shared" si="8"/>
        <v/>
      </c>
      <c r="AJ9" s="44" t="s">
        <v>39</v>
      </c>
      <c r="AK9" s="44">
        <v>80</v>
      </c>
      <c r="AL9" s="44">
        <v>188</v>
      </c>
      <c r="AM9" s="62">
        <f t="shared" si="9"/>
        <v>2.35</v>
      </c>
      <c r="AN9" s="44" t="s">
        <v>39</v>
      </c>
      <c r="AO9" s="44">
        <v>10</v>
      </c>
      <c r="AP9" s="44">
        <v>25</v>
      </c>
      <c r="AQ9" s="62">
        <f t="shared" si="10"/>
        <v>2.5</v>
      </c>
      <c r="AR9" s="44" t="s">
        <v>39</v>
      </c>
      <c r="AU9" s="62" t="str">
        <f t="shared" si="11"/>
        <v/>
      </c>
      <c r="AV9" s="44" t="s">
        <v>39</v>
      </c>
      <c r="AW9" s="44">
        <v>3</v>
      </c>
      <c r="AX9" s="44">
        <v>8</v>
      </c>
      <c r="AY9" s="62">
        <f t="shared" si="12"/>
        <v>2.6666666666666665</v>
      </c>
      <c r="AZ9" s="44" t="s">
        <v>39</v>
      </c>
      <c r="BA9" s="44">
        <v>8</v>
      </c>
      <c r="BB9" s="44">
        <v>21</v>
      </c>
      <c r="BC9" s="62">
        <f t="shared" si="13"/>
        <v>2.625</v>
      </c>
      <c r="BD9" s="44">
        <v>31</v>
      </c>
      <c r="BE9" s="44">
        <v>100</v>
      </c>
      <c r="BF9" s="62">
        <f t="shared" si="14"/>
        <v>3.225806451612903</v>
      </c>
      <c r="BG9" s="44" t="s">
        <v>39</v>
      </c>
      <c r="BH9" s="44">
        <v>44</v>
      </c>
      <c r="BI9" s="44">
        <v>6</v>
      </c>
      <c r="BJ9" s="62">
        <f t="shared" si="15"/>
        <v>0.13636363636363635</v>
      </c>
      <c r="BK9" s="44">
        <v>25</v>
      </c>
      <c r="BL9" s="44">
        <v>11</v>
      </c>
      <c r="BM9" s="62">
        <f t="shared" si="16"/>
        <v>0.44</v>
      </c>
      <c r="BN9" s="44" t="s">
        <v>39</v>
      </c>
      <c r="BO9" s="44">
        <v>63</v>
      </c>
      <c r="BP9" s="44">
        <v>13</v>
      </c>
      <c r="BQ9" s="62">
        <f t="shared" si="17"/>
        <v>0.20634920634920634</v>
      </c>
      <c r="BR9" s="44">
        <v>12</v>
      </c>
      <c r="BS9" s="44">
        <v>5</v>
      </c>
      <c r="BT9" s="62">
        <f t="shared" si="18"/>
        <v>0.41666666666666669</v>
      </c>
      <c r="BU9" s="44">
        <v>42</v>
      </c>
      <c r="BV9" s="44">
        <v>14.5</v>
      </c>
      <c r="BW9" s="62">
        <f t="shared" si="19"/>
        <v>0.34523809523809523</v>
      </c>
      <c r="BX9" s="44" t="s">
        <v>39</v>
      </c>
      <c r="BY9" s="44">
        <v>25</v>
      </c>
      <c r="BZ9" s="44">
        <v>17</v>
      </c>
      <c r="CA9" s="62">
        <f t="shared" si="20"/>
        <v>0.68</v>
      </c>
      <c r="CB9" s="44">
        <v>5</v>
      </c>
      <c r="CC9" s="44">
        <v>2</v>
      </c>
      <c r="CD9" s="62">
        <f t="shared" si="21"/>
        <v>0.4</v>
      </c>
    </row>
    <row r="10" spans="1:82" x14ac:dyDescent="0.3">
      <c r="A10" s="49" t="s">
        <v>46</v>
      </c>
      <c r="B10" s="49" t="s">
        <v>104</v>
      </c>
      <c r="C10" s="44" t="s">
        <v>38</v>
      </c>
      <c r="F10" s="62" t="str">
        <f t="shared" si="0"/>
        <v/>
      </c>
      <c r="J10" s="62" t="str">
        <f t="shared" si="1"/>
        <v/>
      </c>
      <c r="N10" s="62" t="str">
        <f t="shared" si="2"/>
        <v/>
      </c>
      <c r="R10" s="62" t="str">
        <f t="shared" si="3"/>
        <v/>
      </c>
      <c r="V10" s="62" t="str">
        <f t="shared" si="4"/>
        <v/>
      </c>
      <c r="Y10" s="62" t="str">
        <f t="shared" si="5"/>
        <v/>
      </c>
      <c r="AB10" s="62" t="str">
        <f t="shared" si="6"/>
        <v/>
      </c>
      <c r="AF10" s="62" t="str">
        <f t="shared" si="7"/>
        <v/>
      </c>
      <c r="AI10" s="62" t="str">
        <f t="shared" si="8"/>
        <v/>
      </c>
      <c r="AM10" s="62" t="str">
        <f t="shared" si="9"/>
        <v/>
      </c>
      <c r="AQ10" s="62" t="str">
        <f t="shared" si="10"/>
        <v/>
      </c>
      <c r="AU10" s="62" t="str">
        <f t="shared" si="11"/>
        <v/>
      </c>
      <c r="AY10" s="62" t="str">
        <f t="shared" si="12"/>
        <v/>
      </c>
      <c r="BC10" s="62" t="str">
        <f t="shared" si="13"/>
        <v/>
      </c>
      <c r="BF10" s="62" t="str">
        <f t="shared" si="14"/>
        <v/>
      </c>
      <c r="BG10" s="44" t="s">
        <v>38</v>
      </c>
      <c r="BH10" s="44">
        <v>1507</v>
      </c>
      <c r="BI10" s="44">
        <v>323</v>
      </c>
      <c r="BJ10" s="62">
        <f t="shared" si="15"/>
        <v>0.21433311214333112</v>
      </c>
      <c r="BK10" s="44">
        <v>5777</v>
      </c>
      <c r="BL10" s="44">
        <v>1642</v>
      </c>
      <c r="BM10" s="62">
        <f t="shared" si="16"/>
        <v>0.28423056949974035</v>
      </c>
      <c r="BN10" s="44" t="s">
        <v>38</v>
      </c>
      <c r="BO10" s="44">
        <v>1</v>
      </c>
      <c r="BP10" s="44">
        <v>16</v>
      </c>
      <c r="BQ10" s="62">
        <f t="shared" si="17"/>
        <v>16</v>
      </c>
      <c r="BR10" s="44">
        <v>26</v>
      </c>
      <c r="BS10" s="44">
        <v>113</v>
      </c>
      <c r="BT10" s="62">
        <f t="shared" si="18"/>
        <v>4.3461538461538458</v>
      </c>
      <c r="BW10" s="62" t="str">
        <f t="shared" si="19"/>
        <v/>
      </c>
      <c r="BX10" s="44" t="s">
        <v>38</v>
      </c>
      <c r="BY10" s="44">
        <v>720</v>
      </c>
      <c r="BZ10" s="44">
        <v>134</v>
      </c>
      <c r="CA10" s="62">
        <f t="shared" si="20"/>
        <v>0.18611111111111112</v>
      </c>
      <c r="CB10" s="44">
        <v>1550.25</v>
      </c>
      <c r="CC10" s="44">
        <v>191</v>
      </c>
      <c r="CD10" s="62">
        <f t="shared" si="21"/>
        <v>0.12320593452668924</v>
      </c>
    </row>
    <row r="11" spans="1:82" x14ac:dyDescent="0.3">
      <c r="A11" s="53" t="s">
        <v>338</v>
      </c>
      <c r="B11" s="49" t="s">
        <v>292</v>
      </c>
      <c r="C11" s="44" t="s">
        <v>35</v>
      </c>
      <c r="D11" s="44">
        <v>5000</v>
      </c>
      <c r="E11" s="44">
        <v>893</v>
      </c>
      <c r="F11" s="62">
        <f t="shared" si="0"/>
        <v>0.17860000000000001</v>
      </c>
      <c r="G11" s="44" t="s">
        <v>35</v>
      </c>
      <c r="H11" s="44">
        <v>5900</v>
      </c>
      <c r="I11" s="44">
        <v>1195</v>
      </c>
      <c r="J11" s="62">
        <f t="shared" si="1"/>
        <v>0.20254237288135593</v>
      </c>
      <c r="K11" s="44" t="s">
        <v>35</v>
      </c>
      <c r="L11" s="44">
        <v>7000</v>
      </c>
      <c r="M11" s="44">
        <v>1436</v>
      </c>
      <c r="N11" s="62">
        <f t="shared" si="2"/>
        <v>0.20514285714285715</v>
      </c>
      <c r="O11" s="44" t="s">
        <v>35</v>
      </c>
      <c r="P11" s="44">
        <v>9100</v>
      </c>
      <c r="Q11" s="44">
        <v>1869</v>
      </c>
      <c r="R11" s="62">
        <f t="shared" si="3"/>
        <v>0.20538461538461539</v>
      </c>
      <c r="S11" s="44" t="s">
        <v>35</v>
      </c>
      <c r="T11" s="44">
        <v>7600</v>
      </c>
      <c r="U11" s="44">
        <v>1514</v>
      </c>
      <c r="V11" s="62">
        <f t="shared" si="4"/>
        <v>0.19921052631578948</v>
      </c>
      <c r="W11" s="44">
        <v>6500</v>
      </c>
      <c r="X11" s="44">
        <v>1009</v>
      </c>
      <c r="Y11" s="62">
        <f t="shared" si="5"/>
        <v>0.15523076923076923</v>
      </c>
      <c r="Z11" s="44">
        <v>4550</v>
      </c>
      <c r="AA11" s="44">
        <v>825</v>
      </c>
      <c r="AB11" s="62">
        <f t="shared" si="6"/>
        <v>0.18131868131868131</v>
      </c>
      <c r="AC11" s="44" t="s">
        <v>35</v>
      </c>
      <c r="AD11" s="44">
        <v>3700</v>
      </c>
      <c r="AE11" s="44">
        <v>717</v>
      </c>
      <c r="AF11" s="62">
        <f t="shared" si="7"/>
        <v>0.19378378378378378</v>
      </c>
      <c r="AG11" s="44">
        <v>4300</v>
      </c>
      <c r="AH11" s="44">
        <v>861</v>
      </c>
      <c r="AI11" s="62">
        <f t="shared" si="8"/>
        <v>0.20023255813953489</v>
      </c>
      <c r="AJ11" s="44" t="s">
        <v>35</v>
      </c>
      <c r="AK11" s="44">
        <v>4400</v>
      </c>
      <c r="AL11" s="44">
        <v>1604</v>
      </c>
      <c r="AM11" s="62">
        <f t="shared" si="9"/>
        <v>0.36454545454545456</v>
      </c>
      <c r="AN11" s="44" t="s">
        <v>35</v>
      </c>
      <c r="AO11" s="54">
        <v>3750</v>
      </c>
      <c r="AP11" s="44">
        <v>878</v>
      </c>
      <c r="AQ11" s="62">
        <f t="shared" si="10"/>
        <v>0.23413333333333333</v>
      </c>
      <c r="AU11" s="62" t="str">
        <f t="shared" si="11"/>
        <v/>
      </c>
      <c r="AY11" s="62" t="str">
        <f t="shared" si="12"/>
        <v/>
      </c>
      <c r="BC11" s="62" t="str">
        <f t="shared" si="13"/>
        <v/>
      </c>
      <c r="BF11" s="62" t="str">
        <f t="shared" si="14"/>
        <v/>
      </c>
      <c r="BG11" s="44" t="s">
        <v>38</v>
      </c>
      <c r="BH11" s="44">
        <v>23</v>
      </c>
      <c r="BI11" s="44">
        <v>184</v>
      </c>
      <c r="BJ11" s="62">
        <f t="shared" si="15"/>
        <v>8</v>
      </c>
      <c r="BK11" s="44">
        <v>11</v>
      </c>
      <c r="BL11" s="44">
        <v>430</v>
      </c>
      <c r="BM11" s="62">
        <f t="shared" si="16"/>
        <v>39.090909090909093</v>
      </c>
      <c r="BN11" s="44" t="s">
        <v>38</v>
      </c>
      <c r="BO11" s="44">
        <v>9</v>
      </c>
      <c r="BP11" s="44">
        <v>202</v>
      </c>
      <c r="BQ11" s="62">
        <f t="shared" si="17"/>
        <v>22.444444444444443</v>
      </c>
      <c r="BR11" s="44">
        <v>19.5</v>
      </c>
      <c r="BS11" s="44">
        <v>262</v>
      </c>
      <c r="BT11" s="62">
        <f t="shared" si="18"/>
        <v>13.435897435897436</v>
      </c>
      <c r="BU11" s="44">
        <v>30</v>
      </c>
      <c r="BV11" s="44">
        <v>391</v>
      </c>
      <c r="BW11" s="62">
        <f t="shared" si="19"/>
        <v>13.033333333333333</v>
      </c>
      <c r="BX11" s="44" t="s">
        <v>38</v>
      </c>
      <c r="BY11" s="44">
        <v>51.25</v>
      </c>
      <c r="BZ11" s="44">
        <v>649</v>
      </c>
      <c r="CA11" s="62">
        <f t="shared" si="20"/>
        <v>12.663414634146342</v>
      </c>
      <c r="CB11" s="44">
        <v>76.5</v>
      </c>
      <c r="CC11" s="44">
        <v>919</v>
      </c>
      <c r="CD11" s="62">
        <f t="shared" si="21"/>
        <v>12.013071895424837</v>
      </c>
    </row>
    <row r="12" spans="1:82" x14ac:dyDescent="0.3">
      <c r="A12" s="53" t="s">
        <v>206</v>
      </c>
      <c r="B12" s="49" t="s">
        <v>112</v>
      </c>
      <c r="C12" s="44" t="s">
        <v>34</v>
      </c>
      <c r="F12" s="62" t="str">
        <f t="shared" si="0"/>
        <v/>
      </c>
      <c r="J12" s="62" t="str">
        <f t="shared" si="1"/>
        <v/>
      </c>
      <c r="N12" s="62" t="str">
        <f t="shared" si="2"/>
        <v/>
      </c>
      <c r="R12" s="62" t="str">
        <f t="shared" si="3"/>
        <v/>
      </c>
      <c r="V12" s="62" t="str">
        <f t="shared" si="4"/>
        <v/>
      </c>
      <c r="Y12" s="62" t="str">
        <f t="shared" si="5"/>
        <v/>
      </c>
      <c r="AB12" s="62" t="str">
        <f t="shared" si="6"/>
        <v/>
      </c>
      <c r="AF12" s="62" t="str">
        <f t="shared" si="7"/>
        <v/>
      </c>
      <c r="AI12" s="62" t="str">
        <f t="shared" si="8"/>
        <v/>
      </c>
      <c r="AM12" s="62" t="str">
        <f t="shared" si="9"/>
        <v/>
      </c>
      <c r="AQ12" s="62" t="str">
        <f t="shared" si="10"/>
        <v/>
      </c>
      <c r="AU12" s="62" t="str">
        <f t="shared" si="11"/>
        <v/>
      </c>
      <c r="AY12" s="62" t="str">
        <f t="shared" si="12"/>
        <v/>
      </c>
      <c r="AZ12" s="44" t="s">
        <v>34</v>
      </c>
      <c r="BA12" s="44">
        <v>21</v>
      </c>
      <c r="BB12" s="44">
        <v>168</v>
      </c>
      <c r="BC12" s="62">
        <f t="shared" si="13"/>
        <v>8</v>
      </c>
      <c r="BF12" s="62" t="str">
        <f t="shared" si="14"/>
        <v/>
      </c>
      <c r="BJ12" s="62" t="str">
        <f t="shared" si="15"/>
        <v/>
      </c>
      <c r="BM12" s="62" t="str">
        <f t="shared" si="16"/>
        <v/>
      </c>
      <c r="BQ12" s="62" t="str">
        <f t="shared" si="17"/>
        <v/>
      </c>
      <c r="BT12" s="62" t="str">
        <f t="shared" si="18"/>
        <v/>
      </c>
      <c r="BW12" s="62" t="str">
        <f t="shared" si="19"/>
        <v/>
      </c>
      <c r="CA12" s="62" t="str">
        <f t="shared" si="20"/>
        <v/>
      </c>
      <c r="CD12" s="62" t="str">
        <f t="shared" si="21"/>
        <v/>
      </c>
    </row>
    <row r="13" spans="1:82" x14ac:dyDescent="0.3">
      <c r="A13" s="52" t="s">
        <v>7</v>
      </c>
      <c r="B13" s="49" t="s">
        <v>293</v>
      </c>
      <c r="C13" s="44" t="s">
        <v>37</v>
      </c>
      <c r="F13" s="62" t="str">
        <f t="shared" si="0"/>
        <v/>
      </c>
      <c r="J13" s="62" t="str">
        <f t="shared" si="1"/>
        <v/>
      </c>
      <c r="K13" s="44" t="s">
        <v>41</v>
      </c>
      <c r="L13" s="44">
        <v>47</v>
      </c>
      <c r="M13" s="44">
        <v>950</v>
      </c>
      <c r="N13" s="62">
        <f t="shared" si="2"/>
        <v>20.212765957446809</v>
      </c>
      <c r="O13" s="44" t="s">
        <v>41</v>
      </c>
      <c r="P13" s="44">
        <v>68</v>
      </c>
      <c r="Q13" s="44">
        <v>1554</v>
      </c>
      <c r="R13" s="62">
        <f t="shared" si="3"/>
        <v>22.852941176470587</v>
      </c>
      <c r="S13" s="44" t="s">
        <v>37</v>
      </c>
      <c r="T13" s="44">
        <v>67</v>
      </c>
      <c r="U13" s="44">
        <v>1179</v>
      </c>
      <c r="V13" s="62">
        <f t="shared" si="4"/>
        <v>17.597014925373134</v>
      </c>
      <c r="W13" s="44">
        <v>50</v>
      </c>
      <c r="X13" s="44">
        <v>703</v>
      </c>
      <c r="Y13" s="62">
        <f t="shared" si="5"/>
        <v>14.06</v>
      </c>
      <c r="AB13" s="62" t="str">
        <f t="shared" si="6"/>
        <v/>
      </c>
      <c r="AC13" s="44" t="s">
        <v>37</v>
      </c>
      <c r="AD13" s="44">
        <v>50</v>
      </c>
      <c r="AE13" s="44">
        <v>625</v>
      </c>
      <c r="AF13" s="62">
        <f t="shared" si="7"/>
        <v>12.5</v>
      </c>
      <c r="AG13" s="44">
        <v>45</v>
      </c>
      <c r="AH13" s="44">
        <v>563</v>
      </c>
      <c r="AI13" s="62">
        <f t="shared" si="8"/>
        <v>12.511111111111111</v>
      </c>
      <c r="AM13" s="62" t="str">
        <f t="shared" si="9"/>
        <v/>
      </c>
      <c r="AQ13" s="62" t="str">
        <f t="shared" si="10"/>
        <v/>
      </c>
      <c r="AU13" s="62" t="str">
        <f t="shared" si="11"/>
        <v/>
      </c>
      <c r="AY13" s="62" t="str">
        <f t="shared" si="12"/>
        <v/>
      </c>
      <c r="BC13" s="62" t="str">
        <f t="shared" si="13"/>
        <v/>
      </c>
      <c r="BF13" s="62" t="str">
        <f t="shared" si="14"/>
        <v/>
      </c>
      <c r="BG13" s="44" t="s">
        <v>38</v>
      </c>
      <c r="BH13" s="44">
        <v>71</v>
      </c>
      <c r="BI13" s="44">
        <v>155</v>
      </c>
      <c r="BJ13" s="62">
        <f t="shared" si="15"/>
        <v>2.183098591549296</v>
      </c>
      <c r="BK13" s="44">
        <v>30</v>
      </c>
      <c r="BL13" s="44">
        <v>92</v>
      </c>
      <c r="BM13" s="62">
        <f t="shared" si="16"/>
        <v>3.0666666666666669</v>
      </c>
      <c r="BN13" s="44" t="s">
        <v>38</v>
      </c>
      <c r="BO13" s="44">
        <v>32</v>
      </c>
      <c r="BP13" s="44">
        <v>78</v>
      </c>
      <c r="BQ13" s="62">
        <f t="shared" si="17"/>
        <v>2.4375</v>
      </c>
      <c r="BR13" s="44">
        <v>6.5</v>
      </c>
      <c r="BS13" s="44">
        <v>40</v>
      </c>
      <c r="BT13" s="62">
        <f t="shared" si="18"/>
        <v>6.1538461538461542</v>
      </c>
      <c r="BU13" s="44">
        <v>30</v>
      </c>
      <c r="BV13" s="44">
        <v>81</v>
      </c>
      <c r="BW13" s="62">
        <f t="shared" si="19"/>
        <v>2.7</v>
      </c>
      <c r="BX13" s="44" t="s">
        <v>38</v>
      </c>
      <c r="BY13" s="44">
        <v>20</v>
      </c>
      <c r="BZ13" s="44">
        <v>74</v>
      </c>
      <c r="CA13" s="62">
        <f t="shared" si="20"/>
        <v>3.7</v>
      </c>
      <c r="CB13" s="44">
        <v>49</v>
      </c>
      <c r="CC13" s="44">
        <v>169</v>
      </c>
      <c r="CD13" s="62">
        <f t="shared" si="21"/>
        <v>3.4489795918367347</v>
      </c>
    </row>
    <row r="14" spans="1:82" x14ac:dyDescent="0.3">
      <c r="A14" s="52" t="s">
        <v>8</v>
      </c>
      <c r="B14" s="49" t="s">
        <v>134</v>
      </c>
      <c r="C14" s="44" t="s">
        <v>36</v>
      </c>
      <c r="D14" s="44">
        <v>5357</v>
      </c>
      <c r="E14" s="44">
        <v>650</v>
      </c>
      <c r="F14" s="62">
        <f t="shared" si="0"/>
        <v>0.12133656897517267</v>
      </c>
      <c r="G14" s="44" t="s">
        <v>36</v>
      </c>
      <c r="H14" s="44">
        <v>8518</v>
      </c>
      <c r="I14" s="44">
        <v>952</v>
      </c>
      <c r="J14" s="62">
        <f t="shared" si="1"/>
        <v>0.11176332472411364</v>
      </c>
      <c r="K14" s="44" t="s">
        <v>36</v>
      </c>
      <c r="L14" s="44">
        <v>5200</v>
      </c>
      <c r="M14" s="44">
        <v>889</v>
      </c>
      <c r="N14" s="62">
        <f t="shared" si="2"/>
        <v>0.17096153846153847</v>
      </c>
      <c r="O14" s="44" t="s">
        <v>36</v>
      </c>
      <c r="P14" s="44">
        <v>6900</v>
      </c>
      <c r="Q14" s="44">
        <v>923</v>
      </c>
      <c r="R14" s="62">
        <f t="shared" si="3"/>
        <v>0.13376811594202898</v>
      </c>
      <c r="S14" s="44" t="s">
        <v>36</v>
      </c>
      <c r="T14" s="44">
        <v>6000</v>
      </c>
      <c r="U14" s="44">
        <v>1205</v>
      </c>
      <c r="V14" s="62">
        <f t="shared" si="4"/>
        <v>0.20083333333333334</v>
      </c>
      <c r="W14" s="44">
        <v>5000</v>
      </c>
      <c r="X14" s="44">
        <v>625</v>
      </c>
      <c r="Y14" s="62">
        <f t="shared" si="5"/>
        <v>0.125</v>
      </c>
      <c r="Z14" s="44">
        <v>5500</v>
      </c>
      <c r="AA14" s="44">
        <v>677</v>
      </c>
      <c r="AB14" s="62">
        <f t="shared" si="6"/>
        <v>0.12309090909090908</v>
      </c>
      <c r="AC14" s="44" t="s">
        <v>36</v>
      </c>
      <c r="AD14" s="44">
        <v>5000</v>
      </c>
      <c r="AE14" s="44">
        <v>556</v>
      </c>
      <c r="AF14" s="62">
        <f t="shared" si="7"/>
        <v>0.11119999999999999</v>
      </c>
      <c r="AI14" s="62" t="str">
        <f t="shared" si="8"/>
        <v/>
      </c>
      <c r="AJ14" s="44" t="s">
        <v>36</v>
      </c>
      <c r="AK14" s="44">
        <v>3500</v>
      </c>
      <c r="AL14" s="44">
        <v>515</v>
      </c>
      <c r="AM14" s="62">
        <f t="shared" si="9"/>
        <v>0.14714285714285713</v>
      </c>
      <c r="AN14" s="44" t="s">
        <v>36</v>
      </c>
      <c r="AO14" s="44">
        <v>3000</v>
      </c>
      <c r="AP14" s="44">
        <v>469</v>
      </c>
      <c r="AQ14" s="62">
        <f t="shared" si="10"/>
        <v>0.15633333333333332</v>
      </c>
      <c r="AR14" s="44" t="s">
        <v>36</v>
      </c>
      <c r="AS14" s="44">
        <v>9000</v>
      </c>
      <c r="AT14" s="44">
        <v>1125</v>
      </c>
      <c r="AU14" s="62">
        <f t="shared" si="11"/>
        <v>0.125</v>
      </c>
      <c r="AV14" s="44" t="s">
        <v>36</v>
      </c>
      <c r="AW14" s="44">
        <v>6000</v>
      </c>
      <c r="AX14" s="44">
        <v>800</v>
      </c>
      <c r="AY14" s="62">
        <f t="shared" si="12"/>
        <v>0.13333333333333333</v>
      </c>
      <c r="AZ14" s="44" t="s">
        <v>36</v>
      </c>
      <c r="BA14" s="44">
        <v>8500</v>
      </c>
      <c r="BB14" s="44">
        <v>1133</v>
      </c>
      <c r="BC14" s="62">
        <f t="shared" si="13"/>
        <v>0.13329411764705881</v>
      </c>
      <c r="BD14" s="44">
        <v>12000</v>
      </c>
      <c r="BE14" s="44">
        <v>1600</v>
      </c>
      <c r="BF14" s="62">
        <f t="shared" si="14"/>
        <v>0.13333333333333333</v>
      </c>
      <c r="BJ14" s="62" t="str">
        <f t="shared" si="15"/>
        <v/>
      </c>
      <c r="BM14" s="62" t="str">
        <f t="shared" si="16"/>
        <v/>
      </c>
      <c r="BN14" s="44" t="s">
        <v>38</v>
      </c>
      <c r="BO14" s="44">
        <v>12261</v>
      </c>
      <c r="BP14" s="44">
        <v>2502</v>
      </c>
      <c r="BQ14" s="62">
        <f t="shared" si="17"/>
        <v>0.20406165891852215</v>
      </c>
      <c r="BR14" s="44">
        <v>15120.5</v>
      </c>
      <c r="BS14" s="44">
        <v>5897</v>
      </c>
      <c r="BT14" s="62">
        <f t="shared" si="18"/>
        <v>0.3900003306768956</v>
      </c>
      <c r="BU14" s="44">
        <v>10168</v>
      </c>
      <c r="BV14" s="44">
        <v>1875</v>
      </c>
      <c r="BW14" s="62">
        <f t="shared" si="19"/>
        <v>0.18440204563335955</v>
      </c>
      <c r="BX14" s="44" t="s">
        <v>38</v>
      </c>
      <c r="BY14" s="44">
        <v>8252.75</v>
      </c>
      <c r="BZ14" s="44">
        <v>1689</v>
      </c>
      <c r="CA14" s="62">
        <f t="shared" si="20"/>
        <v>0.20465905304292509</v>
      </c>
      <c r="CB14" s="44">
        <v>6101.5</v>
      </c>
      <c r="CC14" s="44">
        <v>1232</v>
      </c>
      <c r="CD14" s="62">
        <f t="shared" si="21"/>
        <v>0.20191756125542901</v>
      </c>
    </row>
    <row r="15" spans="1:82" x14ac:dyDescent="0.3">
      <c r="A15" s="53" t="s">
        <v>9</v>
      </c>
      <c r="B15" s="49" t="s">
        <v>293</v>
      </c>
      <c r="C15" s="44" t="s">
        <v>37</v>
      </c>
      <c r="F15" s="62" t="str">
        <f t="shared" si="0"/>
        <v/>
      </c>
      <c r="G15" s="44" t="s">
        <v>37</v>
      </c>
      <c r="H15" s="44">
        <v>1200</v>
      </c>
      <c r="I15" s="44">
        <v>729</v>
      </c>
      <c r="J15" s="62">
        <f t="shared" si="1"/>
        <v>0.60750000000000004</v>
      </c>
      <c r="K15" s="44" t="s">
        <v>37</v>
      </c>
      <c r="L15" s="44">
        <v>900</v>
      </c>
      <c r="M15" s="44">
        <v>554</v>
      </c>
      <c r="N15" s="62">
        <f t="shared" si="2"/>
        <v>0.61555555555555552</v>
      </c>
      <c r="O15" s="44" t="s">
        <v>37</v>
      </c>
      <c r="P15" s="44">
        <v>1700</v>
      </c>
      <c r="Q15" s="44">
        <v>981</v>
      </c>
      <c r="R15" s="62">
        <f t="shared" si="3"/>
        <v>0.57705882352941174</v>
      </c>
      <c r="S15" s="44" t="s">
        <v>37</v>
      </c>
      <c r="T15" s="44">
        <v>1360</v>
      </c>
      <c r="U15" s="44">
        <v>777</v>
      </c>
      <c r="V15" s="62">
        <f t="shared" si="4"/>
        <v>0.57132352941176467</v>
      </c>
      <c r="W15" s="44">
        <v>1250</v>
      </c>
      <c r="X15" s="44">
        <v>625</v>
      </c>
      <c r="Y15" s="62">
        <f t="shared" si="5"/>
        <v>0.5</v>
      </c>
      <c r="AB15" s="62" t="str">
        <f t="shared" si="6"/>
        <v/>
      </c>
      <c r="AF15" s="62" t="str">
        <f t="shared" si="7"/>
        <v/>
      </c>
      <c r="AI15" s="62" t="str">
        <f t="shared" si="8"/>
        <v/>
      </c>
      <c r="AM15" s="62" t="str">
        <f t="shared" si="9"/>
        <v/>
      </c>
      <c r="AN15" s="44" t="s">
        <v>37</v>
      </c>
      <c r="AO15" s="44">
        <v>350</v>
      </c>
      <c r="AP15" s="44">
        <v>175</v>
      </c>
      <c r="AQ15" s="62">
        <f t="shared" si="10"/>
        <v>0.5</v>
      </c>
      <c r="AR15" s="44" t="s">
        <v>37</v>
      </c>
      <c r="AS15" s="44">
        <v>200</v>
      </c>
      <c r="AT15" s="44">
        <v>94</v>
      </c>
      <c r="AU15" s="62">
        <f t="shared" si="11"/>
        <v>0.47</v>
      </c>
      <c r="AV15" s="44" t="s">
        <v>37</v>
      </c>
      <c r="AW15" s="44">
        <v>150</v>
      </c>
      <c r="AX15" s="44">
        <v>70</v>
      </c>
      <c r="AY15" s="62">
        <f t="shared" si="12"/>
        <v>0.46666666666666667</v>
      </c>
      <c r="AZ15" s="44" t="s">
        <v>37</v>
      </c>
      <c r="BA15" s="44">
        <v>200</v>
      </c>
      <c r="BB15" s="44">
        <v>93</v>
      </c>
      <c r="BC15" s="62">
        <f t="shared" si="13"/>
        <v>0.46500000000000002</v>
      </c>
      <c r="BD15" s="44">
        <v>180</v>
      </c>
      <c r="BE15" s="44">
        <v>84</v>
      </c>
      <c r="BF15" s="62">
        <f t="shared" si="14"/>
        <v>0.46666666666666667</v>
      </c>
      <c r="BG15" s="44" t="s">
        <v>38</v>
      </c>
      <c r="BH15" s="44">
        <v>181</v>
      </c>
      <c r="BI15" s="44">
        <v>379</v>
      </c>
      <c r="BJ15" s="62">
        <f t="shared" si="15"/>
        <v>2.0939226519337018</v>
      </c>
      <c r="BK15" s="44">
        <v>21</v>
      </c>
      <c r="BL15" s="44">
        <v>43</v>
      </c>
      <c r="BM15" s="62">
        <f t="shared" si="16"/>
        <v>2.0476190476190474</v>
      </c>
      <c r="BN15" s="44" t="s">
        <v>38</v>
      </c>
      <c r="BO15" s="44">
        <v>36</v>
      </c>
      <c r="BP15" s="44">
        <v>64</v>
      </c>
      <c r="BQ15" s="62">
        <f t="shared" si="17"/>
        <v>1.7777777777777777</v>
      </c>
      <c r="BR15" s="44">
        <v>26</v>
      </c>
      <c r="BS15" s="44">
        <v>52</v>
      </c>
      <c r="BT15" s="62">
        <f t="shared" si="18"/>
        <v>2</v>
      </c>
      <c r="BU15" s="44">
        <v>2.5</v>
      </c>
      <c r="BV15" s="44">
        <v>6</v>
      </c>
      <c r="BW15" s="62">
        <f t="shared" si="19"/>
        <v>2.4</v>
      </c>
      <c r="BX15" s="44" t="s">
        <v>38</v>
      </c>
      <c r="BY15" s="44">
        <v>33</v>
      </c>
      <c r="BZ15" s="44">
        <v>73</v>
      </c>
      <c r="CA15" s="62">
        <f t="shared" si="20"/>
        <v>2.2121212121212119</v>
      </c>
      <c r="CB15" s="44">
        <v>19.75</v>
      </c>
      <c r="CC15" s="44">
        <v>24.5</v>
      </c>
      <c r="CD15" s="62">
        <f t="shared" si="21"/>
        <v>1.240506329113924</v>
      </c>
    </row>
    <row r="16" spans="1:82" x14ac:dyDescent="0.3">
      <c r="A16" s="49" t="s">
        <v>226</v>
      </c>
      <c r="B16" s="49" t="s">
        <v>104</v>
      </c>
      <c r="C16" s="44" t="s">
        <v>38</v>
      </c>
      <c r="D16" s="44">
        <v>804</v>
      </c>
      <c r="E16" s="44">
        <v>2857</v>
      </c>
      <c r="F16" s="62">
        <f t="shared" si="0"/>
        <v>3.5534825870646767</v>
      </c>
      <c r="G16" s="44" t="s">
        <v>38</v>
      </c>
      <c r="H16" s="44">
        <v>786</v>
      </c>
      <c r="I16" s="44">
        <v>3301</v>
      </c>
      <c r="J16" s="62">
        <f t="shared" si="1"/>
        <v>4.1997455470737917</v>
      </c>
      <c r="K16" s="44" t="s">
        <v>38</v>
      </c>
      <c r="L16" s="44">
        <v>1142</v>
      </c>
      <c r="M16" s="44">
        <v>4215</v>
      </c>
      <c r="N16" s="62">
        <f t="shared" si="2"/>
        <v>3.6908931698774081</v>
      </c>
      <c r="O16" s="44" t="s">
        <v>38</v>
      </c>
      <c r="P16" s="44">
        <v>1416</v>
      </c>
      <c r="Q16" s="44">
        <v>5231</v>
      </c>
      <c r="R16" s="62">
        <f t="shared" si="3"/>
        <v>3.6942090395480225</v>
      </c>
      <c r="S16" s="44" t="s">
        <v>38</v>
      </c>
      <c r="T16" s="44">
        <v>1600</v>
      </c>
      <c r="U16" s="44">
        <v>5500</v>
      </c>
      <c r="V16" s="62">
        <f t="shared" si="4"/>
        <v>3.4375</v>
      </c>
      <c r="W16" s="44">
        <v>1300</v>
      </c>
      <c r="X16" s="44">
        <v>4062</v>
      </c>
      <c r="Y16" s="62">
        <f t="shared" si="5"/>
        <v>3.1246153846153848</v>
      </c>
      <c r="Z16" s="44">
        <v>1100</v>
      </c>
      <c r="AA16" s="44">
        <v>3385</v>
      </c>
      <c r="AB16" s="62">
        <f t="shared" si="6"/>
        <v>3.0772727272727272</v>
      </c>
      <c r="AC16" s="44" t="s">
        <v>38</v>
      </c>
      <c r="AD16" s="44">
        <v>1300</v>
      </c>
      <c r="AE16" s="44">
        <v>3610</v>
      </c>
      <c r="AF16" s="62">
        <f t="shared" si="7"/>
        <v>2.7769230769230768</v>
      </c>
      <c r="AG16" s="44">
        <v>1000</v>
      </c>
      <c r="AH16" s="44">
        <v>3333</v>
      </c>
      <c r="AI16" s="62">
        <f t="shared" si="8"/>
        <v>3.3330000000000002</v>
      </c>
      <c r="AM16" s="62" t="str">
        <f t="shared" si="9"/>
        <v/>
      </c>
      <c r="AQ16" s="62" t="str">
        <f t="shared" si="10"/>
        <v/>
      </c>
      <c r="AU16" s="62" t="str">
        <f t="shared" si="11"/>
        <v/>
      </c>
      <c r="AY16" s="62" t="str">
        <f t="shared" si="12"/>
        <v/>
      </c>
      <c r="BC16" s="62" t="str">
        <f t="shared" si="13"/>
        <v/>
      </c>
      <c r="BF16" s="62" t="str">
        <f t="shared" si="14"/>
        <v/>
      </c>
      <c r="BJ16" s="62" t="str">
        <f t="shared" si="15"/>
        <v/>
      </c>
      <c r="BM16" s="62" t="str">
        <f t="shared" si="16"/>
        <v/>
      </c>
      <c r="BQ16" s="62" t="str">
        <f t="shared" si="17"/>
        <v/>
      </c>
      <c r="BT16" s="62" t="str">
        <f t="shared" si="18"/>
        <v/>
      </c>
      <c r="BW16" s="62" t="str">
        <f t="shared" si="19"/>
        <v/>
      </c>
      <c r="CA16" s="62" t="str">
        <f t="shared" si="20"/>
        <v/>
      </c>
      <c r="CD16" s="62" t="str">
        <f t="shared" si="21"/>
        <v/>
      </c>
    </row>
    <row r="17" spans="1:82" x14ac:dyDescent="0.3">
      <c r="A17" s="53" t="s">
        <v>10</v>
      </c>
      <c r="B17" s="49" t="s">
        <v>104</v>
      </c>
      <c r="C17" s="44" t="s">
        <v>38</v>
      </c>
      <c r="D17" s="44">
        <v>3234</v>
      </c>
      <c r="E17" s="44">
        <v>14500</v>
      </c>
      <c r="F17" s="62">
        <f t="shared" si="0"/>
        <v>4.4836116264687691</v>
      </c>
      <c r="G17" s="44" t="s">
        <v>38</v>
      </c>
      <c r="H17" s="44">
        <v>4500</v>
      </c>
      <c r="I17" s="44">
        <v>15122</v>
      </c>
      <c r="J17" s="62">
        <f t="shared" si="1"/>
        <v>3.3604444444444446</v>
      </c>
      <c r="K17" s="44" t="s">
        <v>38</v>
      </c>
      <c r="L17" s="44">
        <v>6300</v>
      </c>
      <c r="M17" s="44">
        <v>14256</v>
      </c>
      <c r="N17" s="62">
        <f t="shared" si="2"/>
        <v>2.2628571428571429</v>
      </c>
      <c r="O17" s="44" t="s">
        <v>38</v>
      </c>
      <c r="P17" s="44">
        <v>8160</v>
      </c>
      <c r="Q17" s="44">
        <v>19231</v>
      </c>
      <c r="R17" s="62">
        <f t="shared" si="3"/>
        <v>2.3567401960784315</v>
      </c>
      <c r="S17" s="44" t="s">
        <v>38</v>
      </c>
      <c r="T17" s="44">
        <v>7200</v>
      </c>
      <c r="U17" s="44">
        <v>30857</v>
      </c>
      <c r="V17" s="62">
        <f t="shared" si="4"/>
        <v>4.2856944444444443</v>
      </c>
      <c r="W17" s="44">
        <v>3750</v>
      </c>
      <c r="X17" s="44">
        <v>11718</v>
      </c>
      <c r="Y17" s="62">
        <f t="shared" si="5"/>
        <v>3.1248</v>
      </c>
      <c r="Z17" s="44">
        <v>3500</v>
      </c>
      <c r="AA17" s="44">
        <v>11846</v>
      </c>
      <c r="AB17" s="62">
        <f t="shared" si="6"/>
        <v>3.3845714285714288</v>
      </c>
      <c r="AC17" s="44" t="s">
        <v>38</v>
      </c>
      <c r="AD17" s="44">
        <v>3000</v>
      </c>
      <c r="AE17" s="44">
        <v>11665</v>
      </c>
      <c r="AF17" s="62">
        <f t="shared" si="7"/>
        <v>3.8883333333333332</v>
      </c>
      <c r="AG17" s="44">
        <v>2000</v>
      </c>
      <c r="AH17" s="44">
        <v>7778</v>
      </c>
      <c r="AI17" s="62">
        <f t="shared" si="8"/>
        <v>3.8889999999999998</v>
      </c>
      <c r="AJ17" s="44" t="s">
        <v>38</v>
      </c>
      <c r="AK17" s="44">
        <v>1500</v>
      </c>
      <c r="AL17" s="44">
        <v>5294</v>
      </c>
      <c r="AM17" s="62">
        <f t="shared" si="9"/>
        <v>3.5293333333333332</v>
      </c>
      <c r="AN17" s="44" t="s">
        <v>38</v>
      </c>
      <c r="AO17" s="44">
        <v>1200</v>
      </c>
      <c r="AP17" s="44">
        <v>3750</v>
      </c>
      <c r="AQ17" s="62">
        <f t="shared" si="10"/>
        <v>3.125</v>
      </c>
      <c r="AR17" s="44" t="s">
        <v>38</v>
      </c>
      <c r="AS17" s="44">
        <v>5000</v>
      </c>
      <c r="AT17" s="44">
        <v>9375</v>
      </c>
      <c r="AU17" s="62">
        <f t="shared" si="11"/>
        <v>1.875</v>
      </c>
      <c r="AV17" s="44" t="s">
        <v>38</v>
      </c>
      <c r="AW17" s="44">
        <v>4500</v>
      </c>
      <c r="AX17" s="44">
        <v>7500</v>
      </c>
      <c r="AY17" s="62">
        <f t="shared" si="12"/>
        <v>1.6666666666666667</v>
      </c>
      <c r="AZ17" s="44" t="s">
        <v>38</v>
      </c>
      <c r="BA17" s="44">
        <v>4000</v>
      </c>
      <c r="BB17" s="44">
        <v>6667</v>
      </c>
      <c r="BC17" s="62">
        <f t="shared" si="13"/>
        <v>1.66675</v>
      </c>
      <c r="BD17" s="44">
        <v>3600</v>
      </c>
      <c r="BE17" s="44">
        <v>6000</v>
      </c>
      <c r="BF17" s="62">
        <f t="shared" si="14"/>
        <v>1.6666666666666667</v>
      </c>
      <c r="BG17" s="44" t="s">
        <v>38</v>
      </c>
      <c r="BJ17" s="62" t="str">
        <f t="shared" si="15"/>
        <v/>
      </c>
      <c r="BK17" s="44">
        <v>6</v>
      </c>
      <c r="BL17" s="44">
        <v>30</v>
      </c>
      <c r="BM17" s="62">
        <f t="shared" si="16"/>
        <v>5</v>
      </c>
      <c r="BN17" s="44" t="s">
        <v>38</v>
      </c>
      <c r="BO17" s="44">
        <v>16</v>
      </c>
      <c r="BP17" s="44">
        <v>63</v>
      </c>
      <c r="BQ17" s="62">
        <f t="shared" si="17"/>
        <v>3.9375</v>
      </c>
      <c r="BR17" s="44">
        <v>14.75</v>
      </c>
      <c r="BS17" s="44">
        <v>206</v>
      </c>
      <c r="BT17" s="62">
        <f t="shared" si="18"/>
        <v>13.966101694915254</v>
      </c>
      <c r="BU17" s="44">
        <v>17.75</v>
      </c>
      <c r="BV17" s="44">
        <v>77</v>
      </c>
      <c r="BW17" s="62">
        <f t="shared" si="19"/>
        <v>4.3380281690140849</v>
      </c>
      <c r="BX17" s="44" t="s">
        <v>38</v>
      </c>
      <c r="BY17" s="44">
        <v>5</v>
      </c>
      <c r="BZ17" s="44">
        <v>18.75</v>
      </c>
      <c r="CA17" s="62">
        <f t="shared" si="20"/>
        <v>3.75</v>
      </c>
      <c r="CB17" s="44">
        <v>6.25</v>
      </c>
      <c r="CC17" s="44">
        <v>41</v>
      </c>
      <c r="CD17" s="62">
        <f t="shared" si="21"/>
        <v>6.56</v>
      </c>
    </row>
    <row r="18" spans="1:82" x14ac:dyDescent="0.3">
      <c r="A18" s="53" t="s">
        <v>228</v>
      </c>
      <c r="B18" s="49" t="s">
        <v>104</v>
      </c>
      <c r="C18" s="44" t="s">
        <v>38</v>
      </c>
      <c r="D18" s="44">
        <v>2411</v>
      </c>
      <c r="E18" s="44">
        <v>1714</v>
      </c>
      <c r="F18" s="62">
        <f t="shared" si="0"/>
        <v>0.71090833678971377</v>
      </c>
      <c r="G18" s="44" t="s">
        <v>38</v>
      </c>
      <c r="H18" s="44">
        <v>2893</v>
      </c>
      <c r="I18" s="44">
        <v>2025</v>
      </c>
      <c r="J18" s="62">
        <f t="shared" si="1"/>
        <v>0.69996543380573795</v>
      </c>
      <c r="K18" s="44" t="s">
        <v>38</v>
      </c>
      <c r="L18" s="44">
        <v>3600</v>
      </c>
      <c r="M18" s="44">
        <v>2954</v>
      </c>
      <c r="N18" s="62">
        <f t="shared" si="2"/>
        <v>0.82055555555555559</v>
      </c>
      <c r="O18" s="44" t="s">
        <v>38</v>
      </c>
      <c r="P18" s="44">
        <v>4000</v>
      </c>
      <c r="Q18" s="44">
        <v>3692</v>
      </c>
      <c r="R18" s="62">
        <f t="shared" si="3"/>
        <v>0.92300000000000004</v>
      </c>
      <c r="S18" s="44" t="s">
        <v>38</v>
      </c>
      <c r="T18" s="44">
        <v>2500</v>
      </c>
      <c r="U18" s="44">
        <v>2143</v>
      </c>
      <c r="V18" s="62">
        <f t="shared" si="4"/>
        <v>0.85719999999999996</v>
      </c>
      <c r="W18" s="44">
        <v>2000</v>
      </c>
      <c r="X18" s="44">
        <v>1500</v>
      </c>
      <c r="Y18" s="62">
        <f t="shared" si="5"/>
        <v>0.75</v>
      </c>
      <c r="Z18" s="44">
        <v>2050</v>
      </c>
      <c r="AA18" s="44">
        <v>1514</v>
      </c>
      <c r="AB18" s="62">
        <f t="shared" si="6"/>
        <v>0.73853658536585365</v>
      </c>
      <c r="AC18" s="44" t="s">
        <v>38</v>
      </c>
      <c r="AD18" s="44">
        <v>2000</v>
      </c>
      <c r="AE18" s="44">
        <v>1333</v>
      </c>
      <c r="AF18" s="62">
        <f t="shared" si="7"/>
        <v>0.66649999999999998</v>
      </c>
      <c r="AG18" s="44">
        <v>1200</v>
      </c>
      <c r="AH18" s="44">
        <v>778</v>
      </c>
      <c r="AI18" s="62">
        <f t="shared" si="8"/>
        <v>0.64833333333333332</v>
      </c>
      <c r="AJ18" s="44" t="s">
        <v>38</v>
      </c>
      <c r="AK18" s="44">
        <v>1300</v>
      </c>
      <c r="AL18" s="44">
        <v>882</v>
      </c>
      <c r="AM18" s="62">
        <f t="shared" si="9"/>
        <v>0.67846153846153845</v>
      </c>
      <c r="AN18" s="44" t="s">
        <v>38</v>
      </c>
      <c r="AO18" s="44">
        <v>1200</v>
      </c>
      <c r="AP18" s="44">
        <v>900</v>
      </c>
      <c r="AQ18" s="62">
        <f t="shared" si="10"/>
        <v>0.75</v>
      </c>
      <c r="AR18" s="44" t="s">
        <v>38</v>
      </c>
      <c r="AS18" s="44">
        <v>1000</v>
      </c>
      <c r="AT18" s="44">
        <v>750</v>
      </c>
      <c r="AU18" s="62">
        <f t="shared" si="11"/>
        <v>0.75</v>
      </c>
      <c r="AV18" s="44" t="s">
        <v>38</v>
      </c>
      <c r="AW18" s="44">
        <v>800</v>
      </c>
      <c r="AX18" s="44">
        <v>640</v>
      </c>
      <c r="AY18" s="62">
        <f t="shared" si="12"/>
        <v>0.8</v>
      </c>
      <c r="AZ18" s="44" t="s">
        <v>38</v>
      </c>
      <c r="BA18" s="44">
        <v>1200</v>
      </c>
      <c r="BB18" s="44">
        <v>960</v>
      </c>
      <c r="BC18" s="62">
        <f t="shared" si="13"/>
        <v>0.8</v>
      </c>
      <c r="BD18" s="44">
        <v>1500</v>
      </c>
      <c r="BE18" s="44">
        <v>1200</v>
      </c>
      <c r="BF18" s="62">
        <f t="shared" si="14"/>
        <v>0.8</v>
      </c>
      <c r="BG18" s="44" t="s">
        <v>38</v>
      </c>
      <c r="BH18" s="44">
        <v>878</v>
      </c>
      <c r="BI18" s="44">
        <v>661</v>
      </c>
      <c r="BJ18" s="62">
        <f t="shared" si="15"/>
        <v>0.75284738041002275</v>
      </c>
      <c r="BM18" s="62" t="str">
        <f t="shared" si="16"/>
        <v/>
      </c>
      <c r="BN18" s="44" t="s">
        <v>38</v>
      </c>
      <c r="BO18" s="44">
        <v>496</v>
      </c>
      <c r="BP18" s="44">
        <v>479</v>
      </c>
      <c r="BQ18" s="62">
        <f t="shared" si="17"/>
        <v>0.96572580645161288</v>
      </c>
      <c r="BR18" s="44">
        <v>596.75</v>
      </c>
      <c r="BS18" s="44">
        <v>427</v>
      </c>
      <c r="BT18" s="62">
        <f t="shared" si="18"/>
        <v>0.71554252199413493</v>
      </c>
      <c r="BU18" s="44">
        <v>1297.5</v>
      </c>
      <c r="BV18" s="44">
        <v>811</v>
      </c>
      <c r="BW18" s="62">
        <f t="shared" si="19"/>
        <v>0.62504816955684006</v>
      </c>
      <c r="BX18" s="44" t="s">
        <v>38</v>
      </c>
      <c r="BY18" s="44">
        <v>942.5</v>
      </c>
      <c r="BZ18" s="44">
        <v>557</v>
      </c>
      <c r="CA18" s="62">
        <f t="shared" si="20"/>
        <v>0.59098143236074274</v>
      </c>
      <c r="CD18" s="62" t="str">
        <f t="shared" si="21"/>
        <v/>
      </c>
    </row>
    <row r="19" spans="1:82" x14ac:dyDescent="0.3">
      <c r="A19" s="49" t="s">
        <v>229</v>
      </c>
      <c r="B19" s="49" t="s">
        <v>322</v>
      </c>
      <c r="C19" s="44" t="s">
        <v>40</v>
      </c>
      <c r="D19" s="44">
        <v>2200</v>
      </c>
      <c r="E19" s="44">
        <v>86429</v>
      </c>
      <c r="F19" s="62">
        <f t="shared" si="0"/>
        <v>39.285909090909094</v>
      </c>
      <c r="G19" s="44" t="s">
        <v>40</v>
      </c>
      <c r="H19" s="44">
        <v>2800</v>
      </c>
      <c r="I19" s="44">
        <v>96743</v>
      </c>
      <c r="J19" s="62">
        <f t="shared" si="1"/>
        <v>34.551071428571426</v>
      </c>
      <c r="K19" s="44" t="s">
        <v>40</v>
      </c>
      <c r="L19" s="44">
        <v>3230</v>
      </c>
      <c r="M19" s="44">
        <v>104615</v>
      </c>
      <c r="N19" s="62">
        <f t="shared" si="2"/>
        <v>32.388544891640869</v>
      </c>
      <c r="O19" s="44" t="s">
        <v>40</v>
      </c>
      <c r="P19" s="44">
        <v>3461</v>
      </c>
      <c r="Q19" s="44">
        <v>123154</v>
      </c>
      <c r="R19" s="62">
        <f t="shared" si="3"/>
        <v>35.583357411152846</v>
      </c>
      <c r="S19" s="44" t="s">
        <v>40</v>
      </c>
      <c r="T19" s="44">
        <v>5150</v>
      </c>
      <c r="U19" s="44">
        <v>111250</v>
      </c>
      <c r="V19" s="62">
        <f t="shared" si="4"/>
        <v>21.601941747572816</v>
      </c>
      <c r="W19" s="44">
        <v>3980</v>
      </c>
      <c r="X19" s="44">
        <v>91937</v>
      </c>
      <c r="Y19" s="62">
        <f t="shared" si="5"/>
        <v>23.099748743718592</v>
      </c>
      <c r="Z19" s="44">
        <v>3600</v>
      </c>
      <c r="AA19" s="44">
        <v>85661</v>
      </c>
      <c r="AB19" s="62">
        <f t="shared" si="6"/>
        <v>23.794722222222223</v>
      </c>
      <c r="AC19" s="44" t="s">
        <v>40</v>
      </c>
      <c r="AD19" s="44">
        <v>3320</v>
      </c>
      <c r="AE19" s="44">
        <v>80749</v>
      </c>
      <c r="AF19" s="62">
        <f t="shared" si="7"/>
        <v>24.32198795180723</v>
      </c>
      <c r="AG19" s="44">
        <v>3200</v>
      </c>
      <c r="AH19" s="44">
        <v>67500</v>
      </c>
      <c r="AI19" s="62">
        <f t="shared" si="8"/>
        <v>21.09375</v>
      </c>
      <c r="AM19" s="62" t="str">
        <f t="shared" si="9"/>
        <v/>
      </c>
      <c r="AQ19" s="62" t="str">
        <f t="shared" si="10"/>
        <v/>
      </c>
      <c r="AU19" s="62" t="str">
        <f t="shared" si="11"/>
        <v/>
      </c>
      <c r="AY19" s="62" t="str">
        <f t="shared" si="12"/>
        <v/>
      </c>
      <c r="AZ19" s="44" t="s">
        <v>40</v>
      </c>
      <c r="BA19" s="44">
        <v>1725</v>
      </c>
      <c r="BB19" s="44">
        <v>49667</v>
      </c>
      <c r="BC19" s="62">
        <f t="shared" si="13"/>
        <v>28.79246376811594</v>
      </c>
      <c r="BD19" s="44">
        <v>2382</v>
      </c>
      <c r="BE19" s="44">
        <v>44427</v>
      </c>
      <c r="BF19" s="62">
        <f t="shared" si="14"/>
        <v>18.651133501259444</v>
      </c>
      <c r="BG19" s="44" t="s">
        <v>38</v>
      </c>
      <c r="BH19" s="44">
        <v>8150</v>
      </c>
      <c r="BI19" s="44">
        <v>35277</v>
      </c>
      <c r="BJ19" s="62">
        <f t="shared" si="15"/>
        <v>4.3284662576687118</v>
      </c>
      <c r="BK19" s="44">
        <v>5315</v>
      </c>
      <c r="BL19" s="44">
        <v>37032</v>
      </c>
      <c r="BM19" s="62">
        <f t="shared" si="16"/>
        <v>6.9674506114769521</v>
      </c>
      <c r="BN19" s="44" t="s">
        <v>38</v>
      </c>
      <c r="BO19" s="44">
        <v>3812</v>
      </c>
      <c r="BP19" s="44">
        <v>21756</v>
      </c>
      <c r="BQ19" s="62">
        <f t="shared" si="17"/>
        <v>5.7072402938090239</v>
      </c>
      <c r="BR19" s="44">
        <v>3095</v>
      </c>
      <c r="BS19" s="44">
        <v>21039</v>
      </c>
      <c r="BT19" s="62">
        <f t="shared" si="18"/>
        <v>6.7977382875605814</v>
      </c>
      <c r="BU19" s="44">
        <v>3508.25</v>
      </c>
      <c r="BV19" s="44">
        <v>24116</v>
      </c>
      <c r="BW19" s="62">
        <f t="shared" si="19"/>
        <v>6.8740825197748165</v>
      </c>
      <c r="BX19" s="44" t="s">
        <v>38</v>
      </c>
      <c r="BY19" s="44">
        <v>5306.75</v>
      </c>
      <c r="BZ19" s="44">
        <v>54312</v>
      </c>
      <c r="CA19" s="62">
        <f t="shared" si="20"/>
        <v>10.234512648984783</v>
      </c>
      <c r="CB19" s="44">
        <v>5187</v>
      </c>
      <c r="CC19" s="44">
        <v>56916</v>
      </c>
      <c r="CD19" s="62">
        <f t="shared" si="21"/>
        <v>10.972816657027183</v>
      </c>
    </row>
    <row r="20" spans="1:82" x14ac:dyDescent="0.3">
      <c r="A20" s="49" t="s">
        <v>230</v>
      </c>
      <c r="B20" s="49" t="s">
        <v>322</v>
      </c>
      <c r="C20" s="44" t="s">
        <v>40</v>
      </c>
      <c r="F20" s="62" t="str">
        <f t="shared" si="0"/>
        <v/>
      </c>
      <c r="J20" s="62" t="str">
        <f t="shared" si="1"/>
        <v/>
      </c>
      <c r="N20" s="62" t="str">
        <f t="shared" si="2"/>
        <v/>
      </c>
      <c r="R20" s="62" t="str">
        <f t="shared" si="3"/>
        <v/>
      </c>
      <c r="V20" s="62" t="str">
        <f t="shared" si="4"/>
        <v/>
      </c>
      <c r="Y20" s="62" t="str">
        <f t="shared" si="5"/>
        <v/>
      </c>
      <c r="AB20" s="62" t="str">
        <f t="shared" si="6"/>
        <v/>
      </c>
      <c r="AF20" s="62" t="str">
        <f t="shared" si="7"/>
        <v/>
      </c>
      <c r="AI20" s="62" t="str">
        <f t="shared" si="8"/>
        <v/>
      </c>
      <c r="AJ20" s="44" t="s">
        <v>40</v>
      </c>
      <c r="AK20" s="44">
        <v>315</v>
      </c>
      <c r="AL20" s="44">
        <v>12353</v>
      </c>
      <c r="AM20" s="62">
        <f t="shared" si="9"/>
        <v>39.215873015873015</v>
      </c>
      <c r="AN20" s="44" t="s">
        <v>40</v>
      </c>
      <c r="AO20" s="44">
        <v>280</v>
      </c>
      <c r="AP20" s="44">
        <v>7000</v>
      </c>
      <c r="AQ20" s="62">
        <f t="shared" si="10"/>
        <v>25</v>
      </c>
      <c r="AR20" s="44" t="s">
        <v>40</v>
      </c>
      <c r="AS20" s="44">
        <v>250</v>
      </c>
      <c r="AT20" s="44">
        <v>6250</v>
      </c>
      <c r="AU20" s="62">
        <f t="shared" si="11"/>
        <v>25</v>
      </c>
      <c r="AV20" s="44" t="s">
        <v>40</v>
      </c>
      <c r="AW20" s="44">
        <v>200</v>
      </c>
      <c r="AX20" s="44">
        <v>5666</v>
      </c>
      <c r="AY20" s="62">
        <f t="shared" si="12"/>
        <v>28.33</v>
      </c>
      <c r="BC20" s="62" t="str">
        <f t="shared" si="13"/>
        <v/>
      </c>
      <c r="BF20" s="62" t="str">
        <f t="shared" si="14"/>
        <v/>
      </c>
      <c r="BJ20" s="62" t="str">
        <f t="shared" si="15"/>
        <v/>
      </c>
      <c r="BM20" s="62" t="str">
        <f t="shared" si="16"/>
        <v/>
      </c>
      <c r="BQ20" s="62" t="str">
        <f t="shared" si="17"/>
        <v/>
      </c>
      <c r="BT20" s="62" t="str">
        <f t="shared" si="18"/>
        <v/>
      </c>
      <c r="BW20" s="62" t="str">
        <f t="shared" si="19"/>
        <v/>
      </c>
      <c r="CA20" s="62" t="str">
        <f t="shared" si="20"/>
        <v/>
      </c>
      <c r="CD20" s="62" t="str">
        <f t="shared" si="21"/>
        <v/>
      </c>
    </row>
    <row r="21" spans="1:82" x14ac:dyDescent="0.3">
      <c r="A21" s="49" t="s">
        <v>232</v>
      </c>
      <c r="B21" s="49" t="s">
        <v>322</v>
      </c>
      <c r="C21" s="44" t="s">
        <v>40</v>
      </c>
      <c r="F21" s="62" t="str">
        <f t="shared" si="0"/>
        <v/>
      </c>
      <c r="J21" s="62" t="str">
        <f t="shared" si="1"/>
        <v/>
      </c>
      <c r="N21" s="62" t="str">
        <f t="shared" si="2"/>
        <v/>
      </c>
      <c r="R21" s="62" t="str">
        <f t="shared" si="3"/>
        <v/>
      </c>
      <c r="V21" s="62" t="str">
        <f t="shared" si="4"/>
        <v/>
      </c>
      <c r="Y21" s="62" t="str">
        <f t="shared" si="5"/>
        <v/>
      </c>
      <c r="AB21" s="62" t="str">
        <f t="shared" si="6"/>
        <v/>
      </c>
      <c r="AF21" s="62" t="str">
        <f t="shared" si="7"/>
        <v/>
      </c>
      <c r="AI21" s="62" t="str">
        <f t="shared" si="8"/>
        <v/>
      </c>
      <c r="AJ21" s="44" t="s">
        <v>40</v>
      </c>
      <c r="AK21" s="44">
        <v>900</v>
      </c>
      <c r="AL21" s="44">
        <v>28235</v>
      </c>
      <c r="AM21" s="62">
        <f t="shared" si="9"/>
        <v>31.372222222222224</v>
      </c>
      <c r="AQ21" s="62" t="str">
        <f t="shared" si="10"/>
        <v/>
      </c>
      <c r="AU21" s="62" t="str">
        <f t="shared" si="11"/>
        <v/>
      </c>
      <c r="AY21" s="62" t="str">
        <f t="shared" si="12"/>
        <v/>
      </c>
      <c r="BC21" s="62" t="str">
        <f t="shared" si="13"/>
        <v/>
      </c>
      <c r="BF21" s="62" t="str">
        <f t="shared" si="14"/>
        <v/>
      </c>
      <c r="BJ21" s="62" t="str">
        <f t="shared" si="15"/>
        <v/>
      </c>
      <c r="BM21" s="62" t="str">
        <f t="shared" si="16"/>
        <v/>
      </c>
      <c r="BQ21" s="62" t="str">
        <f t="shared" si="17"/>
        <v/>
      </c>
      <c r="BT21" s="62" t="str">
        <f t="shared" si="18"/>
        <v/>
      </c>
      <c r="BW21" s="62" t="str">
        <f t="shared" si="19"/>
        <v/>
      </c>
      <c r="CA21" s="62" t="str">
        <f t="shared" si="20"/>
        <v/>
      </c>
      <c r="CD21" s="62" t="str">
        <f t="shared" si="21"/>
        <v/>
      </c>
    </row>
    <row r="22" spans="1:82" x14ac:dyDescent="0.3">
      <c r="A22" s="49" t="s">
        <v>231</v>
      </c>
      <c r="B22" s="49" t="s">
        <v>322</v>
      </c>
      <c r="C22" s="44" t="s">
        <v>40</v>
      </c>
      <c r="F22" s="62" t="str">
        <f t="shared" si="0"/>
        <v/>
      </c>
      <c r="J22" s="62" t="str">
        <f t="shared" si="1"/>
        <v/>
      </c>
      <c r="N22" s="62" t="str">
        <f t="shared" si="2"/>
        <v/>
      </c>
      <c r="R22" s="62" t="str">
        <f t="shared" si="3"/>
        <v/>
      </c>
      <c r="V22" s="62" t="str">
        <f t="shared" si="4"/>
        <v/>
      </c>
      <c r="Y22" s="62" t="str">
        <f t="shared" si="5"/>
        <v/>
      </c>
      <c r="AB22" s="62" t="str">
        <f t="shared" si="6"/>
        <v/>
      </c>
      <c r="AF22" s="62" t="str">
        <f t="shared" si="7"/>
        <v/>
      </c>
      <c r="AI22" s="62" t="str">
        <f t="shared" si="8"/>
        <v/>
      </c>
      <c r="AJ22" s="44" t="s">
        <v>40</v>
      </c>
      <c r="AK22" s="44">
        <v>660</v>
      </c>
      <c r="AL22" s="44">
        <v>11765</v>
      </c>
      <c r="AM22" s="62">
        <f t="shared" si="9"/>
        <v>17.825757575757574</v>
      </c>
      <c r="AN22" s="44" t="s">
        <v>40</v>
      </c>
      <c r="AO22" s="44">
        <v>600</v>
      </c>
      <c r="AP22" s="44">
        <v>11250</v>
      </c>
      <c r="AQ22" s="62">
        <f t="shared" si="10"/>
        <v>18.75</v>
      </c>
      <c r="AR22" s="44" t="s">
        <v>40</v>
      </c>
      <c r="AS22" s="44">
        <v>400</v>
      </c>
      <c r="AT22" s="44">
        <v>7500</v>
      </c>
      <c r="AU22" s="62">
        <f t="shared" si="11"/>
        <v>18.75</v>
      </c>
      <c r="AV22" s="44" t="s">
        <v>40</v>
      </c>
      <c r="AW22" s="44">
        <v>320</v>
      </c>
      <c r="AX22" s="44">
        <v>6400</v>
      </c>
      <c r="AY22" s="62">
        <f t="shared" si="12"/>
        <v>20</v>
      </c>
      <c r="BC22" s="62" t="str">
        <f t="shared" si="13"/>
        <v/>
      </c>
      <c r="BF22" s="62" t="str">
        <f t="shared" si="14"/>
        <v/>
      </c>
      <c r="BJ22" s="62" t="str">
        <f t="shared" si="15"/>
        <v/>
      </c>
      <c r="BM22" s="62" t="str">
        <f t="shared" si="16"/>
        <v/>
      </c>
      <c r="BQ22" s="62" t="str">
        <f t="shared" si="17"/>
        <v/>
      </c>
      <c r="BT22" s="62" t="str">
        <f t="shared" si="18"/>
        <v/>
      </c>
      <c r="BW22" s="62" t="str">
        <f t="shared" si="19"/>
        <v/>
      </c>
      <c r="CA22" s="62" t="str">
        <f t="shared" si="20"/>
        <v/>
      </c>
      <c r="CD22" s="62" t="str">
        <f t="shared" si="21"/>
        <v/>
      </c>
    </row>
    <row r="23" spans="1:82" x14ac:dyDescent="0.3">
      <c r="A23" s="49" t="s">
        <v>233</v>
      </c>
      <c r="B23" s="49" t="s">
        <v>322</v>
      </c>
      <c r="C23" s="44" t="s">
        <v>40</v>
      </c>
      <c r="F23" s="62" t="str">
        <f t="shared" si="0"/>
        <v/>
      </c>
      <c r="J23" s="62" t="str">
        <f t="shared" si="1"/>
        <v/>
      </c>
      <c r="N23" s="62" t="str">
        <f t="shared" si="2"/>
        <v/>
      </c>
      <c r="R23" s="62" t="str">
        <f t="shared" si="3"/>
        <v/>
      </c>
      <c r="V23" s="62" t="str">
        <f t="shared" si="4"/>
        <v/>
      </c>
      <c r="Y23" s="62" t="str">
        <f t="shared" si="5"/>
        <v/>
      </c>
      <c r="AB23" s="62" t="str">
        <f t="shared" si="6"/>
        <v/>
      </c>
      <c r="AF23" s="62" t="str">
        <f t="shared" si="7"/>
        <v/>
      </c>
      <c r="AI23" s="62" t="str">
        <f t="shared" si="8"/>
        <v/>
      </c>
      <c r="AJ23" s="44" t="s">
        <v>40</v>
      </c>
      <c r="AK23" s="44">
        <v>400</v>
      </c>
      <c r="AL23" s="44">
        <v>4706</v>
      </c>
      <c r="AM23" s="62">
        <f t="shared" si="9"/>
        <v>11.765000000000001</v>
      </c>
      <c r="AN23" s="44" t="s">
        <v>40</v>
      </c>
      <c r="AO23" s="44">
        <v>350</v>
      </c>
      <c r="AP23" s="44">
        <v>10937</v>
      </c>
      <c r="AQ23" s="62">
        <f t="shared" si="10"/>
        <v>31.248571428571427</v>
      </c>
      <c r="AR23" s="44" t="s">
        <v>40</v>
      </c>
      <c r="AS23" s="44">
        <v>300</v>
      </c>
      <c r="AT23" s="44">
        <v>9375</v>
      </c>
      <c r="AU23" s="62">
        <f t="shared" si="11"/>
        <v>31.25</v>
      </c>
      <c r="AV23" s="44" t="s">
        <v>40</v>
      </c>
      <c r="AW23" s="44">
        <v>250</v>
      </c>
      <c r="AX23" s="44">
        <v>8333</v>
      </c>
      <c r="AY23" s="62">
        <f t="shared" si="12"/>
        <v>33.332000000000001</v>
      </c>
      <c r="BC23" s="62" t="str">
        <f t="shared" si="13"/>
        <v/>
      </c>
      <c r="BF23" s="62" t="str">
        <f t="shared" si="14"/>
        <v/>
      </c>
      <c r="BJ23" s="62" t="str">
        <f t="shared" si="15"/>
        <v/>
      </c>
      <c r="BM23" s="62" t="str">
        <f t="shared" si="16"/>
        <v/>
      </c>
      <c r="BQ23" s="62" t="str">
        <f t="shared" si="17"/>
        <v/>
      </c>
      <c r="BT23" s="62" t="str">
        <f t="shared" si="18"/>
        <v/>
      </c>
      <c r="BW23" s="62" t="str">
        <f t="shared" si="19"/>
        <v/>
      </c>
      <c r="CA23" s="62" t="str">
        <f t="shared" si="20"/>
        <v/>
      </c>
      <c r="CD23" s="62" t="str">
        <f t="shared" si="21"/>
        <v/>
      </c>
    </row>
    <row r="24" spans="1:82" x14ac:dyDescent="0.3">
      <c r="A24" s="49" t="s">
        <v>234</v>
      </c>
      <c r="B24" s="49" t="s">
        <v>322</v>
      </c>
      <c r="C24" s="44" t="s">
        <v>40</v>
      </c>
      <c r="F24" s="62" t="str">
        <f t="shared" si="0"/>
        <v/>
      </c>
      <c r="J24" s="62" t="str">
        <f t="shared" si="1"/>
        <v/>
      </c>
      <c r="N24" s="62" t="str">
        <f t="shared" si="2"/>
        <v/>
      </c>
      <c r="R24" s="62" t="str">
        <f t="shared" si="3"/>
        <v/>
      </c>
      <c r="V24" s="62" t="str">
        <f t="shared" si="4"/>
        <v/>
      </c>
      <c r="Y24" s="62" t="str">
        <f t="shared" si="5"/>
        <v/>
      </c>
      <c r="AB24" s="62" t="str">
        <f t="shared" si="6"/>
        <v/>
      </c>
      <c r="AF24" s="62" t="str">
        <f t="shared" si="7"/>
        <v/>
      </c>
      <c r="AI24" s="62" t="str">
        <f t="shared" si="8"/>
        <v/>
      </c>
      <c r="AJ24" s="44" t="s">
        <v>40</v>
      </c>
      <c r="AK24" s="44">
        <v>65</v>
      </c>
      <c r="AL24" s="44">
        <v>1000</v>
      </c>
      <c r="AM24" s="62">
        <f t="shared" si="9"/>
        <v>15.384615384615385</v>
      </c>
      <c r="AQ24" s="62" t="str">
        <f t="shared" si="10"/>
        <v/>
      </c>
      <c r="AU24" s="62" t="str">
        <f t="shared" si="11"/>
        <v/>
      </c>
      <c r="AY24" s="62" t="str">
        <f t="shared" si="12"/>
        <v/>
      </c>
      <c r="BC24" s="62" t="str">
        <f t="shared" si="13"/>
        <v/>
      </c>
      <c r="BF24" s="62" t="str">
        <f t="shared" si="14"/>
        <v/>
      </c>
      <c r="BJ24" s="62" t="str">
        <f t="shared" si="15"/>
        <v/>
      </c>
      <c r="BM24" s="62" t="str">
        <f t="shared" si="16"/>
        <v/>
      </c>
      <c r="BQ24" s="62" t="str">
        <f t="shared" si="17"/>
        <v/>
      </c>
      <c r="BT24" s="62" t="str">
        <f t="shared" si="18"/>
        <v/>
      </c>
      <c r="BW24" s="62" t="str">
        <f t="shared" si="19"/>
        <v/>
      </c>
      <c r="CA24" s="62" t="str">
        <f t="shared" si="20"/>
        <v/>
      </c>
      <c r="CD24" s="62" t="str">
        <f t="shared" si="21"/>
        <v/>
      </c>
    </row>
    <row r="25" spans="1:82" x14ac:dyDescent="0.3">
      <c r="A25" s="49" t="s">
        <v>235</v>
      </c>
      <c r="B25" s="49" t="s">
        <v>322</v>
      </c>
      <c r="C25" s="44" t="s">
        <v>40</v>
      </c>
      <c r="F25" s="62" t="str">
        <f t="shared" si="0"/>
        <v/>
      </c>
      <c r="J25" s="62" t="str">
        <f t="shared" si="1"/>
        <v/>
      </c>
      <c r="N25" s="62" t="str">
        <f t="shared" si="2"/>
        <v/>
      </c>
      <c r="R25" s="62" t="str">
        <f t="shared" si="3"/>
        <v/>
      </c>
      <c r="V25" s="62" t="str">
        <f t="shared" si="4"/>
        <v/>
      </c>
      <c r="Y25" s="62" t="str">
        <f t="shared" si="5"/>
        <v/>
      </c>
      <c r="AB25" s="62" t="str">
        <f t="shared" si="6"/>
        <v/>
      </c>
      <c r="AF25" s="62" t="str">
        <f t="shared" si="7"/>
        <v/>
      </c>
      <c r="AI25" s="62" t="str">
        <f t="shared" si="8"/>
        <v/>
      </c>
      <c r="AJ25" s="44" t="s">
        <v>40</v>
      </c>
      <c r="AK25" s="44">
        <v>180</v>
      </c>
      <c r="AL25" s="44">
        <v>4235</v>
      </c>
      <c r="AM25" s="62">
        <f t="shared" si="9"/>
        <v>23.527777777777779</v>
      </c>
      <c r="AN25" s="44" t="s">
        <v>40</v>
      </c>
      <c r="AO25" s="44">
        <v>1010</v>
      </c>
      <c r="AP25" s="44">
        <v>30625</v>
      </c>
      <c r="AQ25" s="62">
        <f t="shared" si="10"/>
        <v>30.321782178217823</v>
      </c>
      <c r="AR25" s="44" t="s">
        <v>40</v>
      </c>
      <c r="AS25" s="44">
        <v>750</v>
      </c>
      <c r="AT25" s="44">
        <v>22812</v>
      </c>
      <c r="AU25" s="62">
        <f t="shared" si="11"/>
        <v>30.416</v>
      </c>
      <c r="AV25" s="44" t="s">
        <v>40</v>
      </c>
      <c r="AW25" s="44">
        <v>529</v>
      </c>
      <c r="AX25" s="44">
        <v>17100</v>
      </c>
      <c r="AY25" s="62">
        <f t="shared" si="12"/>
        <v>32.32514177693762</v>
      </c>
      <c r="BC25" s="62" t="str">
        <f t="shared" si="13"/>
        <v/>
      </c>
      <c r="BF25" s="62" t="str">
        <f t="shared" si="14"/>
        <v/>
      </c>
      <c r="BJ25" s="62" t="str">
        <f t="shared" si="15"/>
        <v/>
      </c>
      <c r="BM25" s="62" t="str">
        <f t="shared" si="16"/>
        <v/>
      </c>
      <c r="BQ25" s="62" t="str">
        <f t="shared" si="17"/>
        <v/>
      </c>
      <c r="BT25" s="62" t="str">
        <f t="shared" si="18"/>
        <v/>
      </c>
      <c r="BW25" s="62" t="str">
        <f t="shared" si="19"/>
        <v/>
      </c>
      <c r="CA25" s="62" t="str">
        <f t="shared" si="20"/>
        <v/>
      </c>
      <c r="CD25" s="62" t="str">
        <f t="shared" si="21"/>
        <v/>
      </c>
    </row>
    <row r="26" spans="1:82" x14ac:dyDescent="0.3">
      <c r="A26" s="49" t="s">
        <v>11</v>
      </c>
      <c r="B26" s="49" t="s">
        <v>104</v>
      </c>
      <c r="C26" s="44" t="s">
        <v>38</v>
      </c>
      <c r="D26" s="44">
        <v>402</v>
      </c>
      <c r="E26" s="44">
        <v>836</v>
      </c>
      <c r="F26" s="62">
        <f t="shared" si="0"/>
        <v>2.0796019900497513</v>
      </c>
      <c r="G26" s="44" t="s">
        <v>38</v>
      </c>
      <c r="H26" s="44">
        <v>715</v>
      </c>
      <c r="I26" s="44">
        <v>1067</v>
      </c>
      <c r="J26" s="62">
        <f t="shared" si="1"/>
        <v>1.4923076923076923</v>
      </c>
      <c r="K26" s="44" t="s">
        <v>38</v>
      </c>
      <c r="L26" s="44">
        <v>900</v>
      </c>
      <c r="M26" s="44">
        <v>1231</v>
      </c>
      <c r="N26" s="62">
        <f t="shared" si="2"/>
        <v>1.3677777777777778</v>
      </c>
      <c r="O26" s="44" t="s">
        <v>38</v>
      </c>
      <c r="P26" s="44">
        <v>1072</v>
      </c>
      <c r="Q26" s="44">
        <v>1500</v>
      </c>
      <c r="R26" s="62">
        <f t="shared" si="3"/>
        <v>1.3992537313432836</v>
      </c>
      <c r="S26" s="44" t="s">
        <v>38</v>
      </c>
      <c r="T26" s="44">
        <v>733</v>
      </c>
      <c r="U26" s="44">
        <v>786</v>
      </c>
      <c r="V26" s="62">
        <f t="shared" si="4"/>
        <v>1.0723055934515688</v>
      </c>
      <c r="W26" s="44">
        <v>590</v>
      </c>
      <c r="X26" s="44">
        <v>653</v>
      </c>
      <c r="Y26" s="62">
        <f t="shared" si="5"/>
        <v>1.1067796610169491</v>
      </c>
      <c r="Z26" s="44">
        <v>350</v>
      </c>
      <c r="AA26" s="44">
        <v>677</v>
      </c>
      <c r="AB26" s="62">
        <f t="shared" si="6"/>
        <v>1.9342857142857144</v>
      </c>
      <c r="AC26" s="44" t="s">
        <v>38</v>
      </c>
      <c r="AD26" s="44">
        <v>750</v>
      </c>
      <c r="AE26" s="44">
        <v>767</v>
      </c>
      <c r="AF26" s="62">
        <f t="shared" si="7"/>
        <v>1.0226666666666666</v>
      </c>
      <c r="AG26" s="44">
        <v>800</v>
      </c>
      <c r="AH26" s="44">
        <v>881</v>
      </c>
      <c r="AI26" s="62">
        <f t="shared" si="8"/>
        <v>1.1012500000000001</v>
      </c>
      <c r="AJ26" s="44" t="s">
        <v>38</v>
      </c>
      <c r="AK26" s="44">
        <v>400</v>
      </c>
      <c r="AL26" s="44">
        <v>353</v>
      </c>
      <c r="AM26" s="62">
        <f t="shared" si="9"/>
        <v>0.88249999999999995</v>
      </c>
      <c r="AN26" s="44" t="s">
        <v>38</v>
      </c>
      <c r="AO26" s="44">
        <v>400</v>
      </c>
      <c r="AP26" s="44">
        <v>393</v>
      </c>
      <c r="AQ26" s="62">
        <f t="shared" si="10"/>
        <v>0.98250000000000004</v>
      </c>
      <c r="AR26" s="44" t="s">
        <v>38</v>
      </c>
      <c r="AS26" s="44">
        <v>480</v>
      </c>
      <c r="AT26" s="44">
        <v>375</v>
      </c>
      <c r="AU26" s="62">
        <f t="shared" si="11"/>
        <v>0.78125</v>
      </c>
      <c r="AV26" s="44" t="s">
        <v>38</v>
      </c>
      <c r="AW26" s="44">
        <v>560</v>
      </c>
      <c r="AX26" s="44">
        <v>580</v>
      </c>
      <c r="AY26" s="62">
        <f t="shared" si="12"/>
        <v>1.0357142857142858</v>
      </c>
      <c r="AZ26" s="44" t="s">
        <v>38</v>
      </c>
      <c r="BA26" s="44">
        <v>460</v>
      </c>
      <c r="BB26" s="44">
        <v>533</v>
      </c>
      <c r="BC26" s="62">
        <f t="shared" si="13"/>
        <v>1.1586956521739131</v>
      </c>
      <c r="BD26" s="44">
        <v>350</v>
      </c>
      <c r="BE26" s="44">
        <v>366</v>
      </c>
      <c r="BF26" s="62">
        <f t="shared" si="14"/>
        <v>1.0457142857142858</v>
      </c>
      <c r="BG26" s="44" t="s">
        <v>38</v>
      </c>
      <c r="BJ26" s="62" t="str">
        <f t="shared" si="15"/>
        <v/>
      </c>
      <c r="BK26" s="44">
        <v>32</v>
      </c>
      <c r="BL26" s="44">
        <v>55</v>
      </c>
      <c r="BM26" s="62">
        <f t="shared" si="16"/>
        <v>1.71875</v>
      </c>
      <c r="BN26" s="44" t="s">
        <v>38</v>
      </c>
      <c r="BQ26" s="62" t="str">
        <f t="shared" si="17"/>
        <v/>
      </c>
      <c r="BT26" s="62" t="str">
        <f t="shared" si="18"/>
        <v/>
      </c>
      <c r="BU26" s="44">
        <v>44</v>
      </c>
      <c r="BV26" s="44">
        <v>48</v>
      </c>
      <c r="BW26" s="62">
        <f t="shared" si="19"/>
        <v>1.0909090909090908</v>
      </c>
      <c r="BX26" s="44" t="s">
        <v>38</v>
      </c>
      <c r="BY26" s="44">
        <v>98.75</v>
      </c>
      <c r="BZ26" s="44">
        <v>210</v>
      </c>
      <c r="CA26" s="62">
        <f t="shared" si="20"/>
        <v>2.1265822784810124</v>
      </c>
      <c r="CB26" s="44">
        <v>23</v>
      </c>
      <c r="CC26" s="44">
        <v>54</v>
      </c>
      <c r="CD26" s="62">
        <f t="shared" si="21"/>
        <v>2.347826086956522</v>
      </c>
    </row>
    <row r="27" spans="1:82" x14ac:dyDescent="0.3">
      <c r="A27" s="49" t="s">
        <v>339</v>
      </c>
      <c r="B27" s="49" t="s">
        <v>104</v>
      </c>
      <c r="C27" s="44" t="s">
        <v>38</v>
      </c>
      <c r="D27" s="44">
        <v>836</v>
      </c>
      <c r="E27" s="44">
        <v>2571</v>
      </c>
      <c r="F27" s="62">
        <f t="shared" si="0"/>
        <v>3.0753588516746411</v>
      </c>
      <c r="G27" s="44" t="s">
        <v>38</v>
      </c>
      <c r="H27" s="44">
        <v>763</v>
      </c>
      <c r="I27" s="44">
        <v>2970</v>
      </c>
      <c r="J27" s="62">
        <f t="shared" si="1"/>
        <v>3.8925294888597639</v>
      </c>
      <c r="K27" s="44" t="s">
        <v>38</v>
      </c>
      <c r="L27" s="44">
        <v>1200</v>
      </c>
      <c r="M27" s="44">
        <v>3282</v>
      </c>
      <c r="N27" s="62">
        <f t="shared" si="2"/>
        <v>2.7349999999999999</v>
      </c>
      <c r="O27" s="44" t="s">
        <v>38</v>
      </c>
      <c r="P27" s="44">
        <v>1500</v>
      </c>
      <c r="Q27" s="44">
        <v>4615</v>
      </c>
      <c r="R27" s="62">
        <f t="shared" si="3"/>
        <v>3.0766666666666667</v>
      </c>
      <c r="S27" s="44" t="s">
        <v>38</v>
      </c>
      <c r="T27" s="44">
        <v>2153</v>
      </c>
      <c r="U27" s="44">
        <v>5536</v>
      </c>
      <c r="V27" s="62">
        <f t="shared" si="4"/>
        <v>2.5712958662331631</v>
      </c>
      <c r="W27" s="44">
        <v>1900</v>
      </c>
      <c r="X27" s="44">
        <v>4275</v>
      </c>
      <c r="Y27" s="62">
        <f t="shared" si="5"/>
        <v>2.25</v>
      </c>
      <c r="Z27" s="44">
        <v>1700</v>
      </c>
      <c r="AA27" s="44">
        <v>3766</v>
      </c>
      <c r="AB27" s="62">
        <f t="shared" si="6"/>
        <v>2.2152941176470589</v>
      </c>
      <c r="AC27" s="44" t="s">
        <v>38</v>
      </c>
      <c r="AD27" s="44">
        <v>1500</v>
      </c>
      <c r="AE27" s="44">
        <v>3943</v>
      </c>
      <c r="AF27" s="62">
        <f t="shared" si="7"/>
        <v>2.6286666666666667</v>
      </c>
      <c r="AG27" s="44">
        <v>1200</v>
      </c>
      <c r="AH27" s="44">
        <v>2711</v>
      </c>
      <c r="AI27" s="62">
        <f t="shared" si="8"/>
        <v>2.2591666666666668</v>
      </c>
      <c r="AJ27" s="44" t="s">
        <v>38</v>
      </c>
      <c r="AK27" s="44">
        <v>300</v>
      </c>
      <c r="AL27" s="44">
        <v>882</v>
      </c>
      <c r="AM27" s="62">
        <f t="shared" si="9"/>
        <v>2.94</v>
      </c>
      <c r="AN27" s="44" t="s">
        <v>38</v>
      </c>
      <c r="AO27" s="44">
        <v>250</v>
      </c>
      <c r="AP27" s="44">
        <v>781</v>
      </c>
      <c r="AQ27" s="62">
        <f t="shared" si="10"/>
        <v>3.1240000000000001</v>
      </c>
      <c r="AR27" s="44" t="s">
        <v>38</v>
      </c>
      <c r="AS27" s="44">
        <v>500</v>
      </c>
      <c r="AT27" s="44">
        <v>1563</v>
      </c>
      <c r="AU27" s="62">
        <f t="shared" si="11"/>
        <v>3.1259999999999999</v>
      </c>
      <c r="AV27" s="44" t="s">
        <v>38</v>
      </c>
      <c r="AW27" s="44">
        <v>351</v>
      </c>
      <c r="AX27" s="44">
        <v>1170</v>
      </c>
      <c r="AY27" s="62">
        <f t="shared" si="12"/>
        <v>3.3333333333333335</v>
      </c>
      <c r="AZ27" s="44" t="s">
        <v>38</v>
      </c>
      <c r="BA27" s="44">
        <v>525</v>
      </c>
      <c r="BB27" s="44">
        <v>1750</v>
      </c>
      <c r="BC27" s="62">
        <f t="shared" si="13"/>
        <v>3.3333333333333335</v>
      </c>
      <c r="BD27" s="44">
        <v>1154</v>
      </c>
      <c r="BE27" s="44">
        <v>3880</v>
      </c>
      <c r="BF27" s="62">
        <f t="shared" si="14"/>
        <v>3.3622183708838822</v>
      </c>
      <c r="BG27" s="44" t="s">
        <v>38</v>
      </c>
      <c r="BJ27" s="62" t="str">
        <f t="shared" si="15"/>
        <v/>
      </c>
      <c r="BK27" s="44">
        <v>1288</v>
      </c>
      <c r="BL27" s="44">
        <v>3823</v>
      </c>
      <c r="BM27" s="62">
        <f t="shared" si="16"/>
        <v>2.9681677018633539</v>
      </c>
      <c r="BN27" s="44" t="s">
        <v>38</v>
      </c>
      <c r="BO27" s="44">
        <v>640</v>
      </c>
      <c r="BP27" s="44">
        <v>2061</v>
      </c>
      <c r="BQ27" s="62">
        <f t="shared" si="17"/>
        <v>3.2203124999999999</v>
      </c>
      <c r="BR27" s="44">
        <v>703</v>
      </c>
      <c r="BS27" s="44">
        <v>1824</v>
      </c>
      <c r="BT27" s="62">
        <f t="shared" si="18"/>
        <v>2.5945945945945947</v>
      </c>
      <c r="BU27" s="44">
        <v>906</v>
      </c>
      <c r="BV27" s="44">
        <v>2690</v>
      </c>
      <c r="BW27" s="62">
        <f t="shared" si="19"/>
        <v>2.9690949227373067</v>
      </c>
      <c r="BX27" s="44" t="s">
        <v>38</v>
      </c>
      <c r="BY27" s="44">
        <v>1383</v>
      </c>
      <c r="BZ27" s="44">
        <v>5104</v>
      </c>
      <c r="CA27" s="62">
        <f t="shared" si="20"/>
        <v>3.6905278380332609</v>
      </c>
      <c r="CB27" s="44">
        <v>1571</v>
      </c>
      <c r="CC27" s="44">
        <v>6015</v>
      </c>
      <c r="CD27" s="62">
        <f t="shared" si="21"/>
        <v>3.8287714831317632</v>
      </c>
    </row>
    <row r="28" spans="1:82" x14ac:dyDescent="0.3">
      <c r="A28" s="49" t="s">
        <v>1</v>
      </c>
      <c r="B28" s="49" t="s">
        <v>104</v>
      </c>
      <c r="C28" s="44" t="s">
        <v>38</v>
      </c>
      <c r="D28" s="44">
        <v>31848</v>
      </c>
      <c r="E28" s="44">
        <v>5521</v>
      </c>
      <c r="F28" s="62">
        <f t="shared" si="0"/>
        <v>0.17335468475257473</v>
      </c>
      <c r="G28" s="44" t="s">
        <v>38</v>
      </c>
      <c r="H28" s="44">
        <v>34088</v>
      </c>
      <c r="I28" s="44">
        <v>4685</v>
      </c>
      <c r="J28" s="62">
        <f t="shared" si="1"/>
        <v>0.13743839474301808</v>
      </c>
      <c r="K28" s="44" t="s">
        <v>38</v>
      </c>
      <c r="L28" s="44">
        <v>29750</v>
      </c>
      <c r="M28" s="44">
        <v>4068</v>
      </c>
      <c r="N28" s="62">
        <f t="shared" si="2"/>
        <v>0.13673949579831932</v>
      </c>
      <c r="O28" s="44" t="s">
        <v>38</v>
      </c>
      <c r="P28" s="44">
        <v>27000</v>
      </c>
      <c r="Q28" s="44">
        <v>6231</v>
      </c>
      <c r="R28" s="62">
        <f t="shared" si="3"/>
        <v>0.23077777777777778</v>
      </c>
      <c r="S28" s="44" t="s">
        <v>38</v>
      </c>
      <c r="T28" s="44">
        <v>45000</v>
      </c>
      <c r="U28" s="44">
        <v>7643</v>
      </c>
      <c r="V28" s="62">
        <f t="shared" si="4"/>
        <v>0.16984444444444444</v>
      </c>
      <c r="W28" s="44">
        <v>50000</v>
      </c>
      <c r="X28" s="44">
        <v>7812</v>
      </c>
      <c r="Y28" s="62">
        <f t="shared" si="5"/>
        <v>0.15623999999999999</v>
      </c>
      <c r="Z28" s="44">
        <v>61000</v>
      </c>
      <c r="AA28" s="44">
        <v>11262</v>
      </c>
      <c r="AB28" s="62">
        <f t="shared" si="6"/>
        <v>0.18462295081967214</v>
      </c>
      <c r="AC28" s="44" t="s">
        <v>38</v>
      </c>
      <c r="AD28" s="44">
        <v>70000</v>
      </c>
      <c r="AE28" s="44">
        <v>9721</v>
      </c>
      <c r="AF28" s="62">
        <f t="shared" si="7"/>
        <v>0.13887142857142856</v>
      </c>
      <c r="AG28" s="44">
        <v>55000</v>
      </c>
      <c r="AH28" s="44">
        <v>7639</v>
      </c>
      <c r="AI28" s="62">
        <f t="shared" si="8"/>
        <v>0.13889090909090909</v>
      </c>
      <c r="AJ28" s="44" t="s">
        <v>38</v>
      </c>
      <c r="AK28" s="44">
        <v>32000</v>
      </c>
      <c r="AL28" s="44">
        <v>5647</v>
      </c>
      <c r="AM28" s="62">
        <f t="shared" si="9"/>
        <v>0.17646875000000001</v>
      </c>
      <c r="AN28" s="44" t="s">
        <v>38</v>
      </c>
      <c r="AO28" s="44">
        <v>91000</v>
      </c>
      <c r="AP28" s="44">
        <v>17062</v>
      </c>
      <c r="AQ28" s="62">
        <f t="shared" si="10"/>
        <v>0.1874945054945055</v>
      </c>
      <c r="AR28" s="44" t="s">
        <v>38</v>
      </c>
      <c r="AS28" s="44">
        <v>50000</v>
      </c>
      <c r="AT28" s="44">
        <v>12500</v>
      </c>
      <c r="AU28" s="62">
        <f t="shared" si="11"/>
        <v>0.25</v>
      </c>
      <c r="AV28" s="44" t="s">
        <v>38</v>
      </c>
      <c r="AW28" s="44">
        <v>34300</v>
      </c>
      <c r="AX28" s="44">
        <v>10764</v>
      </c>
      <c r="AY28" s="62">
        <f t="shared" si="12"/>
        <v>0.31381924198250727</v>
      </c>
      <c r="AZ28" s="44" t="s">
        <v>38</v>
      </c>
      <c r="BA28" s="44">
        <v>26000</v>
      </c>
      <c r="BB28" s="44">
        <v>6466</v>
      </c>
      <c r="BC28" s="62">
        <f t="shared" si="13"/>
        <v>0.24869230769230768</v>
      </c>
      <c r="BD28" s="44">
        <v>14000</v>
      </c>
      <c r="BE28" s="44">
        <v>3067</v>
      </c>
      <c r="BF28" s="62">
        <f t="shared" si="14"/>
        <v>0.21907142857142858</v>
      </c>
      <c r="BG28" s="44" t="s">
        <v>38</v>
      </c>
      <c r="BH28" s="44">
        <v>2372</v>
      </c>
      <c r="BI28" s="44">
        <v>586</v>
      </c>
      <c r="BJ28" s="62">
        <f t="shared" si="15"/>
        <v>0.24704890387858347</v>
      </c>
      <c r="BK28" s="44">
        <v>2568</v>
      </c>
      <c r="BL28" s="44">
        <v>2169</v>
      </c>
      <c r="BM28" s="62">
        <f t="shared" si="16"/>
        <v>0.84462616822429903</v>
      </c>
      <c r="BN28" s="44" t="s">
        <v>38</v>
      </c>
      <c r="BO28" s="44">
        <v>891</v>
      </c>
      <c r="BP28" s="44">
        <v>1938</v>
      </c>
      <c r="BQ28" s="62">
        <f t="shared" si="17"/>
        <v>2.1750841750841752</v>
      </c>
      <c r="BR28" s="44">
        <v>4391</v>
      </c>
      <c r="BS28" s="44">
        <v>1508</v>
      </c>
      <c r="BT28" s="62">
        <f t="shared" si="18"/>
        <v>0.34342974265543158</v>
      </c>
      <c r="BU28" s="44">
        <v>6730</v>
      </c>
      <c r="BV28" s="44">
        <v>2478.5</v>
      </c>
      <c r="BW28" s="62">
        <f t="shared" si="19"/>
        <v>0.36827637444279349</v>
      </c>
      <c r="BX28" s="44" t="s">
        <v>38</v>
      </c>
      <c r="BY28" s="44">
        <v>4392.5</v>
      </c>
      <c r="BZ28" s="44">
        <v>1452</v>
      </c>
      <c r="CA28" s="62">
        <f t="shared" si="20"/>
        <v>0.33056346044393853</v>
      </c>
      <c r="CB28" s="44">
        <v>2958.5</v>
      </c>
      <c r="CC28" s="44">
        <v>949.5</v>
      </c>
      <c r="CD28" s="62">
        <f t="shared" si="21"/>
        <v>0.32093966537096502</v>
      </c>
    </row>
    <row r="29" spans="1:82" x14ac:dyDescent="0.3">
      <c r="A29" s="53" t="s">
        <v>12</v>
      </c>
      <c r="B29" s="49" t="s">
        <v>104</v>
      </c>
      <c r="C29" s="44" t="s">
        <v>38</v>
      </c>
      <c r="D29" s="44">
        <v>1671</v>
      </c>
      <c r="E29" s="44">
        <v>4200</v>
      </c>
      <c r="F29" s="62">
        <f t="shared" si="0"/>
        <v>2.5134649910233393</v>
      </c>
      <c r="G29" s="44" t="s">
        <v>38</v>
      </c>
      <c r="H29" s="44">
        <v>7232</v>
      </c>
      <c r="I29" s="44">
        <v>1298</v>
      </c>
      <c r="J29" s="62">
        <f t="shared" si="1"/>
        <v>0.17948008849557523</v>
      </c>
      <c r="K29" s="44" t="s">
        <v>38</v>
      </c>
      <c r="L29" s="44">
        <v>4063</v>
      </c>
      <c r="M29" s="44">
        <v>2222</v>
      </c>
      <c r="N29" s="62">
        <f t="shared" si="2"/>
        <v>0.54688653704159484</v>
      </c>
      <c r="O29" s="44" t="s">
        <v>38</v>
      </c>
      <c r="P29" s="44">
        <v>4400</v>
      </c>
      <c r="Q29" s="44">
        <v>2646</v>
      </c>
      <c r="R29" s="62">
        <f t="shared" si="3"/>
        <v>0.60136363636363632</v>
      </c>
      <c r="S29" s="44" t="s">
        <v>38</v>
      </c>
      <c r="T29" s="44">
        <v>5100</v>
      </c>
      <c r="U29" s="44">
        <v>2950</v>
      </c>
      <c r="V29" s="62">
        <f t="shared" si="4"/>
        <v>0.57843137254901966</v>
      </c>
      <c r="W29" s="44">
        <v>4200</v>
      </c>
      <c r="X29" s="44">
        <v>2100</v>
      </c>
      <c r="Y29" s="62">
        <f t="shared" si="5"/>
        <v>0.5</v>
      </c>
      <c r="Z29" s="44">
        <v>3750</v>
      </c>
      <c r="AA29" s="44">
        <v>2308</v>
      </c>
      <c r="AB29" s="62">
        <f t="shared" si="6"/>
        <v>0.61546666666666672</v>
      </c>
      <c r="AC29" s="44" t="s">
        <v>38</v>
      </c>
      <c r="AD29" s="44">
        <v>3050</v>
      </c>
      <c r="AE29" s="44">
        <v>1694</v>
      </c>
      <c r="AF29" s="62">
        <f t="shared" si="7"/>
        <v>0.55540983606557381</v>
      </c>
      <c r="AG29" s="44">
        <v>2600</v>
      </c>
      <c r="AH29" s="44">
        <v>1444</v>
      </c>
      <c r="AI29" s="62">
        <f t="shared" si="8"/>
        <v>0.55538461538461537</v>
      </c>
      <c r="AJ29" s="44" t="s">
        <v>38</v>
      </c>
      <c r="AK29" s="44">
        <v>1475</v>
      </c>
      <c r="AL29" s="44">
        <v>947</v>
      </c>
      <c r="AM29" s="62">
        <f t="shared" si="9"/>
        <v>0.64203389830508473</v>
      </c>
      <c r="AN29" s="44" t="s">
        <v>38</v>
      </c>
      <c r="AO29" s="54">
        <v>610</v>
      </c>
      <c r="AP29" s="44">
        <v>403</v>
      </c>
      <c r="AQ29" s="62">
        <f t="shared" si="10"/>
        <v>0.66065573770491803</v>
      </c>
      <c r="AU29" s="62" t="str">
        <f t="shared" si="11"/>
        <v/>
      </c>
      <c r="AY29" s="62" t="str">
        <f t="shared" si="12"/>
        <v/>
      </c>
      <c r="BC29" s="62" t="str">
        <f t="shared" si="13"/>
        <v/>
      </c>
      <c r="BF29" s="62" t="str">
        <f t="shared" si="14"/>
        <v/>
      </c>
      <c r="BG29" s="44" t="s">
        <v>38</v>
      </c>
      <c r="BH29" s="44">
        <v>501</v>
      </c>
      <c r="BI29" s="44">
        <v>752</v>
      </c>
      <c r="BJ29" s="62">
        <f t="shared" si="15"/>
        <v>1.5009980039920159</v>
      </c>
      <c r="BK29" s="44">
        <v>687</v>
      </c>
      <c r="BL29" s="44">
        <v>485</v>
      </c>
      <c r="BM29" s="62">
        <f t="shared" si="16"/>
        <v>0.70596797671033484</v>
      </c>
      <c r="BQ29" s="62" t="str">
        <f t="shared" si="17"/>
        <v/>
      </c>
      <c r="BT29" s="62" t="str">
        <f t="shared" si="18"/>
        <v/>
      </c>
      <c r="BW29" s="62" t="str">
        <f t="shared" si="19"/>
        <v/>
      </c>
      <c r="CA29" s="62" t="str">
        <f t="shared" si="20"/>
        <v/>
      </c>
      <c r="CD29" s="62" t="str">
        <f t="shared" si="21"/>
        <v/>
      </c>
    </row>
    <row r="30" spans="1:82" x14ac:dyDescent="0.3">
      <c r="A30" s="53" t="s">
        <v>340</v>
      </c>
      <c r="B30" s="49" t="s">
        <v>104</v>
      </c>
      <c r="C30" s="44" t="s">
        <v>38</v>
      </c>
      <c r="D30" s="44">
        <v>2142</v>
      </c>
      <c r="E30" s="44">
        <v>1129</v>
      </c>
      <c r="F30" s="62">
        <f t="shared" si="0"/>
        <v>0.52707749766573297</v>
      </c>
      <c r="G30" s="44" t="s">
        <v>38</v>
      </c>
      <c r="H30" s="44">
        <v>2083</v>
      </c>
      <c r="I30" s="44">
        <v>1806</v>
      </c>
      <c r="J30" s="62">
        <f t="shared" si="1"/>
        <v>0.86701872299567928</v>
      </c>
      <c r="K30" s="44" t="s">
        <v>38</v>
      </c>
      <c r="L30" s="44">
        <v>6000</v>
      </c>
      <c r="M30" s="44">
        <v>2051</v>
      </c>
      <c r="N30" s="62">
        <f t="shared" si="2"/>
        <v>0.34183333333333332</v>
      </c>
      <c r="O30" s="44" t="s">
        <v>38</v>
      </c>
      <c r="P30" s="44">
        <v>5780</v>
      </c>
      <c r="Q30" s="44">
        <v>2223</v>
      </c>
      <c r="R30" s="62">
        <f t="shared" si="3"/>
        <v>0.38460207612456748</v>
      </c>
      <c r="S30" s="44" t="s">
        <v>38</v>
      </c>
      <c r="T30" s="44">
        <v>6700</v>
      </c>
      <c r="U30" s="44">
        <v>2393</v>
      </c>
      <c r="V30" s="62">
        <f t="shared" si="4"/>
        <v>0.35716417910447762</v>
      </c>
      <c r="W30" s="44">
        <v>6000</v>
      </c>
      <c r="X30" s="44">
        <v>2250</v>
      </c>
      <c r="Y30" s="62">
        <f t="shared" si="5"/>
        <v>0.375</v>
      </c>
      <c r="Z30" s="44">
        <v>5100</v>
      </c>
      <c r="AA30" s="44">
        <v>1883</v>
      </c>
      <c r="AB30" s="62">
        <f t="shared" si="6"/>
        <v>0.36921568627450979</v>
      </c>
      <c r="AC30" s="44" t="s">
        <v>38</v>
      </c>
      <c r="AD30" s="44">
        <v>5500</v>
      </c>
      <c r="AE30" s="44">
        <v>1833</v>
      </c>
      <c r="AF30" s="62">
        <f t="shared" si="7"/>
        <v>0.33327272727272728</v>
      </c>
      <c r="AG30" s="44">
        <v>4465</v>
      </c>
      <c r="AH30" s="44">
        <v>1489</v>
      </c>
      <c r="AI30" s="62">
        <f t="shared" si="8"/>
        <v>0.33348264277715567</v>
      </c>
      <c r="AJ30" s="44" t="s">
        <v>38</v>
      </c>
      <c r="AK30" s="44">
        <v>3031</v>
      </c>
      <c r="AL30" s="44">
        <v>1531</v>
      </c>
      <c r="AM30" s="62">
        <f t="shared" si="9"/>
        <v>0.50511382382052128</v>
      </c>
      <c r="AN30" s="44" t="s">
        <v>38</v>
      </c>
      <c r="AO30" s="44">
        <v>4390</v>
      </c>
      <c r="AP30" s="44">
        <v>2149</v>
      </c>
      <c r="AQ30" s="62">
        <f t="shared" si="10"/>
        <v>0.48952164009111615</v>
      </c>
      <c r="AR30" s="44" t="s">
        <v>38</v>
      </c>
      <c r="AS30" s="44">
        <v>1765</v>
      </c>
      <c r="AT30" s="44">
        <v>1100</v>
      </c>
      <c r="AU30" s="62">
        <f t="shared" si="11"/>
        <v>0.62322946175637395</v>
      </c>
      <c r="AV30" s="44" t="s">
        <v>38</v>
      </c>
      <c r="AW30" s="44">
        <v>1560</v>
      </c>
      <c r="AX30" s="44">
        <v>815</v>
      </c>
      <c r="AY30" s="62">
        <f t="shared" si="12"/>
        <v>0.52243589743589747</v>
      </c>
      <c r="AZ30" s="44" t="s">
        <v>38</v>
      </c>
      <c r="BA30" s="44">
        <v>765</v>
      </c>
      <c r="BB30" s="44">
        <v>808</v>
      </c>
      <c r="BC30" s="62">
        <f t="shared" si="13"/>
        <v>1.0562091503267974</v>
      </c>
      <c r="BD30" s="44">
        <v>1460</v>
      </c>
      <c r="BE30" s="44">
        <v>1039</v>
      </c>
      <c r="BF30" s="62">
        <f t="shared" si="14"/>
        <v>0.7116438356164384</v>
      </c>
      <c r="BG30" s="44" t="s">
        <v>38</v>
      </c>
      <c r="BJ30" s="62" t="str">
        <f t="shared" si="15"/>
        <v/>
      </c>
      <c r="BK30" s="44">
        <v>21</v>
      </c>
      <c r="BL30" s="44">
        <v>162</v>
      </c>
      <c r="BM30" s="62">
        <f t="shared" si="16"/>
        <v>7.7142857142857144</v>
      </c>
      <c r="BN30" s="44" t="s">
        <v>38</v>
      </c>
      <c r="BO30" s="44">
        <v>12</v>
      </c>
      <c r="BP30" s="44">
        <v>14</v>
      </c>
      <c r="BQ30" s="62">
        <f t="shared" si="17"/>
        <v>1.1666666666666667</v>
      </c>
      <c r="BR30" s="44">
        <v>14.75</v>
      </c>
      <c r="BS30" s="44">
        <v>14</v>
      </c>
      <c r="BT30" s="62">
        <f t="shared" si="18"/>
        <v>0.94915254237288138</v>
      </c>
      <c r="BU30" s="44">
        <v>8.5</v>
      </c>
      <c r="BV30" s="44">
        <v>13</v>
      </c>
      <c r="BW30" s="62">
        <f t="shared" si="19"/>
        <v>1.5294117647058822</v>
      </c>
      <c r="BX30" s="44" t="s">
        <v>38</v>
      </c>
      <c r="BY30" s="44">
        <v>16.25</v>
      </c>
      <c r="BZ30" s="44">
        <v>26</v>
      </c>
      <c r="CA30" s="62">
        <f t="shared" si="20"/>
        <v>1.6</v>
      </c>
      <c r="CB30" s="44">
        <v>25.5</v>
      </c>
      <c r="CC30" s="44">
        <v>62</v>
      </c>
      <c r="CD30" s="62">
        <f t="shared" si="21"/>
        <v>2.4313725490196076</v>
      </c>
    </row>
    <row r="31" spans="1:82" x14ac:dyDescent="0.3">
      <c r="A31" s="53" t="s">
        <v>13</v>
      </c>
      <c r="B31" s="49" t="s">
        <v>104</v>
      </c>
      <c r="C31" s="44" t="s">
        <v>38</v>
      </c>
      <c r="F31" s="62" t="str">
        <f t="shared" si="0"/>
        <v/>
      </c>
      <c r="J31" s="62" t="str">
        <f t="shared" si="1"/>
        <v/>
      </c>
      <c r="N31" s="62" t="str">
        <f t="shared" si="2"/>
        <v/>
      </c>
      <c r="R31" s="62" t="str">
        <f t="shared" si="3"/>
        <v/>
      </c>
      <c r="V31" s="62" t="str">
        <f t="shared" si="4"/>
        <v/>
      </c>
      <c r="Y31" s="62" t="str">
        <f t="shared" si="5"/>
        <v/>
      </c>
      <c r="AB31" s="62" t="str">
        <f t="shared" si="6"/>
        <v/>
      </c>
      <c r="AF31" s="62" t="str">
        <f t="shared" si="7"/>
        <v/>
      </c>
      <c r="AI31" s="62" t="str">
        <f t="shared" si="8"/>
        <v/>
      </c>
      <c r="AM31" s="62" t="str">
        <f t="shared" si="9"/>
        <v/>
      </c>
      <c r="AQ31" s="62" t="str">
        <f t="shared" si="10"/>
        <v/>
      </c>
      <c r="AU31" s="62" t="str">
        <f t="shared" si="11"/>
        <v/>
      </c>
      <c r="AY31" s="62" t="str">
        <f t="shared" si="12"/>
        <v/>
      </c>
      <c r="BC31" s="62" t="str">
        <f t="shared" si="13"/>
        <v/>
      </c>
      <c r="BF31" s="62" t="str">
        <f t="shared" si="14"/>
        <v/>
      </c>
      <c r="BG31" s="44" t="s">
        <v>38</v>
      </c>
      <c r="BH31" s="44">
        <v>524</v>
      </c>
      <c r="BI31" s="44">
        <v>694</v>
      </c>
      <c r="BJ31" s="62">
        <f t="shared" si="15"/>
        <v>1.3244274809160306</v>
      </c>
      <c r="BM31" s="62" t="str">
        <f t="shared" si="16"/>
        <v/>
      </c>
      <c r="BN31" s="44" t="s">
        <v>38</v>
      </c>
      <c r="BQ31" s="62" t="str">
        <f t="shared" si="17"/>
        <v/>
      </c>
      <c r="BR31" s="44">
        <v>14.75</v>
      </c>
      <c r="BS31" s="44">
        <v>5</v>
      </c>
      <c r="BT31" s="62">
        <f t="shared" si="18"/>
        <v>0.33898305084745761</v>
      </c>
      <c r="BU31" s="44">
        <v>10</v>
      </c>
      <c r="BV31" s="44">
        <v>2</v>
      </c>
      <c r="BW31" s="62">
        <f t="shared" si="19"/>
        <v>0.2</v>
      </c>
      <c r="BX31" s="44" t="s">
        <v>38</v>
      </c>
      <c r="BY31" s="44">
        <v>21.25</v>
      </c>
      <c r="BZ31" s="44">
        <v>6</v>
      </c>
      <c r="CA31" s="62">
        <f t="shared" si="20"/>
        <v>0.28235294117647058</v>
      </c>
      <c r="CB31" s="44">
        <v>38.75</v>
      </c>
      <c r="CC31" s="44">
        <v>17</v>
      </c>
      <c r="CD31" s="62">
        <f t="shared" si="21"/>
        <v>0.43870967741935485</v>
      </c>
    </row>
    <row r="32" spans="1:82" x14ac:dyDescent="0.3">
      <c r="A32" s="53" t="s">
        <v>59</v>
      </c>
      <c r="B32" s="49" t="s">
        <v>104</v>
      </c>
      <c r="C32" s="44" t="s">
        <v>38</v>
      </c>
      <c r="F32" s="62" t="str">
        <f t="shared" si="0"/>
        <v/>
      </c>
      <c r="J32" s="62" t="str">
        <f t="shared" si="1"/>
        <v/>
      </c>
      <c r="N32" s="62" t="str">
        <f t="shared" si="2"/>
        <v/>
      </c>
      <c r="R32" s="62" t="str">
        <f t="shared" si="3"/>
        <v/>
      </c>
      <c r="V32" s="62" t="str">
        <f t="shared" si="4"/>
        <v/>
      </c>
      <c r="Y32" s="62" t="str">
        <f t="shared" si="5"/>
        <v/>
      </c>
      <c r="AB32" s="62" t="str">
        <f t="shared" si="6"/>
        <v/>
      </c>
      <c r="AF32" s="62" t="str">
        <f t="shared" si="7"/>
        <v/>
      </c>
      <c r="AI32" s="62" t="str">
        <f t="shared" si="8"/>
        <v/>
      </c>
      <c r="AM32" s="62" t="str">
        <f t="shared" si="9"/>
        <v/>
      </c>
      <c r="AQ32" s="62" t="str">
        <f t="shared" si="10"/>
        <v/>
      </c>
      <c r="AU32" s="62" t="str">
        <f t="shared" si="11"/>
        <v/>
      </c>
      <c r="AY32" s="62" t="str">
        <f t="shared" si="12"/>
        <v/>
      </c>
      <c r="BC32" s="62" t="str">
        <f t="shared" si="13"/>
        <v/>
      </c>
      <c r="BF32" s="62" t="str">
        <f t="shared" si="14"/>
        <v/>
      </c>
      <c r="BJ32" s="62" t="str">
        <f t="shared" si="15"/>
        <v/>
      </c>
      <c r="BM32" s="62" t="str">
        <f t="shared" si="16"/>
        <v/>
      </c>
      <c r="BN32" s="44" t="s">
        <v>38</v>
      </c>
      <c r="BQ32" s="62" t="str">
        <f t="shared" si="17"/>
        <v/>
      </c>
      <c r="BR32" s="44">
        <v>78.5</v>
      </c>
      <c r="BS32" s="44">
        <v>182</v>
      </c>
      <c r="BT32" s="62">
        <f t="shared" si="18"/>
        <v>2.3184713375796178</v>
      </c>
      <c r="BU32" s="44">
        <v>95</v>
      </c>
      <c r="BV32" s="44">
        <v>199</v>
      </c>
      <c r="BW32" s="62">
        <f t="shared" si="19"/>
        <v>2.094736842105263</v>
      </c>
      <c r="BX32" s="44" t="s">
        <v>38</v>
      </c>
      <c r="BY32" s="44">
        <v>271.25</v>
      </c>
      <c r="BZ32" s="44">
        <v>893</v>
      </c>
      <c r="CA32" s="62">
        <f t="shared" si="20"/>
        <v>3.2921658986175113</v>
      </c>
      <c r="CB32" s="44">
        <v>371.5</v>
      </c>
      <c r="CC32" s="44">
        <v>1212</v>
      </c>
      <c r="CD32" s="62">
        <f t="shared" si="21"/>
        <v>3.262449528936743</v>
      </c>
    </row>
    <row r="33" spans="1:82" x14ac:dyDescent="0.3">
      <c r="A33" s="53" t="s">
        <v>60</v>
      </c>
      <c r="B33" s="49" t="s">
        <v>104</v>
      </c>
      <c r="C33" s="44" t="s">
        <v>38</v>
      </c>
      <c r="F33" s="62" t="str">
        <f t="shared" si="0"/>
        <v/>
      </c>
      <c r="J33" s="62" t="str">
        <f t="shared" si="1"/>
        <v/>
      </c>
      <c r="N33" s="62" t="str">
        <f t="shared" si="2"/>
        <v/>
      </c>
      <c r="R33" s="62" t="str">
        <f t="shared" si="3"/>
        <v/>
      </c>
      <c r="V33" s="62" t="str">
        <f t="shared" si="4"/>
        <v/>
      </c>
      <c r="Y33" s="62" t="str">
        <f t="shared" si="5"/>
        <v/>
      </c>
      <c r="AB33" s="62" t="str">
        <f t="shared" si="6"/>
        <v/>
      </c>
      <c r="AF33" s="62" t="str">
        <f t="shared" si="7"/>
        <v/>
      </c>
      <c r="AI33" s="62" t="str">
        <f t="shared" si="8"/>
        <v/>
      </c>
      <c r="AM33" s="62" t="str">
        <f t="shared" si="9"/>
        <v/>
      </c>
      <c r="AQ33" s="62" t="str">
        <f t="shared" si="10"/>
        <v/>
      </c>
      <c r="AU33" s="62" t="str">
        <f t="shared" si="11"/>
        <v/>
      </c>
      <c r="AY33" s="62" t="str">
        <f t="shared" si="12"/>
        <v/>
      </c>
      <c r="BC33" s="62" t="str">
        <f t="shared" si="13"/>
        <v/>
      </c>
      <c r="BF33" s="62" t="str">
        <f t="shared" si="14"/>
        <v/>
      </c>
      <c r="BJ33" s="62" t="str">
        <f t="shared" si="15"/>
        <v/>
      </c>
      <c r="BM33" s="62" t="str">
        <f t="shared" si="16"/>
        <v/>
      </c>
      <c r="BN33" s="44" t="s">
        <v>38</v>
      </c>
      <c r="BO33" s="44">
        <v>2234</v>
      </c>
      <c r="BP33" s="44">
        <v>219</v>
      </c>
      <c r="BQ33" s="62">
        <f t="shared" si="17"/>
        <v>9.8030438675022383E-2</v>
      </c>
      <c r="BT33" s="62" t="str">
        <f t="shared" si="18"/>
        <v/>
      </c>
      <c r="BU33" s="44">
        <v>353</v>
      </c>
      <c r="BV33" s="44">
        <v>38</v>
      </c>
      <c r="BW33" s="62">
        <f t="shared" si="19"/>
        <v>0.10764872521246459</v>
      </c>
      <c r="BX33" s="44" t="s">
        <v>38</v>
      </c>
      <c r="BY33" s="44">
        <v>35</v>
      </c>
      <c r="BZ33" s="44">
        <v>7</v>
      </c>
      <c r="CA33" s="62">
        <f t="shared" si="20"/>
        <v>0.2</v>
      </c>
      <c r="CB33" s="44">
        <v>7</v>
      </c>
      <c r="CC33" s="44">
        <v>2</v>
      </c>
      <c r="CD33" s="62">
        <f t="shared" si="21"/>
        <v>0.2857142857142857</v>
      </c>
    </row>
    <row r="34" spans="1:82" x14ac:dyDescent="0.3">
      <c r="A34" s="53" t="s">
        <v>14</v>
      </c>
      <c r="B34" s="49" t="s">
        <v>104</v>
      </c>
      <c r="C34" s="44" t="s">
        <v>38</v>
      </c>
      <c r="D34" s="44">
        <v>9600</v>
      </c>
      <c r="E34" s="44">
        <v>4929</v>
      </c>
      <c r="F34" s="62">
        <f t="shared" si="0"/>
        <v>0.51343749999999999</v>
      </c>
      <c r="G34" s="44" t="s">
        <v>38</v>
      </c>
      <c r="H34" s="44">
        <v>11040</v>
      </c>
      <c r="I34" s="44">
        <v>5357</v>
      </c>
      <c r="J34" s="62">
        <f t="shared" si="1"/>
        <v>0.48523550724637682</v>
      </c>
      <c r="K34" s="44" t="s">
        <v>38</v>
      </c>
      <c r="L34" s="44">
        <v>6950</v>
      </c>
      <c r="M34" s="44">
        <v>5703</v>
      </c>
      <c r="N34" s="62">
        <f t="shared" si="2"/>
        <v>0.82057553956834528</v>
      </c>
      <c r="O34" s="44" t="s">
        <v>38</v>
      </c>
      <c r="P34" s="44">
        <v>5879</v>
      </c>
      <c r="Q34" s="44">
        <v>5426</v>
      </c>
      <c r="R34" s="62">
        <f t="shared" si="3"/>
        <v>0.92294607926518113</v>
      </c>
      <c r="S34" s="44" t="s">
        <v>38</v>
      </c>
      <c r="T34" s="44">
        <v>5308</v>
      </c>
      <c r="U34" s="44">
        <v>4550</v>
      </c>
      <c r="V34" s="62">
        <f t="shared" si="4"/>
        <v>0.85719668425018836</v>
      </c>
      <c r="W34" s="44">
        <v>5000</v>
      </c>
      <c r="X34" s="44">
        <v>4056</v>
      </c>
      <c r="Y34" s="62">
        <f t="shared" si="5"/>
        <v>0.81120000000000003</v>
      </c>
      <c r="Z34" s="44">
        <v>3657</v>
      </c>
      <c r="AA34" s="44">
        <v>3151</v>
      </c>
      <c r="AB34" s="62">
        <f t="shared" si="6"/>
        <v>0.86163522012578619</v>
      </c>
      <c r="AC34" s="44" t="s">
        <v>38</v>
      </c>
      <c r="AD34" s="44">
        <v>3325</v>
      </c>
      <c r="AE34" s="44">
        <v>2585</v>
      </c>
      <c r="AF34" s="62">
        <f t="shared" si="7"/>
        <v>0.77744360902255638</v>
      </c>
      <c r="AG34" s="44">
        <v>3371</v>
      </c>
      <c r="AH34" s="44">
        <v>2247</v>
      </c>
      <c r="AI34" s="62">
        <f t="shared" si="8"/>
        <v>0.66656778404034411</v>
      </c>
      <c r="AJ34" s="44" t="s">
        <v>38</v>
      </c>
      <c r="AK34" s="44">
        <v>2200</v>
      </c>
      <c r="AL34" s="44">
        <v>1341</v>
      </c>
      <c r="AM34" s="62">
        <f t="shared" si="9"/>
        <v>0.6095454545454545</v>
      </c>
      <c r="AQ34" s="62" t="str">
        <f t="shared" si="10"/>
        <v/>
      </c>
      <c r="AU34" s="62" t="str">
        <f t="shared" si="11"/>
        <v/>
      </c>
      <c r="AY34" s="62" t="str">
        <f t="shared" si="12"/>
        <v/>
      </c>
      <c r="BC34" s="62" t="str">
        <f t="shared" si="13"/>
        <v/>
      </c>
      <c r="BF34" s="62" t="str">
        <f t="shared" si="14"/>
        <v/>
      </c>
      <c r="BG34" s="44" t="s">
        <v>38</v>
      </c>
      <c r="BH34" s="44">
        <v>2511</v>
      </c>
      <c r="BI34" s="44">
        <v>1050</v>
      </c>
      <c r="BJ34" s="62">
        <f t="shared" si="15"/>
        <v>0.41816009557945044</v>
      </c>
      <c r="BK34" s="44">
        <v>1872</v>
      </c>
      <c r="BL34" s="44">
        <v>1507</v>
      </c>
      <c r="BM34" s="62">
        <f t="shared" si="16"/>
        <v>0.80502136752136755</v>
      </c>
      <c r="BN34" s="44" t="s">
        <v>38</v>
      </c>
      <c r="BO34" s="44">
        <v>1984</v>
      </c>
      <c r="BP34" s="44">
        <v>993</v>
      </c>
      <c r="BQ34" s="62">
        <f t="shared" si="17"/>
        <v>0.5005040322580645</v>
      </c>
      <c r="BR34" s="44">
        <v>2891.75</v>
      </c>
      <c r="BS34" s="44">
        <v>2088.5</v>
      </c>
      <c r="BT34" s="62">
        <f t="shared" si="18"/>
        <v>0.72222702515777648</v>
      </c>
      <c r="BU34" s="44">
        <v>943</v>
      </c>
      <c r="BV34" s="44">
        <v>373.5</v>
      </c>
      <c r="BW34" s="62">
        <f t="shared" si="19"/>
        <v>0.39607635206786851</v>
      </c>
      <c r="BX34" s="44" t="s">
        <v>38</v>
      </c>
      <c r="BY34" s="44">
        <v>1404</v>
      </c>
      <c r="BZ34" s="44">
        <v>1691.5</v>
      </c>
      <c r="CA34" s="62">
        <f t="shared" si="20"/>
        <v>1.2047720797720798</v>
      </c>
      <c r="CB34" s="44">
        <v>1223</v>
      </c>
      <c r="CC34" s="44">
        <v>1015</v>
      </c>
      <c r="CD34" s="62">
        <f t="shared" si="21"/>
        <v>0.82992641046606708</v>
      </c>
    </row>
    <row r="35" spans="1:82" x14ac:dyDescent="0.3">
      <c r="A35" s="53" t="s">
        <v>157</v>
      </c>
      <c r="B35" s="49" t="s">
        <v>104</v>
      </c>
      <c r="C35" s="44" t="s">
        <v>38</v>
      </c>
      <c r="F35" s="62" t="str">
        <f t="shared" si="0"/>
        <v/>
      </c>
      <c r="J35" s="62" t="str">
        <f t="shared" si="1"/>
        <v/>
      </c>
      <c r="N35" s="62" t="str">
        <f t="shared" si="2"/>
        <v/>
      </c>
      <c r="R35" s="62" t="str">
        <f t="shared" si="3"/>
        <v/>
      </c>
      <c r="V35" s="62" t="str">
        <f t="shared" si="4"/>
        <v/>
      </c>
      <c r="Y35" s="62" t="str">
        <f t="shared" si="5"/>
        <v/>
      </c>
      <c r="AB35" s="62" t="str">
        <f t="shared" si="6"/>
        <v/>
      </c>
      <c r="AF35" s="62" t="str">
        <f t="shared" si="7"/>
        <v/>
      </c>
      <c r="AI35" s="62" t="str">
        <f t="shared" si="8"/>
        <v/>
      </c>
      <c r="AM35" s="62" t="str">
        <f t="shared" si="9"/>
        <v/>
      </c>
      <c r="AN35" s="44" t="s">
        <v>38</v>
      </c>
      <c r="AO35" s="44">
        <v>360</v>
      </c>
      <c r="AP35" s="44">
        <v>270</v>
      </c>
      <c r="AQ35" s="62">
        <f t="shared" si="10"/>
        <v>0.75</v>
      </c>
      <c r="AR35" s="44" t="s">
        <v>38</v>
      </c>
      <c r="AS35" s="44">
        <v>300</v>
      </c>
      <c r="AT35" s="44">
        <v>281</v>
      </c>
      <c r="AU35" s="62">
        <f t="shared" si="11"/>
        <v>0.93666666666666665</v>
      </c>
      <c r="AV35" s="44" t="s">
        <v>38</v>
      </c>
      <c r="AW35" s="44">
        <v>1200</v>
      </c>
      <c r="AX35" s="44">
        <v>1200</v>
      </c>
      <c r="AY35" s="62">
        <f t="shared" si="12"/>
        <v>1</v>
      </c>
      <c r="AZ35" s="44" t="s">
        <v>38</v>
      </c>
      <c r="BA35" s="44">
        <v>500</v>
      </c>
      <c r="BB35" s="44">
        <v>500</v>
      </c>
      <c r="BC35" s="62">
        <f t="shared" si="13"/>
        <v>1</v>
      </c>
      <c r="BF35" s="62" t="str">
        <f t="shared" si="14"/>
        <v/>
      </c>
      <c r="BJ35" s="62" t="str">
        <f t="shared" si="15"/>
        <v/>
      </c>
      <c r="BM35" s="62" t="str">
        <f t="shared" si="16"/>
        <v/>
      </c>
      <c r="BQ35" s="62" t="str">
        <f t="shared" si="17"/>
        <v/>
      </c>
      <c r="BT35" s="62" t="str">
        <f t="shared" si="18"/>
        <v/>
      </c>
      <c r="BW35" s="62" t="str">
        <f t="shared" si="19"/>
        <v/>
      </c>
      <c r="CA35" s="62" t="str">
        <f t="shared" si="20"/>
        <v/>
      </c>
      <c r="CD35" s="62" t="str">
        <f t="shared" si="21"/>
        <v/>
      </c>
    </row>
    <row r="36" spans="1:82" x14ac:dyDescent="0.3">
      <c r="A36" s="53" t="s">
        <v>236</v>
      </c>
      <c r="B36" s="49" t="s">
        <v>104</v>
      </c>
      <c r="C36" s="44" t="s">
        <v>38</v>
      </c>
      <c r="F36" s="62" t="str">
        <f t="shared" si="0"/>
        <v/>
      </c>
      <c r="J36" s="62" t="str">
        <f t="shared" si="1"/>
        <v/>
      </c>
      <c r="N36" s="62" t="str">
        <f t="shared" si="2"/>
        <v/>
      </c>
      <c r="R36" s="62" t="str">
        <f t="shared" si="3"/>
        <v/>
      </c>
      <c r="V36" s="62" t="str">
        <f t="shared" si="4"/>
        <v/>
      </c>
      <c r="Y36" s="62" t="str">
        <f t="shared" si="5"/>
        <v/>
      </c>
      <c r="AB36" s="62" t="str">
        <f t="shared" si="6"/>
        <v/>
      </c>
      <c r="AF36" s="62" t="str">
        <f t="shared" si="7"/>
        <v/>
      </c>
      <c r="AI36" s="62" t="str">
        <f t="shared" si="8"/>
        <v/>
      </c>
      <c r="AM36" s="62" t="str">
        <f t="shared" si="9"/>
        <v/>
      </c>
      <c r="AN36" s="44" t="s">
        <v>38</v>
      </c>
      <c r="AO36" s="44">
        <v>1500</v>
      </c>
      <c r="AP36" s="44">
        <v>656</v>
      </c>
      <c r="AQ36" s="62">
        <f t="shared" si="10"/>
        <v>0.43733333333333335</v>
      </c>
      <c r="AR36" s="44" t="s">
        <v>38</v>
      </c>
      <c r="AS36" s="44">
        <v>750</v>
      </c>
      <c r="AT36" s="44">
        <v>469</v>
      </c>
      <c r="AU36" s="62">
        <f t="shared" si="11"/>
        <v>0.6253333333333333</v>
      </c>
      <c r="AV36" s="44" t="s">
        <v>38</v>
      </c>
      <c r="AW36" s="44">
        <v>1500</v>
      </c>
      <c r="AX36" s="44">
        <v>1000</v>
      </c>
      <c r="AY36" s="62">
        <f t="shared" si="12"/>
        <v>0.66666666666666663</v>
      </c>
      <c r="AZ36" s="44" t="s">
        <v>38</v>
      </c>
      <c r="BA36" s="44">
        <v>600</v>
      </c>
      <c r="BB36" s="44">
        <v>400</v>
      </c>
      <c r="BC36" s="62">
        <f t="shared" si="13"/>
        <v>0.66666666666666663</v>
      </c>
      <c r="BF36" s="62" t="str">
        <f t="shared" si="14"/>
        <v/>
      </c>
      <c r="BJ36" s="62" t="str">
        <f t="shared" si="15"/>
        <v/>
      </c>
      <c r="BM36" s="62" t="str">
        <f t="shared" si="16"/>
        <v/>
      </c>
      <c r="BQ36" s="62" t="str">
        <f t="shared" si="17"/>
        <v/>
      </c>
      <c r="BT36" s="62" t="str">
        <f t="shared" si="18"/>
        <v/>
      </c>
      <c r="BW36" s="62" t="str">
        <f t="shared" si="19"/>
        <v/>
      </c>
      <c r="CA36" s="62" t="str">
        <f t="shared" si="20"/>
        <v/>
      </c>
      <c r="CD36" s="62" t="str">
        <f t="shared" si="21"/>
        <v/>
      </c>
    </row>
    <row r="37" spans="1:82" x14ac:dyDescent="0.3">
      <c r="A37" s="53" t="s">
        <v>237</v>
      </c>
      <c r="B37" s="49" t="s">
        <v>104</v>
      </c>
      <c r="C37" s="44" t="s">
        <v>38</v>
      </c>
      <c r="F37" s="62" t="str">
        <f t="shared" si="0"/>
        <v/>
      </c>
      <c r="J37" s="62" t="str">
        <f t="shared" si="1"/>
        <v/>
      </c>
      <c r="N37" s="62" t="str">
        <f t="shared" si="2"/>
        <v/>
      </c>
      <c r="R37" s="62" t="str">
        <f t="shared" si="3"/>
        <v/>
      </c>
      <c r="V37" s="62" t="str">
        <f t="shared" si="4"/>
        <v/>
      </c>
      <c r="Y37" s="62" t="str">
        <f t="shared" si="5"/>
        <v/>
      </c>
      <c r="AB37" s="62" t="str">
        <f t="shared" si="6"/>
        <v/>
      </c>
      <c r="AF37" s="62" t="str">
        <f t="shared" si="7"/>
        <v/>
      </c>
      <c r="AI37" s="62" t="str">
        <f t="shared" si="8"/>
        <v/>
      </c>
      <c r="AM37" s="62" t="str">
        <f t="shared" si="9"/>
        <v/>
      </c>
      <c r="AN37" s="44" t="s">
        <v>38</v>
      </c>
      <c r="AO37" s="44">
        <v>650</v>
      </c>
      <c r="AP37" s="44">
        <v>405</v>
      </c>
      <c r="AQ37" s="62">
        <f t="shared" si="10"/>
        <v>0.62307692307692308</v>
      </c>
      <c r="AR37" s="44" t="s">
        <v>38</v>
      </c>
      <c r="AS37" s="44">
        <v>530</v>
      </c>
      <c r="AT37" s="44">
        <v>331</v>
      </c>
      <c r="AU37" s="62">
        <f t="shared" si="11"/>
        <v>0.62452830188679243</v>
      </c>
      <c r="AV37" s="44" t="s">
        <v>38</v>
      </c>
      <c r="AW37" s="44">
        <v>750</v>
      </c>
      <c r="AX37" s="44">
        <v>500</v>
      </c>
      <c r="AY37" s="62">
        <f t="shared" si="12"/>
        <v>0.66666666666666663</v>
      </c>
      <c r="AZ37" s="44" t="s">
        <v>38</v>
      </c>
      <c r="BA37" s="44">
        <v>700</v>
      </c>
      <c r="BB37" s="44">
        <v>500</v>
      </c>
      <c r="BC37" s="62">
        <f t="shared" si="13"/>
        <v>0.7142857142857143</v>
      </c>
      <c r="BD37" s="44">
        <v>1200</v>
      </c>
      <c r="BE37" s="44">
        <v>800</v>
      </c>
      <c r="BF37" s="62">
        <f t="shared" si="14"/>
        <v>0.66666666666666663</v>
      </c>
      <c r="BJ37" s="62" t="str">
        <f t="shared" si="15"/>
        <v/>
      </c>
      <c r="BM37" s="62" t="str">
        <f t="shared" si="16"/>
        <v/>
      </c>
      <c r="BQ37" s="62" t="str">
        <f t="shared" si="17"/>
        <v/>
      </c>
      <c r="BT37" s="62" t="str">
        <f t="shared" si="18"/>
        <v/>
      </c>
      <c r="BW37" s="62" t="str">
        <f t="shared" si="19"/>
        <v/>
      </c>
      <c r="CA37" s="62" t="str">
        <f t="shared" si="20"/>
        <v/>
      </c>
      <c r="CD37" s="62" t="str">
        <f t="shared" si="21"/>
        <v/>
      </c>
    </row>
    <row r="38" spans="1:82" x14ac:dyDescent="0.3">
      <c r="A38" s="49" t="s">
        <v>15</v>
      </c>
      <c r="B38" s="49" t="s">
        <v>134</v>
      </c>
      <c r="C38" s="44" t="s">
        <v>36</v>
      </c>
      <c r="D38" s="44">
        <v>10164</v>
      </c>
      <c r="E38" s="44">
        <v>4964</v>
      </c>
      <c r="F38" s="62">
        <f t="shared" si="0"/>
        <v>0.48839039748130658</v>
      </c>
      <c r="G38" s="44" t="s">
        <v>36</v>
      </c>
      <c r="H38" s="44">
        <v>10506</v>
      </c>
      <c r="I38" s="44">
        <v>5056</v>
      </c>
      <c r="J38" s="62">
        <f t="shared" si="1"/>
        <v>0.48124881020369314</v>
      </c>
      <c r="K38" s="44" t="s">
        <v>36</v>
      </c>
      <c r="L38" s="44">
        <v>8500</v>
      </c>
      <c r="M38" s="44">
        <v>4650</v>
      </c>
      <c r="N38" s="62">
        <f t="shared" si="2"/>
        <v>0.54705882352941182</v>
      </c>
      <c r="O38" s="44" t="s">
        <v>36</v>
      </c>
      <c r="P38" s="44">
        <v>9750</v>
      </c>
      <c r="Q38" s="44">
        <v>6000</v>
      </c>
      <c r="R38" s="62">
        <f t="shared" si="3"/>
        <v>0.61538461538461542</v>
      </c>
      <c r="S38" s="44" t="s">
        <v>36</v>
      </c>
      <c r="T38" s="44">
        <v>10500</v>
      </c>
      <c r="U38" s="44">
        <v>6000</v>
      </c>
      <c r="V38" s="62">
        <f t="shared" si="4"/>
        <v>0.5714285714285714</v>
      </c>
      <c r="W38" s="44">
        <v>12800</v>
      </c>
      <c r="X38" s="44">
        <v>5600</v>
      </c>
      <c r="Y38" s="62">
        <f t="shared" si="5"/>
        <v>0.4375</v>
      </c>
      <c r="Z38" s="44">
        <v>9440</v>
      </c>
      <c r="AA38" s="44">
        <v>4647</v>
      </c>
      <c r="AB38" s="62">
        <f t="shared" si="6"/>
        <v>0.49226694915254238</v>
      </c>
      <c r="AC38" s="44" t="s">
        <v>36</v>
      </c>
      <c r="AD38" s="44">
        <v>8000</v>
      </c>
      <c r="AE38" s="44">
        <v>4000</v>
      </c>
      <c r="AF38" s="62">
        <f t="shared" si="7"/>
        <v>0.5</v>
      </c>
      <c r="AG38" s="44">
        <v>6850</v>
      </c>
      <c r="AH38" s="44">
        <v>3806</v>
      </c>
      <c r="AI38" s="62">
        <f t="shared" si="8"/>
        <v>0.55562043795620442</v>
      </c>
      <c r="AM38" s="62" t="str">
        <f t="shared" si="9"/>
        <v/>
      </c>
      <c r="AQ38" s="62" t="str">
        <f t="shared" si="10"/>
        <v/>
      </c>
      <c r="AU38" s="62" t="str">
        <f t="shared" si="11"/>
        <v/>
      </c>
      <c r="AY38" s="62" t="str">
        <f t="shared" si="12"/>
        <v/>
      </c>
      <c r="BC38" s="62" t="str">
        <f t="shared" si="13"/>
        <v/>
      </c>
      <c r="BF38" s="62" t="str">
        <f t="shared" si="14"/>
        <v/>
      </c>
      <c r="BJ38" s="62" t="str">
        <f t="shared" si="15"/>
        <v/>
      </c>
      <c r="BM38" s="62" t="str">
        <f t="shared" si="16"/>
        <v/>
      </c>
      <c r="BQ38" s="62" t="str">
        <f t="shared" si="17"/>
        <v/>
      </c>
      <c r="BT38" s="62" t="str">
        <f t="shared" si="18"/>
        <v/>
      </c>
      <c r="BW38" s="62" t="str">
        <f t="shared" si="19"/>
        <v/>
      </c>
      <c r="CA38" s="62" t="str">
        <f t="shared" si="20"/>
        <v/>
      </c>
      <c r="CD38" s="62" t="str">
        <f t="shared" si="21"/>
        <v/>
      </c>
    </row>
    <row r="39" spans="1:82" x14ac:dyDescent="0.3">
      <c r="A39" s="49" t="s">
        <v>132</v>
      </c>
      <c r="B39" s="49" t="s">
        <v>104</v>
      </c>
      <c r="C39" s="44" t="s">
        <v>38</v>
      </c>
      <c r="F39" s="62" t="str">
        <f t="shared" si="0"/>
        <v/>
      </c>
      <c r="J39" s="62" t="str">
        <f t="shared" si="1"/>
        <v/>
      </c>
      <c r="N39" s="62" t="str">
        <f t="shared" si="2"/>
        <v/>
      </c>
      <c r="R39" s="62" t="str">
        <f t="shared" si="3"/>
        <v/>
      </c>
      <c r="V39" s="62" t="str">
        <f t="shared" si="4"/>
        <v/>
      </c>
      <c r="Y39" s="62" t="str">
        <f t="shared" si="5"/>
        <v/>
      </c>
      <c r="AB39" s="62" t="str">
        <f t="shared" si="6"/>
        <v/>
      </c>
      <c r="AF39" s="62" t="str">
        <f t="shared" si="7"/>
        <v/>
      </c>
      <c r="AI39" s="62" t="str">
        <f t="shared" si="8"/>
        <v/>
      </c>
      <c r="AM39" s="62" t="str">
        <f t="shared" si="9"/>
        <v/>
      </c>
      <c r="AN39" s="44" t="s">
        <v>36</v>
      </c>
      <c r="AO39" s="44">
        <v>56</v>
      </c>
      <c r="AP39" s="44">
        <v>87</v>
      </c>
      <c r="AQ39" s="62">
        <f t="shared" si="10"/>
        <v>1.5535714285714286</v>
      </c>
      <c r="AR39" s="44" t="s">
        <v>36</v>
      </c>
      <c r="AS39" s="44">
        <v>30</v>
      </c>
      <c r="AT39" s="44">
        <v>58</v>
      </c>
      <c r="AU39" s="62">
        <f t="shared" si="11"/>
        <v>1.9333333333333333</v>
      </c>
      <c r="AV39" s="44" t="s">
        <v>38</v>
      </c>
      <c r="AW39" s="44">
        <v>1130</v>
      </c>
      <c r="AX39" s="44">
        <v>151</v>
      </c>
      <c r="AY39" s="62">
        <f t="shared" si="12"/>
        <v>0.13362831858407079</v>
      </c>
      <c r="AZ39" s="44" t="s">
        <v>38</v>
      </c>
      <c r="BA39" s="44">
        <v>3750</v>
      </c>
      <c r="BB39" s="44">
        <v>499</v>
      </c>
      <c r="BC39" s="62">
        <f t="shared" si="13"/>
        <v>0.13306666666666667</v>
      </c>
      <c r="BD39" s="44">
        <v>10500</v>
      </c>
      <c r="BE39" s="44">
        <v>1400</v>
      </c>
      <c r="BF39" s="62">
        <f t="shared" si="14"/>
        <v>0.13333333333333333</v>
      </c>
      <c r="BJ39" s="62" t="str">
        <f t="shared" si="15"/>
        <v/>
      </c>
      <c r="BM39" s="62" t="str">
        <f t="shared" si="16"/>
        <v/>
      </c>
      <c r="BQ39" s="62" t="str">
        <f t="shared" si="17"/>
        <v/>
      </c>
      <c r="BT39" s="62" t="str">
        <f t="shared" si="18"/>
        <v/>
      </c>
      <c r="BW39" s="62" t="str">
        <f t="shared" si="19"/>
        <v/>
      </c>
      <c r="CA39" s="62" t="str">
        <f t="shared" si="20"/>
        <v/>
      </c>
      <c r="CD39" s="62" t="str">
        <f t="shared" si="21"/>
        <v/>
      </c>
    </row>
    <row r="40" spans="1:82" x14ac:dyDescent="0.3">
      <c r="A40" s="49" t="s">
        <v>238</v>
      </c>
      <c r="B40" s="49" t="s">
        <v>104</v>
      </c>
      <c r="C40" s="44" t="s">
        <v>38</v>
      </c>
      <c r="F40" s="62" t="str">
        <f t="shared" si="0"/>
        <v/>
      </c>
      <c r="J40" s="62" t="str">
        <f t="shared" si="1"/>
        <v/>
      </c>
      <c r="N40" s="62" t="str">
        <f t="shared" si="2"/>
        <v/>
      </c>
      <c r="R40" s="62" t="str">
        <f t="shared" si="3"/>
        <v/>
      </c>
      <c r="V40" s="62" t="str">
        <f t="shared" si="4"/>
        <v/>
      </c>
      <c r="Y40" s="62" t="str">
        <f t="shared" si="5"/>
        <v/>
      </c>
      <c r="AB40" s="62" t="str">
        <f t="shared" si="6"/>
        <v/>
      </c>
      <c r="AF40" s="62" t="str">
        <f t="shared" si="7"/>
        <v/>
      </c>
      <c r="AI40" s="62" t="str">
        <f t="shared" si="8"/>
        <v/>
      </c>
      <c r="AM40" s="62" t="str">
        <f t="shared" si="9"/>
        <v/>
      </c>
      <c r="AQ40" s="62" t="str">
        <f t="shared" si="10"/>
        <v/>
      </c>
      <c r="AU40" s="62" t="str">
        <f t="shared" si="11"/>
        <v/>
      </c>
      <c r="AY40" s="62" t="str">
        <f t="shared" si="12"/>
        <v/>
      </c>
      <c r="BC40" s="62" t="str">
        <f t="shared" si="13"/>
        <v/>
      </c>
      <c r="BF40" s="62" t="str">
        <f t="shared" si="14"/>
        <v/>
      </c>
      <c r="BG40" s="44" t="s">
        <v>38</v>
      </c>
      <c r="BH40" s="44">
        <v>1732</v>
      </c>
      <c r="BI40" s="44">
        <v>303</v>
      </c>
      <c r="BJ40" s="62">
        <f t="shared" si="15"/>
        <v>0.17494226327944573</v>
      </c>
      <c r="BK40" s="44">
        <v>100</v>
      </c>
      <c r="BL40" s="44">
        <v>21</v>
      </c>
      <c r="BM40" s="62">
        <f t="shared" si="16"/>
        <v>0.21</v>
      </c>
      <c r="BN40" s="44" t="s">
        <v>38</v>
      </c>
      <c r="BO40" s="44">
        <v>1599</v>
      </c>
      <c r="BP40" s="44">
        <v>338</v>
      </c>
      <c r="BQ40" s="62">
        <f t="shared" si="17"/>
        <v>0.21138211382113822</v>
      </c>
      <c r="BR40" s="44">
        <v>1174</v>
      </c>
      <c r="BS40" s="44">
        <v>231</v>
      </c>
      <c r="BT40" s="62">
        <f t="shared" si="18"/>
        <v>0.19676320272572401</v>
      </c>
      <c r="BU40" s="44">
        <v>1894</v>
      </c>
      <c r="BV40" s="44">
        <v>306</v>
      </c>
      <c r="BW40" s="62">
        <f t="shared" si="19"/>
        <v>0.16156282998944033</v>
      </c>
      <c r="BX40" s="44" t="s">
        <v>38</v>
      </c>
      <c r="BY40" s="44">
        <v>4308.75</v>
      </c>
      <c r="BZ40" s="44">
        <v>944</v>
      </c>
      <c r="CA40" s="62">
        <f t="shared" si="20"/>
        <v>0.21908906295329272</v>
      </c>
      <c r="CB40" s="44">
        <v>1574</v>
      </c>
      <c r="CC40" s="44">
        <v>463</v>
      </c>
      <c r="CD40" s="62">
        <f t="shared" si="21"/>
        <v>0.29415501905972047</v>
      </c>
    </row>
    <row r="41" spans="1:82" x14ac:dyDescent="0.3">
      <c r="A41" s="49" t="s">
        <v>239</v>
      </c>
      <c r="B41" s="49" t="s">
        <v>104</v>
      </c>
      <c r="C41" s="44" t="s">
        <v>38</v>
      </c>
      <c r="F41" s="62" t="str">
        <f t="shared" si="0"/>
        <v/>
      </c>
      <c r="J41" s="62" t="str">
        <f t="shared" si="1"/>
        <v/>
      </c>
      <c r="N41" s="62" t="str">
        <f t="shared" si="2"/>
        <v/>
      </c>
      <c r="R41" s="62" t="str">
        <f t="shared" si="3"/>
        <v/>
      </c>
      <c r="V41" s="62" t="str">
        <f t="shared" si="4"/>
        <v/>
      </c>
      <c r="Y41" s="62" t="str">
        <f t="shared" si="5"/>
        <v/>
      </c>
      <c r="AB41" s="62" t="str">
        <f t="shared" si="6"/>
        <v/>
      </c>
      <c r="AF41" s="62" t="str">
        <f t="shared" si="7"/>
        <v/>
      </c>
      <c r="AI41" s="62" t="str">
        <f t="shared" si="8"/>
        <v/>
      </c>
      <c r="AJ41" s="44" t="s">
        <v>36</v>
      </c>
      <c r="AK41" s="44">
        <v>5900</v>
      </c>
      <c r="AL41" s="44">
        <v>3235</v>
      </c>
      <c r="AM41" s="62">
        <f t="shared" si="9"/>
        <v>0.54830508474576267</v>
      </c>
      <c r="AN41" s="44" t="s">
        <v>36</v>
      </c>
      <c r="AO41" s="44">
        <v>4960</v>
      </c>
      <c r="AP41" s="44">
        <v>3062</v>
      </c>
      <c r="AQ41" s="62">
        <f t="shared" si="10"/>
        <v>0.61733870967741933</v>
      </c>
      <c r="AR41" s="44" t="s">
        <v>36</v>
      </c>
      <c r="AS41" s="44">
        <v>6500</v>
      </c>
      <c r="AT41" s="44">
        <v>2844</v>
      </c>
      <c r="AU41" s="62">
        <f t="shared" si="11"/>
        <v>0.43753846153846154</v>
      </c>
      <c r="AV41" s="44" t="s">
        <v>36</v>
      </c>
      <c r="AW41" s="44">
        <v>9500</v>
      </c>
      <c r="AX41" s="44">
        <v>4434</v>
      </c>
      <c r="AY41" s="62">
        <f t="shared" si="12"/>
        <v>0.46673684210526317</v>
      </c>
      <c r="AZ41" s="44" t="s">
        <v>36</v>
      </c>
      <c r="BA41" s="44">
        <v>11000</v>
      </c>
      <c r="BB41" s="44">
        <v>5335</v>
      </c>
      <c r="BC41" s="62">
        <f t="shared" si="13"/>
        <v>0.48499999999999999</v>
      </c>
      <c r="BD41" s="44">
        <v>13500</v>
      </c>
      <c r="BE41" s="44">
        <v>6300</v>
      </c>
      <c r="BF41" s="62">
        <f t="shared" si="14"/>
        <v>0.46666666666666667</v>
      </c>
      <c r="BG41" s="44" t="s">
        <v>38</v>
      </c>
      <c r="BH41" s="44">
        <v>4037</v>
      </c>
      <c r="BI41" s="44">
        <v>791</v>
      </c>
      <c r="BJ41" s="62">
        <f t="shared" si="15"/>
        <v>0.19593757740896706</v>
      </c>
      <c r="BK41" s="44">
        <v>8654</v>
      </c>
      <c r="BL41" s="44">
        <v>1239</v>
      </c>
      <c r="BM41" s="62">
        <f t="shared" si="16"/>
        <v>0.14317078807487868</v>
      </c>
      <c r="BN41" s="44" t="s">
        <v>38</v>
      </c>
      <c r="BO41" s="44">
        <v>30618</v>
      </c>
      <c r="BP41" s="44">
        <v>1357</v>
      </c>
      <c r="BQ41" s="62">
        <f t="shared" si="17"/>
        <v>4.4320334443791236E-2</v>
      </c>
      <c r="BT41" s="62" t="str">
        <f t="shared" si="18"/>
        <v/>
      </c>
      <c r="BW41" s="62" t="str">
        <f t="shared" si="19"/>
        <v/>
      </c>
      <c r="BX41" s="44" t="s">
        <v>38</v>
      </c>
      <c r="BY41" s="44">
        <v>1075.25</v>
      </c>
      <c r="BZ41" s="44">
        <v>54.5</v>
      </c>
      <c r="CA41" s="62">
        <f t="shared" si="20"/>
        <v>5.0685887003022553E-2</v>
      </c>
      <c r="CD41" s="62" t="str">
        <f t="shared" si="21"/>
        <v/>
      </c>
    </row>
    <row r="42" spans="1:82" x14ac:dyDescent="0.3">
      <c r="A42" s="49" t="s">
        <v>16</v>
      </c>
      <c r="B42" s="49" t="s">
        <v>104</v>
      </c>
      <c r="C42" s="44" t="s">
        <v>38</v>
      </c>
      <c r="F42" s="62" t="str">
        <f t="shared" si="0"/>
        <v/>
      </c>
      <c r="J42" s="62" t="str">
        <f t="shared" si="1"/>
        <v/>
      </c>
      <c r="L42" s="32"/>
      <c r="M42" s="32"/>
      <c r="N42" s="62" t="str">
        <f t="shared" si="2"/>
        <v/>
      </c>
      <c r="R42" s="62" t="str">
        <f t="shared" si="3"/>
        <v/>
      </c>
      <c r="V42" s="62" t="str">
        <f t="shared" si="4"/>
        <v/>
      </c>
      <c r="Y42" s="62" t="str">
        <f t="shared" si="5"/>
        <v/>
      </c>
      <c r="AB42" s="62" t="str">
        <f t="shared" si="6"/>
        <v/>
      </c>
      <c r="AF42" s="62" t="str">
        <f t="shared" si="7"/>
        <v/>
      </c>
      <c r="AI42" s="62" t="str">
        <f t="shared" si="8"/>
        <v/>
      </c>
      <c r="AM42" s="62" t="str">
        <f t="shared" si="9"/>
        <v/>
      </c>
      <c r="AQ42" s="62" t="str">
        <f t="shared" si="10"/>
        <v/>
      </c>
      <c r="AU42" s="62" t="str">
        <f t="shared" si="11"/>
        <v/>
      </c>
      <c r="AY42" s="62" t="str">
        <f t="shared" si="12"/>
        <v/>
      </c>
      <c r="BC42" s="62" t="str">
        <f t="shared" si="13"/>
        <v/>
      </c>
      <c r="BF42" s="62" t="str">
        <f t="shared" si="14"/>
        <v/>
      </c>
      <c r="BG42" s="44" t="s">
        <v>38</v>
      </c>
      <c r="BH42" s="44">
        <v>170</v>
      </c>
      <c r="BI42" s="44">
        <v>274</v>
      </c>
      <c r="BJ42" s="62">
        <f t="shared" si="15"/>
        <v>1.611764705882353</v>
      </c>
      <c r="BK42" s="44">
        <v>160</v>
      </c>
      <c r="BL42" s="44">
        <v>362</v>
      </c>
      <c r="BM42" s="62">
        <f t="shared" si="16"/>
        <v>2.2625000000000002</v>
      </c>
      <c r="BQ42" s="62" t="str">
        <f t="shared" si="17"/>
        <v/>
      </c>
      <c r="BT42" s="62" t="str">
        <f t="shared" si="18"/>
        <v/>
      </c>
      <c r="BW42" s="62" t="str">
        <f t="shared" si="19"/>
        <v/>
      </c>
      <c r="BX42" s="44" t="s">
        <v>38</v>
      </c>
      <c r="CA42" s="62" t="str">
        <f t="shared" si="20"/>
        <v/>
      </c>
      <c r="CB42" s="44">
        <v>117</v>
      </c>
      <c r="CC42" s="44">
        <v>215.5</v>
      </c>
      <c r="CD42" s="62">
        <f t="shared" si="21"/>
        <v>1.8418803418803418</v>
      </c>
    </row>
    <row r="43" spans="1:82" x14ac:dyDescent="0.3">
      <c r="A43" s="49" t="s">
        <v>187</v>
      </c>
      <c r="B43" s="49" t="s">
        <v>104</v>
      </c>
      <c r="C43" s="44" t="s">
        <v>38</v>
      </c>
      <c r="F43" s="62" t="str">
        <f t="shared" si="0"/>
        <v/>
      </c>
      <c r="J43" s="62" t="str">
        <f t="shared" si="1"/>
        <v/>
      </c>
      <c r="L43" s="32"/>
      <c r="M43" s="32"/>
      <c r="N43" s="62" t="str">
        <f t="shared" si="2"/>
        <v/>
      </c>
      <c r="R43" s="62" t="str">
        <f t="shared" si="3"/>
        <v/>
      </c>
      <c r="V43" s="62" t="str">
        <f t="shared" si="4"/>
        <v/>
      </c>
      <c r="Y43" s="62" t="str">
        <f t="shared" si="5"/>
        <v/>
      </c>
      <c r="AB43" s="62" t="str">
        <f t="shared" si="6"/>
        <v/>
      </c>
      <c r="AF43" s="62" t="str">
        <f t="shared" si="7"/>
        <v/>
      </c>
      <c r="AI43" s="62" t="str">
        <f t="shared" si="8"/>
        <v/>
      </c>
      <c r="AM43" s="62" t="str">
        <f t="shared" si="9"/>
        <v/>
      </c>
      <c r="AQ43" s="62" t="str">
        <f t="shared" si="10"/>
        <v/>
      </c>
      <c r="AU43" s="62" t="str">
        <f t="shared" si="11"/>
        <v/>
      </c>
      <c r="AY43" s="62" t="str">
        <f t="shared" si="12"/>
        <v/>
      </c>
      <c r="BC43" s="62" t="str">
        <f t="shared" si="13"/>
        <v/>
      </c>
      <c r="BF43" s="62" t="str">
        <f t="shared" si="14"/>
        <v/>
      </c>
      <c r="BG43" s="44" t="s">
        <v>38</v>
      </c>
      <c r="BH43" s="44">
        <v>63</v>
      </c>
      <c r="BI43" s="44">
        <v>139</v>
      </c>
      <c r="BJ43" s="62">
        <f t="shared" si="15"/>
        <v>2.2063492063492065</v>
      </c>
      <c r="BK43" s="44">
        <v>64</v>
      </c>
      <c r="BL43" s="44">
        <v>303</v>
      </c>
      <c r="BM43" s="62">
        <f t="shared" si="16"/>
        <v>4.734375</v>
      </c>
      <c r="BN43" s="44" t="s">
        <v>38</v>
      </c>
      <c r="BO43" s="44">
        <v>45</v>
      </c>
      <c r="BP43" s="44">
        <v>88</v>
      </c>
      <c r="BQ43" s="62">
        <f t="shared" si="17"/>
        <v>1.9555555555555555</v>
      </c>
      <c r="BR43" s="44">
        <v>13</v>
      </c>
      <c r="BS43" s="44">
        <v>33</v>
      </c>
      <c r="BT43" s="62">
        <f t="shared" si="18"/>
        <v>2.5384615384615383</v>
      </c>
      <c r="BU43" s="44">
        <v>78</v>
      </c>
      <c r="BV43" s="44">
        <v>154</v>
      </c>
      <c r="BW43" s="62">
        <f t="shared" si="19"/>
        <v>1.9743589743589745</v>
      </c>
      <c r="BX43" s="44" t="s">
        <v>38</v>
      </c>
      <c r="BY43" s="44">
        <v>76.5</v>
      </c>
      <c r="BZ43" s="44">
        <v>194</v>
      </c>
      <c r="CA43" s="62">
        <f t="shared" si="20"/>
        <v>2.5359477124183005</v>
      </c>
      <c r="CB43" s="44">
        <v>115</v>
      </c>
      <c r="CC43" s="44">
        <v>317</v>
      </c>
      <c r="CD43" s="62">
        <f t="shared" si="21"/>
        <v>2.7565217391304349</v>
      </c>
    </row>
    <row r="44" spans="1:82" x14ac:dyDescent="0.3">
      <c r="A44" s="49" t="s">
        <v>240</v>
      </c>
      <c r="B44" s="49" t="s">
        <v>104</v>
      </c>
      <c r="C44" s="44" t="s">
        <v>38</v>
      </c>
      <c r="F44" s="62" t="str">
        <f t="shared" si="0"/>
        <v/>
      </c>
      <c r="J44" s="62" t="str">
        <f t="shared" si="1"/>
        <v/>
      </c>
      <c r="L44" s="32"/>
      <c r="M44" s="32"/>
      <c r="N44" s="62" t="str">
        <f t="shared" si="2"/>
        <v/>
      </c>
      <c r="R44" s="62" t="str">
        <f t="shared" si="3"/>
        <v/>
      </c>
      <c r="V44" s="62" t="str">
        <f t="shared" si="4"/>
        <v/>
      </c>
      <c r="Y44" s="62" t="str">
        <f t="shared" si="5"/>
        <v/>
      </c>
      <c r="AB44" s="62" t="str">
        <f t="shared" si="6"/>
        <v/>
      </c>
      <c r="AF44" s="62" t="str">
        <f t="shared" si="7"/>
        <v/>
      </c>
      <c r="AI44" s="62" t="str">
        <f t="shared" si="8"/>
        <v/>
      </c>
      <c r="AM44" s="62" t="str">
        <f t="shared" si="9"/>
        <v/>
      </c>
      <c r="AQ44" s="62" t="str">
        <f t="shared" si="10"/>
        <v/>
      </c>
      <c r="AU44" s="62" t="str">
        <f t="shared" si="11"/>
        <v/>
      </c>
      <c r="AY44" s="62" t="str">
        <f t="shared" si="12"/>
        <v/>
      </c>
      <c r="BC44" s="62" t="str">
        <f t="shared" si="13"/>
        <v/>
      </c>
      <c r="BF44" s="62" t="str">
        <f t="shared" si="14"/>
        <v/>
      </c>
      <c r="BG44" s="44" t="s">
        <v>38</v>
      </c>
      <c r="BH44" s="44">
        <v>6</v>
      </c>
      <c r="BI44" s="44">
        <v>9</v>
      </c>
      <c r="BJ44" s="62">
        <f t="shared" si="15"/>
        <v>1.5</v>
      </c>
      <c r="BM44" s="62" t="str">
        <f t="shared" si="16"/>
        <v/>
      </c>
      <c r="BQ44" s="62" t="str">
        <f t="shared" si="17"/>
        <v/>
      </c>
      <c r="BT44" s="62" t="str">
        <f t="shared" si="18"/>
        <v/>
      </c>
      <c r="BW44" s="62" t="str">
        <f t="shared" si="19"/>
        <v/>
      </c>
      <c r="CA44" s="62" t="str">
        <f t="shared" si="20"/>
        <v/>
      </c>
      <c r="CD44" s="62" t="str">
        <f t="shared" si="21"/>
        <v/>
      </c>
    </row>
    <row r="45" spans="1:82" x14ac:dyDescent="0.3">
      <c r="A45" s="49" t="s">
        <v>241</v>
      </c>
      <c r="B45" s="49" t="s">
        <v>292</v>
      </c>
      <c r="C45" s="44" t="s">
        <v>35</v>
      </c>
      <c r="D45" s="44">
        <v>375</v>
      </c>
      <c r="E45" s="44">
        <v>968</v>
      </c>
      <c r="F45" s="62">
        <f t="shared" si="0"/>
        <v>2.5813333333333333</v>
      </c>
      <c r="G45" s="44" t="s">
        <v>42</v>
      </c>
      <c r="H45" s="44">
        <v>555</v>
      </c>
      <c r="I45" s="44">
        <v>1310</v>
      </c>
      <c r="J45" s="62">
        <f t="shared" si="1"/>
        <v>2.3603603603603602</v>
      </c>
      <c r="K45" s="44" t="s">
        <v>42</v>
      </c>
      <c r="L45" s="32">
        <v>615</v>
      </c>
      <c r="M45" s="32">
        <v>841</v>
      </c>
      <c r="N45" s="62">
        <f t="shared" si="2"/>
        <v>1.3674796747967479</v>
      </c>
      <c r="O45" s="44" t="s">
        <v>42</v>
      </c>
      <c r="P45" s="44">
        <v>600</v>
      </c>
      <c r="Q45" s="44">
        <v>923</v>
      </c>
      <c r="R45" s="62">
        <f t="shared" si="3"/>
        <v>1.5383333333333333</v>
      </c>
      <c r="S45" s="44" t="s">
        <v>42</v>
      </c>
      <c r="T45" s="44">
        <v>670</v>
      </c>
      <c r="U45" s="44">
        <v>957</v>
      </c>
      <c r="V45" s="62">
        <f t="shared" si="4"/>
        <v>1.4283582089552238</v>
      </c>
      <c r="W45" s="44">
        <v>550</v>
      </c>
      <c r="X45" s="44">
        <v>687</v>
      </c>
      <c r="Y45" s="62">
        <f t="shared" si="5"/>
        <v>1.249090909090909</v>
      </c>
      <c r="Z45" s="44">
        <v>600</v>
      </c>
      <c r="AA45" s="44">
        <v>738</v>
      </c>
      <c r="AB45" s="62">
        <f t="shared" si="6"/>
        <v>1.23</v>
      </c>
      <c r="AF45" s="62" t="str">
        <f t="shared" si="7"/>
        <v/>
      </c>
      <c r="AI45" s="62" t="str">
        <f t="shared" si="8"/>
        <v/>
      </c>
      <c r="AM45" s="62" t="str">
        <f t="shared" si="9"/>
        <v/>
      </c>
      <c r="AQ45" s="62" t="str">
        <f t="shared" si="10"/>
        <v/>
      </c>
      <c r="AU45" s="62" t="str">
        <f t="shared" si="11"/>
        <v/>
      </c>
      <c r="AY45" s="62" t="str">
        <f t="shared" si="12"/>
        <v/>
      </c>
      <c r="BC45" s="62" t="str">
        <f t="shared" si="13"/>
        <v/>
      </c>
      <c r="BF45" s="62" t="str">
        <f t="shared" si="14"/>
        <v/>
      </c>
      <c r="BG45" s="44" t="s">
        <v>38</v>
      </c>
      <c r="BH45" s="44">
        <v>2</v>
      </c>
      <c r="BI45" s="44">
        <v>65</v>
      </c>
      <c r="BJ45" s="62">
        <f t="shared" si="15"/>
        <v>32.5</v>
      </c>
      <c r="BK45" s="44">
        <v>5</v>
      </c>
      <c r="BL45" s="44">
        <v>174</v>
      </c>
      <c r="BM45" s="62">
        <f t="shared" si="16"/>
        <v>34.799999999999997</v>
      </c>
      <c r="BN45" s="44" t="s">
        <v>38</v>
      </c>
      <c r="BO45" s="44">
        <v>6</v>
      </c>
      <c r="BP45" s="44">
        <v>218</v>
      </c>
      <c r="BQ45" s="62">
        <f t="shared" si="17"/>
        <v>36.333333333333336</v>
      </c>
      <c r="BR45" s="44">
        <v>6.5</v>
      </c>
      <c r="BS45" s="44">
        <v>408</v>
      </c>
      <c r="BT45" s="62">
        <f t="shared" si="18"/>
        <v>62.769230769230766</v>
      </c>
      <c r="BU45" s="44">
        <v>4</v>
      </c>
      <c r="BV45" s="44">
        <v>150</v>
      </c>
      <c r="BW45" s="62">
        <f t="shared" si="19"/>
        <v>37.5</v>
      </c>
      <c r="BX45" s="44" t="s">
        <v>38</v>
      </c>
      <c r="BY45" s="44">
        <v>10</v>
      </c>
      <c r="BZ45" s="44">
        <v>428</v>
      </c>
      <c r="CA45" s="62">
        <f t="shared" si="20"/>
        <v>42.8</v>
      </c>
      <c r="CB45" s="44">
        <v>10</v>
      </c>
      <c r="CC45" s="44">
        <v>284</v>
      </c>
      <c r="CD45" s="62">
        <f t="shared" si="21"/>
        <v>28.4</v>
      </c>
    </row>
    <row r="46" spans="1:82" x14ac:dyDescent="0.3">
      <c r="A46" s="49" t="s">
        <v>242</v>
      </c>
      <c r="B46" s="49" t="s">
        <v>106</v>
      </c>
      <c r="C46" s="44" t="s">
        <v>42</v>
      </c>
      <c r="F46" s="62" t="str">
        <f t="shared" si="0"/>
        <v/>
      </c>
      <c r="J46" s="62" t="str">
        <f t="shared" si="1"/>
        <v/>
      </c>
      <c r="L46" s="32"/>
      <c r="M46" s="32"/>
      <c r="N46" s="62" t="str">
        <f t="shared" si="2"/>
        <v/>
      </c>
      <c r="R46" s="62" t="str">
        <f t="shared" si="3"/>
        <v/>
      </c>
      <c r="V46" s="62" t="str">
        <f t="shared" si="4"/>
        <v/>
      </c>
      <c r="Y46" s="62" t="str">
        <f t="shared" si="5"/>
        <v/>
      </c>
      <c r="AB46" s="62" t="str">
        <f t="shared" si="6"/>
        <v/>
      </c>
      <c r="AC46" s="44" t="s">
        <v>42</v>
      </c>
      <c r="AD46" s="44">
        <v>550</v>
      </c>
      <c r="AE46" s="44">
        <v>611</v>
      </c>
      <c r="AF46" s="62">
        <f t="shared" si="7"/>
        <v>1.1109090909090908</v>
      </c>
      <c r="AG46" s="44">
        <v>510</v>
      </c>
      <c r="AH46" s="44">
        <v>567</v>
      </c>
      <c r="AI46" s="62">
        <f t="shared" si="8"/>
        <v>1.111764705882353</v>
      </c>
      <c r="AJ46" s="44" t="s">
        <v>42</v>
      </c>
      <c r="AK46" s="44">
        <v>300</v>
      </c>
      <c r="AL46" s="44">
        <v>353</v>
      </c>
      <c r="AM46" s="62">
        <f t="shared" si="9"/>
        <v>1.1766666666666667</v>
      </c>
      <c r="AN46" s="44" t="s">
        <v>42</v>
      </c>
      <c r="AO46" s="44">
        <v>110</v>
      </c>
      <c r="AP46" s="44">
        <v>137</v>
      </c>
      <c r="AQ46" s="62">
        <f t="shared" si="10"/>
        <v>1.2454545454545454</v>
      </c>
      <c r="AR46" s="44" t="s">
        <v>42</v>
      </c>
      <c r="AS46" s="44">
        <v>120</v>
      </c>
      <c r="AT46" s="44">
        <v>150</v>
      </c>
      <c r="AU46" s="62">
        <f t="shared" si="11"/>
        <v>1.25</v>
      </c>
      <c r="AV46" s="44" t="s">
        <v>42</v>
      </c>
      <c r="AW46" s="54">
        <v>156</v>
      </c>
      <c r="AX46" s="54">
        <v>208</v>
      </c>
      <c r="AY46" s="62">
        <f t="shared" si="12"/>
        <v>1.3333333333333333</v>
      </c>
      <c r="BC46" s="62" t="str">
        <f t="shared" si="13"/>
        <v/>
      </c>
      <c r="BF46" s="62" t="str">
        <f t="shared" si="14"/>
        <v/>
      </c>
      <c r="BJ46" s="62" t="str">
        <f t="shared" si="15"/>
        <v/>
      </c>
      <c r="BM46" s="62" t="str">
        <f t="shared" si="16"/>
        <v/>
      </c>
      <c r="BQ46" s="62" t="str">
        <f t="shared" si="17"/>
        <v/>
      </c>
      <c r="BT46" s="62" t="str">
        <f t="shared" si="18"/>
        <v/>
      </c>
      <c r="BW46" s="62" t="str">
        <f t="shared" si="19"/>
        <v/>
      </c>
      <c r="CA46" s="62" t="str">
        <f t="shared" si="20"/>
        <v/>
      </c>
      <c r="CD46" s="62" t="str">
        <f t="shared" si="21"/>
        <v/>
      </c>
    </row>
    <row r="47" spans="1:82" x14ac:dyDescent="0.3">
      <c r="A47" s="49" t="s">
        <v>243</v>
      </c>
      <c r="B47" s="49" t="s">
        <v>106</v>
      </c>
      <c r="C47" s="44" t="s">
        <v>42</v>
      </c>
      <c r="F47" s="62" t="str">
        <f t="shared" si="0"/>
        <v/>
      </c>
      <c r="J47" s="62" t="str">
        <f t="shared" si="1"/>
        <v/>
      </c>
      <c r="L47" s="32"/>
      <c r="M47" s="32"/>
      <c r="N47" s="62" t="str">
        <f t="shared" si="2"/>
        <v/>
      </c>
      <c r="R47" s="62" t="str">
        <f t="shared" si="3"/>
        <v/>
      </c>
      <c r="V47" s="62" t="str">
        <f t="shared" si="4"/>
        <v/>
      </c>
      <c r="Y47" s="62" t="str">
        <f t="shared" si="5"/>
        <v/>
      </c>
      <c r="AB47" s="62" t="str">
        <f t="shared" si="6"/>
        <v/>
      </c>
      <c r="AF47" s="62" t="str">
        <f t="shared" si="7"/>
        <v/>
      </c>
      <c r="AI47" s="62" t="str">
        <f t="shared" si="8"/>
        <v/>
      </c>
      <c r="AJ47" s="44" t="s">
        <v>42</v>
      </c>
      <c r="AK47" s="44">
        <v>285</v>
      </c>
      <c r="AL47" s="44">
        <v>335</v>
      </c>
      <c r="AM47" s="62">
        <f t="shared" si="9"/>
        <v>1.1754385964912282</v>
      </c>
      <c r="AN47" s="44" t="s">
        <v>42</v>
      </c>
      <c r="AO47" s="44">
        <v>155</v>
      </c>
      <c r="AP47" s="44">
        <v>194</v>
      </c>
      <c r="AQ47" s="62">
        <f t="shared" si="10"/>
        <v>1.2516129032258065</v>
      </c>
      <c r="AR47" s="44" t="s">
        <v>42</v>
      </c>
      <c r="AS47" s="44">
        <v>110</v>
      </c>
      <c r="AT47" s="44">
        <v>137</v>
      </c>
      <c r="AU47" s="62">
        <f t="shared" si="11"/>
        <v>1.2454545454545454</v>
      </c>
      <c r="AV47" s="44" t="s">
        <v>42</v>
      </c>
      <c r="AW47" s="54">
        <v>99</v>
      </c>
      <c r="AX47" s="54">
        <v>132</v>
      </c>
      <c r="AY47" s="62">
        <f t="shared" si="12"/>
        <v>1.3333333333333333</v>
      </c>
      <c r="BC47" s="62" t="str">
        <f t="shared" si="13"/>
        <v/>
      </c>
      <c r="BF47" s="62" t="str">
        <f t="shared" si="14"/>
        <v/>
      </c>
      <c r="BJ47" s="62" t="str">
        <f t="shared" si="15"/>
        <v/>
      </c>
      <c r="BM47" s="62" t="str">
        <f t="shared" si="16"/>
        <v/>
      </c>
      <c r="BQ47" s="62" t="str">
        <f t="shared" si="17"/>
        <v/>
      </c>
      <c r="BT47" s="62" t="str">
        <f t="shared" si="18"/>
        <v/>
      </c>
      <c r="BW47" s="62" t="str">
        <f t="shared" si="19"/>
        <v/>
      </c>
      <c r="CA47" s="62" t="str">
        <f t="shared" si="20"/>
        <v/>
      </c>
      <c r="CD47" s="62" t="str">
        <f t="shared" si="21"/>
        <v/>
      </c>
    </row>
    <row r="48" spans="1:82" x14ac:dyDescent="0.3">
      <c r="A48" s="53" t="s">
        <v>244</v>
      </c>
      <c r="B48" s="49" t="s">
        <v>292</v>
      </c>
      <c r="C48" s="44" t="s">
        <v>35</v>
      </c>
      <c r="D48" s="44">
        <v>220</v>
      </c>
      <c r="E48" s="44">
        <v>786</v>
      </c>
      <c r="F48" s="62">
        <f t="shared" si="0"/>
        <v>3.5727272727272728</v>
      </c>
      <c r="G48" s="44" t="s">
        <v>35</v>
      </c>
      <c r="H48" s="44">
        <v>190</v>
      </c>
      <c r="I48" s="44">
        <v>641</v>
      </c>
      <c r="J48" s="62">
        <f t="shared" si="1"/>
        <v>3.3736842105263158</v>
      </c>
      <c r="K48" s="44" t="s">
        <v>35</v>
      </c>
      <c r="L48" s="32">
        <v>150</v>
      </c>
      <c r="M48" s="32">
        <v>513</v>
      </c>
      <c r="N48" s="62">
        <f t="shared" si="2"/>
        <v>3.42</v>
      </c>
      <c r="O48" s="44" t="s">
        <v>35</v>
      </c>
      <c r="P48" s="44">
        <v>210</v>
      </c>
      <c r="Q48" s="44">
        <v>808</v>
      </c>
      <c r="R48" s="62">
        <f t="shared" si="3"/>
        <v>3.8476190476190477</v>
      </c>
      <c r="S48" s="44" t="s">
        <v>35</v>
      </c>
      <c r="T48" s="44">
        <v>300</v>
      </c>
      <c r="U48" s="44">
        <v>1071</v>
      </c>
      <c r="V48" s="62">
        <f t="shared" si="4"/>
        <v>3.57</v>
      </c>
      <c r="W48" s="44">
        <v>240</v>
      </c>
      <c r="X48" s="44">
        <v>750</v>
      </c>
      <c r="Y48" s="62">
        <f t="shared" si="5"/>
        <v>3.125</v>
      </c>
      <c r="AB48" s="62" t="str">
        <f t="shared" si="6"/>
        <v/>
      </c>
      <c r="AC48" s="44" t="s">
        <v>35</v>
      </c>
      <c r="AD48" s="44">
        <v>200</v>
      </c>
      <c r="AE48" s="44">
        <v>556</v>
      </c>
      <c r="AF48" s="62">
        <f t="shared" si="7"/>
        <v>2.78</v>
      </c>
      <c r="AI48" s="62" t="str">
        <f t="shared" si="8"/>
        <v/>
      </c>
      <c r="AJ48" s="44" t="s">
        <v>35</v>
      </c>
      <c r="AK48" s="44">
        <v>150</v>
      </c>
      <c r="AL48" s="44">
        <v>88</v>
      </c>
      <c r="AM48" s="62">
        <f t="shared" si="9"/>
        <v>0.58666666666666667</v>
      </c>
      <c r="AN48" s="44" t="s">
        <v>35</v>
      </c>
      <c r="AO48" s="44">
        <v>120</v>
      </c>
      <c r="AP48" s="44">
        <v>375</v>
      </c>
      <c r="AQ48" s="62">
        <f t="shared" si="10"/>
        <v>3.125</v>
      </c>
      <c r="AR48" s="44" t="s">
        <v>35</v>
      </c>
      <c r="AS48" s="44">
        <v>100</v>
      </c>
      <c r="AT48" s="44">
        <v>313</v>
      </c>
      <c r="AU48" s="62">
        <f t="shared" si="11"/>
        <v>3.13</v>
      </c>
      <c r="AV48" s="44" t="s">
        <v>35</v>
      </c>
      <c r="AW48" s="54">
        <v>199</v>
      </c>
      <c r="AX48" s="54">
        <v>663</v>
      </c>
      <c r="AY48" s="62">
        <f t="shared" si="12"/>
        <v>3.3316582914572863</v>
      </c>
      <c r="BC48" s="62" t="str">
        <f t="shared" si="13"/>
        <v/>
      </c>
      <c r="BF48" s="62" t="str">
        <f t="shared" si="14"/>
        <v/>
      </c>
      <c r="BG48" s="44" t="s">
        <v>38</v>
      </c>
      <c r="BH48" s="44">
        <v>9</v>
      </c>
      <c r="BI48" s="44">
        <v>23</v>
      </c>
      <c r="BJ48" s="62">
        <f t="shared" si="15"/>
        <v>2.5555555555555554</v>
      </c>
      <c r="BK48" s="44">
        <v>3</v>
      </c>
      <c r="BL48" s="44">
        <v>113</v>
      </c>
      <c r="BM48" s="62">
        <f t="shared" si="16"/>
        <v>37.666666666666664</v>
      </c>
      <c r="BN48" s="44" t="s">
        <v>38</v>
      </c>
      <c r="BO48" s="44">
        <v>1</v>
      </c>
      <c r="BP48" s="44">
        <v>69</v>
      </c>
      <c r="BQ48" s="62">
        <f t="shared" si="17"/>
        <v>69</v>
      </c>
      <c r="BT48" s="62" t="str">
        <f t="shared" si="18"/>
        <v/>
      </c>
      <c r="BU48" s="44">
        <v>6</v>
      </c>
      <c r="BV48" s="44">
        <v>51</v>
      </c>
      <c r="BW48" s="62">
        <f t="shared" si="19"/>
        <v>8.5</v>
      </c>
      <c r="BX48" s="44" t="s">
        <v>38</v>
      </c>
      <c r="BY48" s="44">
        <v>5.5</v>
      </c>
      <c r="BZ48" s="44">
        <v>91</v>
      </c>
      <c r="CA48" s="62">
        <f t="shared" si="20"/>
        <v>16.545454545454547</v>
      </c>
      <c r="CD48" s="62" t="str">
        <f t="shared" si="21"/>
        <v/>
      </c>
    </row>
    <row r="49" spans="1:82" x14ac:dyDescent="0.3">
      <c r="A49" s="52" t="s">
        <v>17</v>
      </c>
      <c r="B49" s="49" t="s">
        <v>104</v>
      </c>
      <c r="C49" s="44" t="s">
        <v>38</v>
      </c>
      <c r="D49" s="44">
        <v>144086</v>
      </c>
      <c r="E49" s="44">
        <v>55936</v>
      </c>
      <c r="F49" s="62">
        <f t="shared" si="0"/>
        <v>0.38821259525561125</v>
      </c>
      <c r="G49" s="44" t="s">
        <v>38</v>
      </c>
      <c r="H49" s="44">
        <v>156857</v>
      </c>
      <c r="I49" s="44">
        <v>56641</v>
      </c>
      <c r="J49" s="62">
        <f t="shared" si="1"/>
        <v>0.36109960027285998</v>
      </c>
      <c r="K49" s="44" t="s">
        <v>38</v>
      </c>
      <c r="L49" s="44">
        <v>126000</v>
      </c>
      <c r="M49" s="44">
        <v>54592</v>
      </c>
      <c r="N49" s="62">
        <f t="shared" si="2"/>
        <v>0.43326984126984125</v>
      </c>
      <c r="O49" s="44" t="s">
        <v>38</v>
      </c>
      <c r="P49" s="44">
        <v>176925</v>
      </c>
      <c r="Q49" s="44">
        <v>85146</v>
      </c>
      <c r="R49" s="62">
        <f t="shared" si="3"/>
        <v>0.48125476896990249</v>
      </c>
      <c r="S49" s="44" t="s">
        <v>38</v>
      </c>
      <c r="T49" s="44">
        <v>154350</v>
      </c>
      <c r="U49" s="44">
        <v>59714</v>
      </c>
      <c r="V49" s="62">
        <f t="shared" si="4"/>
        <v>0.38687398769031422</v>
      </c>
      <c r="W49" s="44">
        <v>159750</v>
      </c>
      <c r="X49" s="44">
        <v>56100</v>
      </c>
      <c r="Y49" s="62">
        <f t="shared" si="5"/>
        <v>0.35117370892018779</v>
      </c>
      <c r="Z49" s="44">
        <v>177000</v>
      </c>
      <c r="AA49" s="44">
        <v>59852</v>
      </c>
      <c r="AB49" s="62">
        <f t="shared" si="6"/>
        <v>0.33814689265536724</v>
      </c>
      <c r="AC49" s="44" t="s">
        <v>38</v>
      </c>
      <c r="AD49" s="44">
        <v>191325</v>
      </c>
      <c r="AE49" s="44">
        <v>60476</v>
      </c>
      <c r="AF49" s="62">
        <f t="shared" si="7"/>
        <v>0.31609042205670979</v>
      </c>
      <c r="AG49" s="44">
        <v>163650</v>
      </c>
      <c r="AH49" s="44">
        <v>41512</v>
      </c>
      <c r="AI49" s="62">
        <f t="shared" si="8"/>
        <v>0.2536633058356248</v>
      </c>
      <c r="AM49" s="62" t="str">
        <f t="shared" si="9"/>
        <v/>
      </c>
      <c r="AQ49" s="62" t="str">
        <f t="shared" si="10"/>
        <v/>
      </c>
      <c r="AU49" s="62" t="str">
        <f t="shared" si="11"/>
        <v/>
      </c>
      <c r="AY49" s="62" t="str">
        <f t="shared" si="12"/>
        <v/>
      </c>
      <c r="AZ49" s="44" t="s">
        <v>38</v>
      </c>
      <c r="BA49" s="44">
        <v>192700</v>
      </c>
      <c r="BB49" s="44">
        <v>59393</v>
      </c>
      <c r="BC49" s="62">
        <f t="shared" si="13"/>
        <v>0.30821484172288532</v>
      </c>
      <c r="BD49" s="44">
        <v>162694</v>
      </c>
      <c r="BE49" s="44">
        <v>70743</v>
      </c>
      <c r="BF49" s="62">
        <f t="shared" si="14"/>
        <v>0.434822427379006</v>
      </c>
      <c r="BJ49" s="62" t="str">
        <f t="shared" si="15"/>
        <v/>
      </c>
      <c r="BM49" s="62" t="str">
        <f t="shared" si="16"/>
        <v/>
      </c>
      <c r="BQ49" s="62" t="str">
        <f t="shared" si="17"/>
        <v/>
      </c>
      <c r="BT49" s="62" t="str">
        <f t="shared" si="18"/>
        <v/>
      </c>
      <c r="BW49" s="62" t="str">
        <f t="shared" si="19"/>
        <v/>
      </c>
      <c r="CA49" s="62" t="str">
        <f t="shared" si="20"/>
        <v/>
      </c>
      <c r="CD49" s="62" t="str">
        <f t="shared" si="21"/>
        <v/>
      </c>
    </row>
    <row r="50" spans="1:82" x14ac:dyDescent="0.3">
      <c r="A50" s="49" t="s">
        <v>159</v>
      </c>
      <c r="B50" s="49" t="s">
        <v>104</v>
      </c>
      <c r="C50" s="44" t="s">
        <v>38</v>
      </c>
      <c r="F50" s="62" t="str">
        <f t="shared" si="0"/>
        <v/>
      </c>
      <c r="J50" s="62" t="str">
        <f t="shared" si="1"/>
        <v/>
      </c>
      <c r="N50" s="62" t="str">
        <f t="shared" si="2"/>
        <v/>
      </c>
      <c r="R50" s="62" t="str">
        <f t="shared" si="3"/>
        <v/>
      </c>
      <c r="V50" s="62" t="str">
        <f t="shared" si="4"/>
        <v/>
      </c>
      <c r="Y50" s="62" t="str">
        <f t="shared" si="5"/>
        <v/>
      </c>
      <c r="AB50" s="62" t="str">
        <f t="shared" si="6"/>
        <v/>
      </c>
      <c r="AF50" s="62" t="str">
        <f t="shared" si="7"/>
        <v/>
      </c>
      <c r="AI50" s="62" t="str">
        <f t="shared" si="8"/>
        <v/>
      </c>
      <c r="AJ50" s="44" t="s">
        <v>38</v>
      </c>
      <c r="AK50" s="44">
        <v>22200</v>
      </c>
      <c r="AL50" s="44">
        <v>6764</v>
      </c>
      <c r="AM50" s="62">
        <f t="shared" si="9"/>
        <v>0.30468468468468468</v>
      </c>
      <c r="AN50" s="44" t="s">
        <v>38</v>
      </c>
      <c r="AO50" s="44">
        <v>20500</v>
      </c>
      <c r="AP50" s="44">
        <v>8969</v>
      </c>
      <c r="AQ50" s="62">
        <f t="shared" si="10"/>
        <v>0.43751219512195122</v>
      </c>
      <c r="AR50" s="44" t="s">
        <v>38</v>
      </c>
      <c r="AS50" s="44">
        <v>43000</v>
      </c>
      <c r="AT50" s="44">
        <v>13487</v>
      </c>
      <c r="AU50" s="62">
        <f t="shared" si="11"/>
        <v>0.31365116279069766</v>
      </c>
      <c r="AV50" s="44" t="s">
        <v>38</v>
      </c>
      <c r="AW50" s="44">
        <v>57510</v>
      </c>
      <c r="AX50" s="44">
        <v>19170</v>
      </c>
      <c r="AY50" s="62">
        <f t="shared" si="12"/>
        <v>0.33333333333333331</v>
      </c>
      <c r="BC50" s="62" t="str">
        <f t="shared" si="13"/>
        <v/>
      </c>
      <c r="BF50" s="62" t="str">
        <f t="shared" si="14"/>
        <v/>
      </c>
      <c r="BG50" s="44" t="s">
        <v>38</v>
      </c>
      <c r="BJ50" s="62" t="str">
        <f t="shared" si="15"/>
        <v/>
      </c>
      <c r="BK50" s="44">
        <v>460</v>
      </c>
      <c r="BL50" s="44">
        <v>121</v>
      </c>
      <c r="BM50" s="62">
        <f t="shared" si="16"/>
        <v>0.26304347826086955</v>
      </c>
      <c r="BN50" s="44" t="s">
        <v>38</v>
      </c>
      <c r="BO50" s="44">
        <v>7895</v>
      </c>
      <c r="BP50" s="44">
        <v>3005</v>
      </c>
      <c r="BQ50" s="62">
        <f t="shared" si="17"/>
        <v>0.3806206459784674</v>
      </c>
      <c r="BR50" s="56">
        <v>14772.25</v>
      </c>
      <c r="BS50" s="44">
        <v>7664</v>
      </c>
      <c r="BT50" s="62">
        <f t="shared" si="18"/>
        <v>0.51881060772732657</v>
      </c>
      <c r="BU50" s="44">
        <v>3961.5</v>
      </c>
      <c r="BV50" s="44">
        <v>2028</v>
      </c>
      <c r="BW50" s="62">
        <f t="shared" si="19"/>
        <v>0.51192730026505107</v>
      </c>
      <c r="BX50" s="44" t="s">
        <v>38</v>
      </c>
      <c r="BY50" s="44">
        <v>170.25</v>
      </c>
      <c r="BZ50" s="44">
        <v>54.5</v>
      </c>
      <c r="CA50" s="62">
        <f t="shared" si="20"/>
        <v>0.32011747430249632</v>
      </c>
      <c r="CB50" s="44">
        <v>1815</v>
      </c>
      <c r="CC50" s="44">
        <v>801</v>
      </c>
      <c r="CD50" s="62">
        <f t="shared" si="21"/>
        <v>0.44132231404958677</v>
      </c>
    </row>
    <row r="51" spans="1:82" x14ac:dyDescent="0.3">
      <c r="A51" s="49" t="s">
        <v>136</v>
      </c>
      <c r="B51" s="49" t="s">
        <v>104</v>
      </c>
      <c r="C51" s="44" t="s">
        <v>38</v>
      </c>
      <c r="F51" s="62" t="str">
        <f t="shared" si="0"/>
        <v/>
      </c>
      <c r="J51" s="62" t="str">
        <f t="shared" si="1"/>
        <v/>
      </c>
      <c r="N51" s="62" t="str">
        <f t="shared" si="2"/>
        <v/>
      </c>
      <c r="R51" s="62" t="str">
        <f t="shared" si="3"/>
        <v/>
      </c>
      <c r="V51" s="62" t="str">
        <f t="shared" si="4"/>
        <v/>
      </c>
      <c r="Y51" s="62" t="str">
        <f t="shared" si="5"/>
        <v/>
      </c>
      <c r="AB51" s="62" t="str">
        <f t="shared" si="6"/>
        <v/>
      </c>
      <c r="AF51" s="62" t="str">
        <f t="shared" si="7"/>
        <v/>
      </c>
      <c r="AI51" s="62" t="str">
        <f t="shared" si="8"/>
        <v/>
      </c>
      <c r="AJ51" s="44" t="s">
        <v>38</v>
      </c>
      <c r="AK51" s="44">
        <v>15000</v>
      </c>
      <c r="AL51" s="44">
        <v>2706</v>
      </c>
      <c r="AM51" s="62">
        <f t="shared" si="9"/>
        <v>0.1804</v>
      </c>
      <c r="AN51" s="44" t="s">
        <v>38</v>
      </c>
      <c r="AO51" s="44">
        <v>10000</v>
      </c>
      <c r="AP51" s="44">
        <v>1874</v>
      </c>
      <c r="AQ51" s="62">
        <f t="shared" si="10"/>
        <v>0.18740000000000001</v>
      </c>
      <c r="AR51" s="44" t="s">
        <v>38</v>
      </c>
      <c r="AS51" s="44">
        <v>82800</v>
      </c>
      <c r="AT51" s="44">
        <v>18057</v>
      </c>
      <c r="AU51" s="62">
        <f t="shared" si="11"/>
        <v>0.21807971014492752</v>
      </c>
      <c r="AV51" s="44" t="s">
        <v>38</v>
      </c>
      <c r="AW51" s="44">
        <v>59000</v>
      </c>
      <c r="AX51" s="44">
        <v>13687</v>
      </c>
      <c r="AY51" s="62">
        <f t="shared" si="12"/>
        <v>0.23198305084745763</v>
      </c>
      <c r="BC51" s="62" t="str">
        <f t="shared" si="13"/>
        <v/>
      </c>
      <c r="BF51" s="62" t="str">
        <f t="shared" si="14"/>
        <v/>
      </c>
      <c r="BJ51" s="62" t="str">
        <f t="shared" si="15"/>
        <v/>
      </c>
      <c r="BM51" s="62" t="str">
        <f t="shared" si="16"/>
        <v/>
      </c>
      <c r="BN51" s="44" t="s">
        <v>38</v>
      </c>
      <c r="BO51" s="44">
        <v>19514</v>
      </c>
      <c r="BP51" s="44">
        <v>5394</v>
      </c>
      <c r="BQ51" s="62">
        <f t="shared" si="17"/>
        <v>0.27641693143384238</v>
      </c>
      <c r="BR51" s="44">
        <v>35466.5</v>
      </c>
      <c r="BS51" s="44">
        <v>12672</v>
      </c>
      <c r="BT51" s="62">
        <f t="shared" si="18"/>
        <v>0.35729491210015085</v>
      </c>
      <c r="BU51" s="44">
        <v>1075</v>
      </c>
      <c r="BV51" s="44">
        <v>385</v>
      </c>
      <c r="BW51" s="62">
        <f t="shared" si="19"/>
        <v>0.35813953488372091</v>
      </c>
      <c r="BX51" s="44" t="s">
        <v>38</v>
      </c>
      <c r="CA51" s="62" t="str">
        <f t="shared" si="20"/>
        <v/>
      </c>
      <c r="CB51" s="44">
        <v>22.5</v>
      </c>
      <c r="CC51" s="44">
        <v>9</v>
      </c>
      <c r="CD51" s="62">
        <f t="shared" si="21"/>
        <v>0.4</v>
      </c>
    </row>
    <row r="52" spans="1:82" x14ac:dyDescent="0.3">
      <c r="A52" s="49" t="s">
        <v>118</v>
      </c>
      <c r="B52" s="49" t="s">
        <v>104</v>
      </c>
      <c r="C52" s="44" t="s">
        <v>38</v>
      </c>
      <c r="F52" s="62" t="str">
        <f t="shared" si="0"/>
        <v/>
      </c>
      <c r="J52" s="62" t="str">
        <f t="shared" si="1"/>
        <v/>
      </c>
      <c r="N52" s="62" t="str">
        <f t="shared" si="2"/>
        <v/>
      </c>
      <c r="R52" s="62" t="str">
        <f t="shared" si="3"/>
        <v/>
      </c>
      <c r="V52" s="62" t="str">
        <f t="shared" si="4"/>
        <v/>
      </c>
      <c r="Y52" s="62" t="str">
        <f t="shared" si="5"/>
        <v/>
      </c>
      <c r="AB52" s="62" t="str">
        <f t="shared" si="6"/>
        <v/>
      </c>
      <c r="AF52" s="62" t="str">
        <f t="shared" si="7"/>
        <v/>
      </c>
      <c r="AI52" s="62" t="str">
        <f t="shared" si="8"/>
        <v/>
      </c>
      <c r="AJ52" s="44" t="s">
        <v>38</v>
      </c>
      <c r="AK52" s="44">
        <v>120000</v>
      </c>
      <c r="AL52" s="44">
        <v>47059</v>
      </c>
      <c r="AM52" s="62">
        <f t="shared" si="9"/>
        <v>0.39215833333333333</v>
      </c>
      <c r="AN52" s="44" t="s">
        <v>38</v>
      </c>
      <c r="AO52" s="44">
        <v>105000</v>
      </c>
      <c r="AP52" s="44">
        <v>56875</v>
      </c>
      <c r="AQ52" s="62">
        <f t="shared" si="10"/>
        <v>0.54166666666666663</v>
      </c>
      <c r="AR52" s="44" t="s">
        <v>38</v>
      </c>
      <c r="AS52" s="44">
        <v>300000</v>
      </c>
      <c r="AT52" s="44">
        <v>112500</v>
      </c>
      <c r="AU52" s="62">
        <f t="shared" si="11"/>
        <v>0.375</v>
      </c>
      <c r="AV52" s="44" t="s">
        <v>38</v>
      </c>
      <c r="AW52" s="44">
        <v>200000</v>
      </c>
      <c r="AX52" s="44">
        <v>80000</v>
      </c>
      <c r="AY52" s="62">
        <f t="shared" si="12"/>
        <v>0.4</v>
      </c>
      <c r="BC52" s="62" t="str">
        <f t="shared" si="13"/>
        <v/>
      </c>
      <c r="BF52" s="62" t="str">
        <f t="shared" si="14"/>
        <v/>
      </c>
      <c r="BG52" s="44" t="s">
        <v>38</v>
      </c>
      <c r="BH52" s="44">
        <v>29576</v>
      </c>
      <c r="BI52" s="44">
        <v>14445</v>
      </c>
      <c r="BJ52" s="62">
        <f t="shared" si="15"/>
        <v>0.48840275899377872</v>
      </c>
      <c r="BK52" s="44">
        <v>42021</v>
      </c>
      <c r="BL52" s="44">
        <v>24420</v>
      </c>
      <c r="BM52" s="62">
        <f t="shared" si="16"/>
        <v>0.5811380024273578</v>
      </c>
      <c r="BN52" s="44" t="s">
        <v>38</v>
      </c>
      <c r="BO52" s="44">
        <v>80567</v>
      </c>
      <c r="BP52" s="44">
        <v>47333</v>
      </c>
      <c r="BQ52" s="62">
        <f t="shared" si="17"/>
        <v>0.58749860364665429</v>
      </c>
      <c r="BR52" s="56">
        <v>54509.25</v>
      </c>
      <c r="BS52" s="44">
        <v>18133</v>
      </c>
      <c r="BT52" s="62">
        <f t="shared" si="18"/>
        <v>0.33265913583474366</v>
      </c>
      <c r="BU52" s="44">
        <v>40735</v>
      </c>
      <c r="BV52" s="44">
        <v>21940.5</v>
      </c>
      <c r="BW52" s="62">
        <f t="shared" si="19"/>
        <v>0.53861544126672389</v>
      </c>
      <c r="BX52" s="44" t="s">
        <v>38</v>
      </c>
      <c r="BY52" s="44">
        <v>43108</v>
      </c>
      <c r="BZ52" s="44">
        <v>22664</v>
      </c>
      <c r="CA52" s="62">
        <f t="shared" si="20"/>
        <v>0.52574928087593953</v>
      </c>
      <c r="CB52" s="44">
        <v>43514</v>
      </c>
      <c r="CC52" s="44">
        <v>28071</v>
      </c>
      <c r="CD52" s="62">
        <f t="shared" si="21"/>
        <v>0.64510272555959003</v>
      </c>
    </row>
    <row r="53" spans="1:82" x14ac:dyDescent="0.3">
      <c r="A53" s="49" t="s">
        <v>245</v>
      </c>
      <c r="B53" s="49" t="s">
        <v>104</v>
      </c>
      <c r="C53" s="44" t="s">
        <v>38</v>
      </c>
      <c r="F53" s="62" t="str">
        <f t="shared" si="0"/>
        <v/>
      </c>
      <c r="J53" s="62" t="str">
        <f t="shared" si="1"/>
        <v/>
      </c>
      <c r="N53" s="62" t="str">
        <f t="shared" si="2"/>
        <v/>
      </c>
      <c r="R53" s="62" t="str">
        <f t="shared" si="3"/>
        <v/>
      </c>
      <c r="V53" s="62" t="str">
        <f t="shared" si="4"/>
        <v/>
      </c>
      <c r="Y53" s="62" t="str">
        <f t="shared" si="5"/>
        <v/>
      </c>
      <c r="AB53" s="62" t="str">
        <f t="shared" si="6"/>
        <v/>
      </c>
      <c r="AF53" s="62" t="str">
        <f t="shared" si="7"/>
        <v/>
      </c>
      <c r="AI53" s="62" t="str">
        <f t="shared" si="8"/>
        <v/>
      </c>
      <c r="AJ53" s="44" t="s">
        <v>38</v>
      </c>
      <c r="AK53" s="44">
        <v>2700</v>
      </c>
      <c r="AL53" s="44">
        <v>865</v>
      </c>
      <c r="AM53" s="62">
        <f t="shared" si="9"/>
        <v>0.32037037037037036</v>
      </c>
      <c r="AN53" s="44" t="s">
        <v>38</v>
      </c>
      <c r="AO53" s="44">
        <v>1600</v>
      </c>
      <c r="AP53" s="44">
        <v>1000</v>
      </c>
      <c r="AQ53" s="62">
        <f t="shared" si="10"/>
        <v>0.625</v>
      </c>
      <c r="AR53" s="44" t="s">
        <v>38</v>
      </c>
      <c r="AS53" s="44">
        <v>11100</v>
      </c>
      <c r="AT53" s="44">
        <v>4168</v>
      </c>
      <c r="AU53" s="62">
        <f t="shared" si="11"/>
        <v>0.37549549549549549</v>
      </c>
      <c r="AV53" s="44" t="s">
        <v>38</v>
      </c>
      <c r="AW53" s="44">
        <v>8702</v>
      </c>
      <c r="AX53" s="44">
        <v>5622</v>
      </c>
      <c r="AY53" s="62">
        <f t="shared" si="12"/>
        <v>0.64605837738450933</v>
      </c>
      <c r="BC53" s="62" t="str">
        <f t="shared" si="13"/>
        <v/>
      </c>
      <c r="BF53" s="62" t="str">
        <f t="shared" si="14"/>
        <v/>
      </c>
      <c r="BG53" s="44" t="s">
        <v>38</v>
      </c>
      <c r="BH53" s="44">
        <v>540</v>
      </c>
      <c r="BI53" s="44">
        <v>219</v>
      </c>
      <c r="BJ53" s="62">
        <f t="shared" si="15"/>
        <v>0.40555555555555556</v>
      </c>
      <c r="BK53" s="44">
        <v>694</v>
      </c>
      <c r="BL53" s="44">
        <v>430</v>
      </c>
      <c r="BM53" s="62">
        <f t="shared" si="16"/>
        <v>0.6195965417867435</v>
      </c>
      <c r="BN53" s="44" t="s">
        <v>38</v>
      </c>
      <c r="BQ53" s="62" t="str">
        <f t="shared" si="17"/>
        <v/>
      </c>
      <c r="BR53" s="44">
        <v>85</v>
      </c>
      <c r="BS53" s="44">
        <v>118</v>
      </c>
      <c r="BT53" s="62">
        <f t="shared" si="18"/>
        <v>1.388235294117647</v>
      </c>
      <c r="BU53" s="44">
        <v>1599</v>
      </c>
      <c r="BV53" s="44">
        <v>828</v>
      </c>
      <c r="BW53" s="62">
        <f t="shared" si="19"/>
        <v>0.51782363977485923</v>
      </c>
      <c r="BX53" s="44" t="s">
        <v>38</v>
      </c>
      <c r="BY53" s="44">
        <v>1720.5</v>
      </c>
      <c r="BZ53" s="44">
        <v>1442</v>
      </c>
      <c r="CA53" s="62">
        <f t="shared" si="20"/>
        <v>0.83812845103167688</v>
      </c>
      <c r="CB53" s="44">
        <v>1241</v>
      </c>
      <c r="CC53" s="44">
        <v>806</v>
      </c>
      <c r="CD53" s="62">
        <f t="shared" si="21"/>
        <v>0.64947622884770351</v>
      </c>
    </row>
    <row r="54" spans="1:82" x14ac:dyDescent="0.3">
      <c r="A54" s="53" t="s">
        <v>47</v>
      </c>
      <c r="B54" s="49" t="s">
        <v>104</v>
      </c>
      <c r="C54" s="44" t="s">
        <v>38</v>
      </c>
      <c r="F54" s="62" t="str">
        <f t="shared" si="0"/>
        <v/>
      </c>
      <c r="J54" s="62" t="str">
        <f t="shared" si="1"/>
        <v/>
      </c>
      <c r="L54" s="32"/>
      <c r="M54" s="32"/>
      <c r="N54" s="62" t="str">
        <f t="shared" si="2"/>
        <v/>
      </c>
      <c r="R54" s="62" t="str">
        <f t="shared" si="3"/>
        <v/>
      </c>
      <c r="V54" s="62" t="str">
        <f t="shared" si="4"/>
        <v/>
      </c>
      <c r="Y54" s="62" t="str">
        <f t="shared" si="5"/>
        <v/>
      </c>
      <c r="AB54" s="62" t="str">
        <f t="shared" si="6"/>
        <v/>
      </c>
      <c r="AF54" s="62" t="str">
        <f t="shared" si="7"/>
        <v/>
      </c>
      <c r="AI54" s="62" t="str">
        <f t="shared" si="8"/>
        <v/>
      </c>
      <c r="AM54" s="62" t="str">
        <f t="shared" si="9"/>
        <v/>
      </c>
      <c r="AQ54" s="62" t="str">
        <f t="shared" si="10"/>
        <v/>
      </c>
      <c r="AU54" s="62" t="str">
        <f t="shared" si="11"/>
        <v/>
      </c>
      <c r="AW54" s="32"/>
      <c r="AX54" s="32"/>
      <c r="AY54" s="62" t="str">
        <f t="shared" si="12"/>
        <v/>
      </c>
      <c r="BC54" s="62" t="str">
        <f t="shared" si="13"/>
        <v/>
      </c>
      <c r="BF54" s="62" t="str">
        <f t="shared" si="14"/>
        <v/>
      </c>
      <c r="BG54" s="44" t="s">
        <v>38</v>
      </c>
      <c r="BJ54" s="62" t="str">
        <f t="shared" si="15"/>
        <v/>
      </c>
      <c r="BK54" s="44">
        <v>27</v>
      </c>
      <c r="BL54" s="44">
        <v>17</v>
      </c>
      <c r="BM54" s="62">
        <f t="shared" si="16"/>
        <v>0.62962962962962965</v>
      </c>
      <c r="BN54" s="44" t="s">
        <v>38</v>
      </c>
      <c r="BO54" s="44">
        <v>14</v>
      </c>
      <c r="BP54" s="44">
        <v>14</v>
      </c>
      <c r="BQ54" s="62">
        <f t="shared" si="17"/>
        <v>1</v>
      </c>
      <c r="BT54" s="62" t="str">
        <f t="shared" si="18"/>
        <v/>
      </c>
      <c r="BW54" s="62" t="str">
        <f t="shared" si="19"/>
        <v/>
      </c>
      <c r="BX54" s="44" t="s">
        <v>38</v>
      </c>
      <c r="CA54" s="62" t="str">
        <f t="shared" si="20"/>
        <v/>
      </c>
      <c r="CB54" s="44">
        <v>0.25</v>
      </c>
      <c r="CC54" s="44">
        <v>1.5</v>
      </c>
      <c r="CD54" s="62">
        <f t="shared" si="21"/>
        <v>6</v>
      </c>
    </row>
    <row r="55" spans="1:82" x14ac:dyDescent="0.3">
      <c r="A55" s="49" t="s">
        <v>44</v>
      </c>
      <c r="B55" s="49" t="s">
        <v>104</v>
      </c>
      <c r="C55" s="44" t="s">
        <v>38</v>
      </c>
      <c r="F55" s="62" t="str">
        <f t="shared" si="0"/>
        <v/>
      </c>
      <c r="J55" s="62" t="str">
        <f t="shared" si="1"/>
        <v/>
      </c>
      <c r="N55" s="62" t="str">
        <f t="shared" si="2"/>
        <v/>
      </c>
      <c r="R55" s="62" t="str">
        <f t="shared" si="3"/>
        <v/>
      </c>
      <c r="V55" s="62" t="str">
        <f t="shared" si="4"/>
        <v/>
      </c>
      <c r="Y55" s="62" t="str">
        <f t="shared" si="5"/>
        <v/>
      </c>
      <c r="AB55" s="62" t="str">
        <f t="shared" si="6"/>
        <v/>
      </c>
      <c r="AF55" s="62" t="str">
        <f t="shared" si="7"/>
        <v/>
      </c>
      <c r="AI55" s="62" t="str">
        <f t="shared" si="8"/>
        <v/>
      </c>
      <c r="AJ55" s="44" t="s">
        <v>37</v>
      </c>
      <c r="AK55" s="44">
        <v>14</v>
      </c>
      <c r="AL55" s="44">
        <v>206</v>
      </c>
      <c r="AM55" s="62">
        <f t="shared" si="9"/>
        <v>14.714285714285714</v>
      </c>
      <c r="AN55" s="44" t="s">
        <v>37</v>
      </c>
      <c r="AO55" s="44">
        <v>12</v>
      </c>
      <c r="AP55" s="44">
        <v>187</v>
      </c>
      <c r="AQ55" s="62">
        <f t="shared" si="10"/>
        <v>15.583333333333334</v>
      </c>
      <c r="AR55" s="44" t="s">
        <v>37</v>
      </c>
      <c r="AS55" s="44">
        <v>10</v>
      </c>
      <c r="AT55" s="44">
        <v>156</v>
      </c>
      <c r="AU55" s="62">
        <f t="shared" si="11"/>
        <v>15.6</v>
      </c>
      <c r="AV55" s="44" t="s">
        <v>37</v>
      </c>
      <c r="AW55" s="54">
        <v>20</v>
      </c>
      <c r="AX55" s="44">
        <v>400</v>
      </c>
      <c r="AY55" s="62">
        <f t="shared" si="12"/>
        <v>20</v>
      </c>
      <c r="BC55" s="62" t="str">
        <f t="shared" si="13"/>
        <v/>
      </c>
      <c r="BF55" s="62" t="str">
        <f t="shared" si="14"/>
        <v/>
      </c>
      <c r="BG55" s="44" t="s">
        <v>38</v>
      </c>
      <c r="BH55" s="44">
        <v>204</v>
      </c>
      <c r="BI55" s="44">
        <v>816</v>
      </c>
      <c r="BJ55" s="62">
        <f t="shared" si="15"/>
        <v>4</v>
      </c>
      <c r="BM55" s="62" t="str">
        <f t="shared" si="16"/>
        <v/>
      </c>
      <c r="BN55" s="44" t="s">
        <v>38</v>
      </c>
      <c r="BQ55" s="62" t="str">
        <f t="shared" si="17"/>
        <v/>
      </c>
      <c r="BT55" s="62" t="str">
        <f t="shared" si="18"/>
        <v/>
      </c>
      <c r="BU55" s="44">
        <v>550.75</v>
      </c>
      <c r="BV55" s="44">
        <v>174</v>
      </c>
      <c r="BW55" s="62">
        <f t="shared" si="19"/>
        <v>0.3159328188833409</v>
      </c>
      <c r="BX55" s="44" t="s">
        <v>38</v>
      </c>
      <c r="BY55" s="44">
        <v>618.75</v>
      </c>
      <c r="BZ55" s="44">
        <v>231</v>
      </c>
      <c r="CA55" s="62">
        <f t="shared" si="20"/>
        <v>0.37333333333333335</v>
      </c>
      <c r="CB55" s="44">
        <v>592.75</v>
      </c>
      <c r="CC55" s="44">
        <v>674</v>
      </c>
      <c r="CD55" s="62">
        <f t="shared" si="21"/>
        <v>1.1370729649936735</v>
      </c>
    </row>
    <row r="56" spans="1:82" x14ac:dyDescent="0.3">
      <c r="A56" s="49" t="s">
        <v>18</v>
      </c>
      <c r="B56" s="49" t="s">
        <v>293</v>
      </c>
      <c r="C56" s="44" t="s">
        <v>37</v>
      </c>
      <c r="D56" s="44">
        <v>55</v>
      </c>
      <c r="E56" s="44">
        <v>786</v>
      </c>
      <c r="F56" s="62">
        <f t="shared" si="0"/>
        <v>14.290909090909091</v>
      </c>
      <c r="G56" s="44" t="s">
        <v>37</v>
      </c>
      <c r="H56" s="44">
        <v>64</v>
      </c>
      <c r="I56" s="44">
        <v>1067</v>
      </c>
      <c r="J56" s="62">
        <f t="shared" si="1"/>
        <v>16.671875</v>
      </c>
      <c r="K56" s="44" t="s">
        <v>37</v>
      </c>
      <c r="L56" s="44">
        <v>69</v>
      </c>
      <c r="M56" s="44">
        <v>1180</v>
      </c>
      <c r="N56" s="62">
        <f t="shared" si="2"/>
        <v>17.10144927536232</v>
      </c>
      <c r="O56" s="44" t="s">
        <v>37</v>
      </c>
      <c r="P56" s="44">
        <v>92</v>
      </c>
      <c r="Q56" s="44">
        <v>1769</v>
      </c>
      <c r="R56" s="62">
        <f t="shared" si="3"/>
        <v>19.228260869565219</v>
      </c>
      <c r="S56" s="44" t="s">
        <v>37</v>
      </c>
      <c r="T56" s="44">
        <v>100</v>
      </c>
      <c r="U56" s="44">
        <v>1786</v>
      </c>
      <c r="V56" s="62">
        <f t="shared" si="4"/>
        <v>17.86</v>
      </c>
      <c r="W56" s="44">
        <v>80</v>
      </c>
      <c r="X56" s="44">
        <v>1250</v>
      </c>
      <c r="Y56" s="62">
        <f t="shared" si="5"/>
        <v>15.625</v>
      </c>
      <c r="Z56" s="44">
        <v>74</v>
      </c>
      <c r="AA56" s="44">
        <v>1138</v>
      </c>
      <c r="AB56" s="62">
        <f t="shared" si="6"/>
        <v>15.378378378378379</v>
      </c>
      <c r="AC56" s="44" t="s">
        <v>37</v>
      </c>
      <c r="AD56" s="44">
        <v>80</v>
      </c>
      <c r="AE56" s="44">
        <v>1111</v>
      </c>
      <c r="AF56" s="62">
        <f t="shared" si="7"/>
        <v>13.887499999999999</v>
      </c>
      <c r="AG56" s="44">
        <v>60</v>
      </c>
      <c r="AH56" s="44">
        <v>833</v>
      </c>
      <c r="AI56" s="62">
        <f t="shared" si="8"/>
        <v>13.883333333333333</v>
      </c>
      <c r="AM56" s="62" t="str">
        <f t="shared" si="9"/>
        <v/>
      </c>
      <c r="AQ56" s="62" t="str">
        <f t="shared" si="10"/>
        <v/>
      </c>
      <c r="AU56" s="62" t="str">
        <f t="shared" si="11"/>
        <v/>
      </c>
      <c r="AY56" s="62" t="str">
        <f t="shared" si="12"/>
        <v/>
      </c>
      <c r="BC56" s="62" t="str">
        <f t="shared" si="13"/>
        <v/>
      </c>
      <c r="BF56" s="62" t="str">
        <f t="shared" si="14"/>
        <v/>
      </c>
      <c r="BG56" s="44" t="s">
        <v>38</v>
      </c>
      <c r="BH56" s="44">
        <v>807</v>
      </c>
      <c r="BI56" s="44">
        <v>698</v>
      </c>
      <c r="BJ56" s="62">
        <f t="shared" si="15"/>
        <v>0.86493184634448572</v>
      </c>
      <c r="BK56" s="44">
        <v>95</v>
      </c>
      <c r="BL56" s="44">
        <v>955</v>
      </c>
      <c r="BM56" s="62">
        <f t="shared" si="16"/>
        <v>10.052631578947368</v>
      </c>
      <c r="BN56" s="44" t="s">
        <v>38</v>
      </c>
      <c r="BO56" s="44">
        <v>291</v>
      </c>
      <c r="BP56" s="44">
        <v>904</v>
      </c>
      <c r="BQ56" s="62">
        <f t="shared" si="17"/>
        <v>3.1065292096219932</v>
      </c>
      <c r="BT56" s="62" t="str">
        <f t="shared" si="18"/>
        <v/>
      </c>
      <c r="BU56" s="44">
        <v>368.25</v>
      </c>
      <c r="BV56" s="44">
        <v>1198</v>
      </c>
      <c r="BW56" s="62">
        <f t="shared" si="19"/>
        <v>3.2532247114731838</v>
      </c>
      <c r="BX56" s="44" t="s">
        <v>38</v>
      </c>
      <c r="BY56" s="44">
        <v>232</v>
      </c>
      <c r="BZ56" s="44">
        <v>1487</v>
      </c>
      <c r="CA56" s="62">
        <f t="shared" si="20"/>
        <v>6.4094827586206895</v>
      </c>
      <c r="CB56" s="44">
        <v>121.5</v>
      </c>
      <c r="CC56" s="44">
        <v>904</v>
      </c>
      <c r="CD56" s="62">
        <f t="shared" si="21"/>
        <v>7.4403292181069958</v>
      </c>
    </row>
    <row r="57" spans="1:82" x14ac:dyDescent="0.3">
      <c r="A57" s="49" t="s">
        <v>127</v>
      </c>
      <c r="B57" s="49" t="s">
        <v>104</v>
      </c>
      <c r="C57" s="44" t="s">
        <v>38</v>
      </c>
      <c r="F57" s="62" t="str">
        <f t="shared" si="0"/>
        <v/>
      </c>
      <c r="J57" s="62" t="str">
        <f t="shared" si="1"/>
        <v/>
      </c>
      <c r="N57" s="62" t="str">
        <f t="shared" si="2"/>
        <v/>
      </c>
      <c r="R57" s="62" t="str">
        <f t="shared" si="3"/>
        <v/>
      </c>
      <c r="V57" s="62" t="str">
        <f t="shared" si="4"/>
        <v/>
      </c>
      <c r="Y57" s="62" t="str">
        <f t="shared" si="5"/>
        <v/>
      </c>
      <c r="AB57" s="62" t="str">
        <f t="shared" si="6"/>
        <v/>
      </c>
      <c r="AF57" s="62" t="str">
        <f t="shared" si="7"/>
        <v/>
      </c>
      <c r="AI57" s="62" t="str">
        <f t="shared" si="8"/>
        <v/>
      </c>
      <c r="AJ57" s="44" t="s">
        <v>38</v>
      </c>
      <c r="AK57" s="44">
        <v>420</v>
      </c>
      <c r="AL57" s="44">
        <v>2470</v>
      </c>
      <c r="AM57" s="62">
        <f t="shared" si="9"/>
        <v>5.8809523809523814</v>
      </c>
      <c r="AN57" s="44" t="s">
        <v>38</v>
      </c>
      <c r="AO57" s="44">
        <v>3000</v>
      </c>
      <c r="AP57" s="44">
        <v>1875</v>
      </c>
      <c r="AQ57" s="62">
        <f t="shared" si="10"/>
        <v>0.625</v>
      </c>
      <c r="AR57" s="44" t="s">
        <v>38</v>
      </c>
      <c r="AS57" s="44">
        <v>2200</v>
      </c>
      <c r="AT57" s="44">
        <v>1375</v>
      </c>
      <c r="AU57" s="62">
        <f t="shared" si="11"/>
        <v>0.625</v>
      </c>
      <c r="AV57" s="44" t="s">
        <v>38</v>
      </c>
      <c r="AW57" s="44">
        <v>3990</v>
      </c>
      <c r="AX57" s="44">
        <v>2666</v>
      </c>
      <c r="AY57" s="62">
        <f t="shared" si="12"/>
        <v>0.66817042606516286</v>
      </c>
      <c r="AZ57" s="44" t="s">
        <v>38</v>
      </c>
      <c r="BA57" s="44">
        <v>3500</v>
      </c>
      <c r="BB57" s="44">
        <v>2333</v>
      </c>
      <c r="BC57" s="62">
        <f t="shared" si="13"/>
        <v>0.66657142857142859</v>
      </c>
      <c r="BD57" s="44">
        <v>2000</v>
      </c>
      <c r="BE57" s="44">
        <v>1333</v>
      </c>
      <c r="BF57" s="62">
        <f t="shared" si="14"/>
        <v>0.66649999999999998</v>
      </c>
      <c r="BJ57" s="62" t="str">
        <f t="shared" si="15"/>
        <v/>
      </c>
      <c r="BM57" s="62" t="str">
        <f t="shared" si="16"/>
        <v/>
      </c>
      <c r="BQ57" s="62" t="str">
        <f t="shared" si="17"/>
        <v/>
      </c>
      <c r="BT57" s="62" t="str">
        <f t="shared" si="18"/>
        <v/>
      </c>
      <c r="BW57" s="62" t="str">
        <f t="shared" si="19"/>
        <v/>
      </c>
      <c r="CA57" s="62" t="str">
        <f t="shared" si="20"/>
        <v/>
      </c>
      <c r="CD57" s="62" t="str">
        <f t="shared" si="21"/>
        <v/>
      </c>
    </row>
    <row r="58" spans="1:82" x14ac:dyDescent="0.3">
      <c r="A58" s="49" t="s">
        <v>246</v>
      </c>
      <c r="B58" s="49" t="s">
        <v>293</v>
      </c>
      <c r="C58" s="44" t="s">
        <v>37</v>
      </c>
      <c r="F58" s="62" t="str">
        <f t="shared" si="0"/>
        <v/>
      </c>
      <c r="J58" s="62" t="str">
        <f t="shared" si="1"/>
        <v/>
      </c>
      <c r="N58" s="62" t="str">
        <f t="shared" si="2"/>
        <v/>
      </c>
      <c r="R58" s="62" t="str">
        <f t="shared" si="3"/>
        <v/>
      </c>
      <c r="V58" s="62" t="str">
        <f t="shared" si="4"/>
        <v/>
      </c>
      <c r="Y58" s="62" t="str">
        <f t="shared" si="5"/>
        <v/>
      </c>
      <c r="AB58" s="62" t="str">
        <f t="shared" si="6"/>
        <v/>
      </c>
      <c r="AF58" s="62" t="str">
        <f t="shared" si="7"/>
        <v/>
      </c>
      <c r="AI58" s="62" t="str">
        <f t="shared" si="8"/>
        <v/>
      </c>
      <c r="AJ58" s="44" t="s">
        <v>37</v>
      </c>
      <c r="AK58" s="44">
        <v>6</v>
      </c>
      <c r="AL58" s="44">
        <v>88</v>
      </c>
      <c r="AM58" s="62">
        <f t="shared" si="9"/>
        <v>14.666666666666666</v>
      </c>
      <c r="AN58" s="44" t="s">
        <v>37</v>
      </c>
      <c r="AO58" s="44">
        <v>13</v>
      </c>
      <c r="AP58" s="44">
        <v>187</v>
      </c>
      <c r="AQ58" s="62">
        <f t="shared" si="10"/>
        <v>14.384615384615385</v>
      </c>
      <c r="AR58" s="44" t="s">
        <v>37</v>
      </c>
      <c r="AS58" s="44">
        <v>4</v>
      </c>
      <c r="AT58" s="44">
        <v>63</v>
      </c>
      <c r="AU58" s="62">
        <f t="shared" si="11"/>
        <v>15.75</v>
      </c>
      <c r="AV58" s="44" t="s">
        <v>37</v>
      </c>
      <c r="AW58" s="44">
        <v>8</v>
      </c>
      <c r="AX58" s="44">
        <v>133</v>
      </c>
      <c r="AY58" s="62">
        <f t="shared" si="12"/>
        <v>16.625</v>
      </c>
      <c r="AZ58" s="44" t="s">
        <v>37</v>
      </c>
      <c r="BA58" s="44">
        <v>5</v>
      </c>
      <c r="BB58" s="44">
        <v>84</v>
      </c>
      <c r="BC58" s="62">
        <f t="shared" si="13"/>
        <v>16.8</v>
      </c>
      <c r="BD58" s="44">
        <v>36</v>
      </c>
      <c r="BE58" s="44">
        <v>600</v>
      </c>
      <c r="BF58" s="62">
        <f t="shared" si="14"/>
        <v>16.666666666666668</v>
      </c>
      <c r="BJ58" s="62" t="str">
        <f t="shared" si="15"/>
        <v/>
      </c>
      <c r="BM58" s="62" t="str">
        <f t="shared" si="16"/>
        <v/>
      </c>
      <c r="BQ58" s="62" t="str">
        <f t="shared" si="17"/>
        <v/>
      </c>
      <c r="BT58" s="62" t="str">
        <f t="shared" si="18"/>
        <v/>
      </c>
      <c r="BW58" s="62" t="str">
        <f t="shared" si="19"/>
        <v/>
      </c>
      <c r="CA58" s="62" t="str">
        <f t="shared" si="20"/>
        <v/>
      </c>
      <c r="CD58" s="62" t="str">
        <f t="shared" si="21"/>
        <v/>
      </c>
    </row>
    <row r="59" spans="1:82" x14ac:dyDescent="0.3">
      <c r="A59" s="49" t="s">
        <v>341</v>
      </c>
      <c r="B59" s="49" t="s">
        <v>104</v>
      </c>
      <c r="C59" s="44" t="s">
        <v>38</v>
      </c>
      <c r="F59" s="62" t="str">
        <f t="shared" si="0"/>
        <v/>
      </c>
      <c r="J59" s="62" t="str">
        <f t="shared" si="1"/>
        <v/>
      </c>
      <c r="N59" s="62" t="str">
        <f t="shared" si="2"/>
        <v/>
      </c>
      <c r="R59" s="62" t="str">
        <f t="shared" si="3"/>
        <v/>
      </c>
      <c r="V59" s="62" t="str">
        <f t="shared" si="4"/>
        <v/>
      </c>
      <c r="Y59" s="62" t="str">
        <f t="shared" si="5"/>
        <v/>
      </c>
      <c r="AB59" s="62" t="str">
        <f t="shared" si="6"/>
        <v/>
      </c>
      <c r="AF59" s="62" t="str">
        <f t="shared" si="7"/>
        <v/>
      </c>
      <c r="AI59" s="62" t="str">
        <f t="shared" si="8"/>
        <v/>
      </c>
      <c r="AM59" s="62" t="str">
        <f t="shared" si="9"/>
        <v/>
      </c>
      <c r="AQ59" s="62" t="str">
        <f t="shared" si="10"/>
        <v/>
      </c>
      <c r="AU59" s="62" t="str">
        <f t="shared" si="11"/>
        <v/>
      </c>
      <c r="AY59" s="62" t="str">
        <f t="shared" si="12"/>
        <v/>
      </c>
      <c r="BC59" s="62" t="str">
        <f t="shared" si="13"/>
        <v/>
      </c>
      <c r="BF59" s="62" t="str">
        <f t="shared" si="14"/>
        <v/>
      </c>
      <c r="BG59" s="44" t="s">
        <v>38</v>
      </c>
      <c r="BH59" s="44">
        <v>111</v>
      </c>
      <c r="BI59" s="44">
        <v>184</v>
      </c>
      <c r="BJ59" s="62">
        <f t="shared" si="15"/>
        <v>1.6576576576576576</v>
      </c>
      <c r="BK59" s="44">
        <v>110</v>
      </c>
      <c r="BL59" s="44">
        <v>303</v>
      </c>
      <c r="BM59" s="62">
        <f t="shared" si="16"/>
        <v>2.7545454545454544</v>
      </c>
      <c r="BN59" s="44" t="s">
        <v>38</v>
      </c>
      <c r="BO59" s="44">
        <v>138</v>
      </c>
      <c r="BP59" s="44">
        <v>232</v>
      </c>
      <c r="BQ59" s="62">
        <f t="shared" si="17"/>
        <v>1.681159420289855</v>
      </c>
      <c r="BR59" s="44">
        <v>13</v>
      </c>
      <c r="BS59" s="44">
        <v>64</v>
      </c>
      <c r="BT59" s="62">
        <f t="shared" si="18"/>
        <v>4.9230769230769234</v>
      </c>
      <c r="BW59" s="62" t="str">
        <f t="shared" si="19"/>
        <v/>
      </c>
      <c r="BX59" s="44" t="s">
        <v>38</v>
      </c>
      <c r="BY59" s="44">
        <v>10</v>
      </c>
      <c r="BZ59" s="44">
        <v>48</v>
      </c>
      <c r="CA59" s="62">
        <f t="shared" si="20"/>
        <v>4.8</v>
      </c>
      <c r="CB59" s="44">
        <v>28.25</v>
      </c>
      <c r="CC59" s="44">
        <v>32.25</v>
      </c>
      <c r="CD59" s="62">
        <f t="shared" si="21"/>
        <v>1.1415929203539823</v>
      </c>
    </row>
    <row r="60" spans="1:82" x14ac:dyDescent="0.3">
      <c r="A60" s="53" t="s">
        <v>19</v>
      </c>
      <c r="B60" s="49" t="s">
        <v>104</v>
      </c>
      <c r="C60" s="44" t="s">
        <v>38</v>
      </c>
      <c r="D60" s="44">
        <v>836</v>
      </c>
      <c r="E60" s="44">
        <v>750</v>
      </c>
      <c r="F60" s="62">
        <f t="shared" si="0"/>
        <v>0.89712918660287078</v>
      </c>
      <c r="G60" s="44" t="s">
        <v>38</v>
      </c>
      <c r="H60" s="44">
        <v>1099</v>
      </c>
      <c r="I60" s="44">
        <v>1121</v>
      </c>
      <c r="J60" s="62">
        <f t="shared" si="1"/>
        <v>1.0200181983621475</v>
      </c>
      <c r="N60" s="62" t="str">
        <f t="shared" si="2"/>
        <v/>
      </c>
      <c r="R60" s="62" t="str">
        <f t="shared" si="3"/>
        <v/>
      </c>
      <c r="V60" s="62" t="str">
        <f t="shared" si="4"/>
        <v/>
      </c>
      <c r="Y60" s="62" t="str">
        <f t="shared" si="5"/>
        <v/>
      </c>
      <c r="AB60" s="62" t="str">
        <f t="shared" si="6"/>
        <v/>
      </c>
      <c r="AF60" s="62" t="str">
        <f t="shared" si="7"/>
        <v/>
      </c>
      <c r="AI60" s="62" t="str">
        <f t="shared" si="8"/>
        <v/>
      </c>
      <c r="AM60" s="62" t="str">
        <f t="shared" si="9"/>
        <v/>
      </c>
      <c r="AQ60" s="62" t="str">
        <f t="shared" si="10"/>
        <v/>
      </c>
      <c r="AU60" s="62" t="str">
        <f t="shared" si="11"/>
        <v/>
      </c>
      <c r="AY60" s="62" t="str">
        <f t="shared" si="12"/>
        <v/>
      </c>
      <c r="BC60" s="62" t="str">
        <f t="shared" si="13"/>
        <v/>
      </c>
      <c r="BF60" s="62" t="str">
        <f t="shared" si="14"/>
        <v/>
      </c>
      <c r="BJ60" s="62" t="str">
        <f t="shared" si="15"/>
        <v/>
      </c>
      <c r="BM60" s="62" t="str">
        <f t="shared" si="16"/>
        <v/>
      </c>
      <c r="BQ60" s="62" t="str">
        <f t="shared" si="17"/>
        <v/>
      </c>
      <c r="BT60" s="62" t="str">
        <f t="shared" si="18"/>
        <v/>
      </c>
      <c r="BW60" s="62" t="str">
        <f t="shared" si="19"/>
        <v/>
      </c>
      <c r="BX60" s="44" t="s">
        <v>38</v>
      </c>
      <c r="BY60" s="44">
        <v>340.5</v>
      </c>
      <c r="BZ60" s="44">
        <v>169</v>
      </c>
      <c r="CA60" s="62">
        <f t="shared" si="20"/>
        <v>0.49632892804698975</v>
      </c>
      <c r="CB60" s="44">
        <v>238</v>
      </c>
      <c r="CC60" s="44">
        <v>242</v>
      </c>
      <c r="CD60" s="62">
        <f t="shared" si="21"/>
        <v>1.0168067226890756</v>
      </c>
    </row>
    <row r="61" spans="1:82" x14ac:dyDescent="0.3">
      <c r="A61" s="53" t="s">
        <v>342</v>
      </c>
      <c r="B61" s="49" t="s">
        <v>104</v>
      </c>
      <c r="C61" s="44" t="s">
        <v>38</v>
      </c>
      <c r="F61" s="62" t="str">
        <f t="shared" si="0"/>
        <v/>
      </c>
      <c r="J61" s="62" t="str">
        <f t="shared" si="1"/>
        <v/>
      </c>
      <c r="K61" s="44" t="s">
        <v>38</v>
      </c>
      <c r="L61" s="44">
        <v>595</v>
      </c>
      <c r="M61" s="44">
        <v>1415</v>
      </c>
      <c r="N61" s="62">
        <f t="shared" si="2"/>
        <v>2.3781512605042017</v>
      </c>
      <c r="O61" s="44" t="s">
        <v>38</v>
      </c>
      <c r="P61" s="44">
        <v>889</v>
      </c>
      <c r="Q61" s="44">
        <v>1500</v>
      </c>
      <c r="R61" s="62">
        <f t="shared" si="3"/>
        <v>1.6872890888638921</v>
      </c>
      <c r="S61" s="44" t="s">
        <v>38</v>
      </c>
      <c r="T61" s="44">
        <v>500</v>
      </c>
      <c r="U61" s="44">
        <v>1250</v>
      </c>
      <c r="V61" s="62">
        <f t="shared" si="4"/>
        <v>2.5</v>
      </c>
      <c r="W61" s="44">
        <v>425</v>
      </c>
      <c r="X61" s="44">
        <v>634</v>
      </c>
      <c r="Y61" s="62">
        <f t="shared" si="5"/>
        <v>1.4917647058823529</v>
      </c>
      <c r="Z61" s="44">
        <v>350</v>
      </c>
      <c r="AA61" s="44">
        <v>738</v>
      </c>
      <c r="AB61" s="62">
        <f t="shared" si="6"/>
        <v>2.1085714285714285</v>
      </c>
      <c r="AC61" s="44" t="s">
        <v>38</v>
      </c>
      <c r="AD61" s="44">
        <v>300</v>
      </c>
      <c r="AE61" s="44">
        <v>578</v>
      </c>
      <c r="AF61" s="62">
        <f t="shared" si="7"/>
        <v>1.9266666666666667</v>
      </c>
      <c r="AI61" s="62" t="str">
        <f t="shared" si="8"/>
        <v/>
      </c>
      <c r="AM61" s="62" t="str">
        <f t="shared" si="9"/>
        <v/>
      </c>
      <c r="AQ61" s="62" t="str">
        <f t="shared" si="10"/>
        <v/>
      </c>
      <c r="AU61" s="62" t="str">
        <f t="shared" si="11"/>
        <v/>
      </c>
      <c r="AY61" s="62" t="str">
        <f t="shared" si="12"/>
        <v/>
      </c>
      <c r="BC61" s="62" t="str">
        <f t="shared" si="13"/>
        <v/>
      </c>
      <c r="BF61" s="62" t="str">
        <f t="shared" si="14"/>
        <v/>
      </c>
      <c r="BJ61" s="62" t="str">
        <f t="shared" si="15"/>
        <v/>
      </c>
      <c r="BM61" s="62" t="str">
        <f t="shared" si="16"/>
        <v/>
      </c>
      <c r="BQ61" s="62" t="str">
        <f t="shared" si="17"/>
        <v/>
      </c>
      <c r="BT61" s="62" t="str">
        <f t="shared" si="18"/>
        <v/>
      </c>
      <c r="BW61" s="62" t="str">
        <f t="shared" si="19"/>
        <v/>
      </c>
      <c r="CA61" s="62" t="str">
        <f t="shared" si="20"/>
        <v/>
      </c>
      <c r="CD61" s="62" t="str">
        <f t="shared" si="21"/>
        <v/>
      </c>
    </row>
    <row r="62" spans="1:82" x14ac:dyDescent="0.3">
      <c r="A62" s="53" t="s">
        <v>247</v>
      </c>
      <c r="B62" s="49" t="s">
        <v>104</v>
      </c>
      <c r="C62" s="44" t="s">
        <v>38</v>
      </c>
      <c r="F62" s="62" t="str">
        <f t="shared" si="0"/>
        <v/>
      </c>
      <c r="J62" s="62" t="str">
        <f t="shared" si="1"/>
        <v/>
      </c>
      <c r="N62" s="62" t="str">
        <f t="shared" si="2"/>
        <v/>
      </c>
      <c r="R62" s="62" t="str">
        <f t="shared" si="3"/>
        <v/>
      </c>
      <c r="V62" s="62" t="str">
        <f t="shared" si="4"/>
        <v/>
      </c>
      <c r="Y62" s="62" t="str">
        <f t="shared" si="5"/>
        <v/>
      </c>
      <c r="AB62" s="62" t="str">
        <f t="shared" si="6"/>
        <v/>
      </c>
      <c r="AF62" s="62" t="str">
        <f t="shared" si="7"/>
        <v/>
      </c>
      <c r="AI62" s="62" t="str">
        <f t="shared" si="8"/>
        <v/>
      </c>
      <c r="AJ62" s="44" t="s">
        <v>43</v>
      </c>
      <c r="AK62" s="44">
        <v>40</v>
      </c>
      <c r="AL62" s="44">
        <v>141</v>
      </c>
      <c r="AM62" s="62">
        <f t="shared" si="9"/>
        <v>3.5249999999999999</v>
      </c>
      <c r="AN62" s="44" t="s">
        <v>43</v>
      </c>
      <c r="AO62" s="44">
        <v>50</v>
      </c>
      <c r="AP62" s="44">
        <v>94</v>
      </c>
      <c r="AQ62" s="62">
        <f t="shared" si="10"/>
        <v>1.88</v>
      </c>
      <c r="AU62" s="62" t="str">
        <f t="shared" si="11"/>
        <v/>
      </c>
      <c r="AY62" s="62" t="str">
        <f t="shared" si="12"/>
        <v/>
      </c>
      <c r="BC62" s="62" t="str">
        <f t="shared" si="13"/>
        <v/>
      </c>
      <c r="BF62" s="62" t="str">
        <f t="shared" si="14"/>
        <v/>
      </c>
      <c r="BG62" s="44" t="s">
        <v>38</v>
      </c>
      <c r="BH62" s="44">
        <v>23</v>
      </c>
      <c r="BI62" s="44">
        <v>30</v>
      </c>
      <c r="BJ62" s="62">
        <f t="shared" si="15"/>
        <v>1.3043478260869565</v>
      </c>
      <c r="BM62" s="62" t="str">
        <f t="shared" si="16"/>
        <v/>
      </c>
      <c r="BQ62" s="62" t="str">
        <f t="shared" si="17"/>
        <v/>
      </c>
      <c r="BT62" s="62" t="str">
        <f t="shared" si="18"/>
        <v/>
      </c>
      <c r="BW62" s="62" t="str">
        <f t="shared" si="19"/>
        <v/>
      </c>
      <c r="CA62" s="62" t="str">
        <f t="shared" si="20"/>
        <v/>
      </c>
      <c r="CD62" s="62" t="str">
        <f t="shared" si="21"/>
        <v/>
      </c>
    </row>
    <row r="63" spans="1:82" x14ac:dyDescent="0.3">
      <c r="A63" s="53" t="s">
        <v>343</v>
      </c>
      <c r="B63" s="49" t="s">
        <v>104</v>
      </c>
      <c r="C63" s="44" t="s">
        <v>38</v>
      </c>
      <c r="F63" s="62" t="str">
        <f t="shared" si="0"/>
        <v/>
      </c>
      <c r="J63" s="62" t="str">
        <f t="shared" si="1"/>
        <v/>
      </c>
      <c r="N63" s="62" t="str">
        <f t="shared" si="2"/>
        <v/>
      </c>
      <c r="R63" s="62" t="str">
        <f t="shared" si="3"/>
        <v/>
      </c>
      <c r="V63" s="62" t="str">
        <f t="shared" si="4"/>
        <v/>
      </c>
      <c r="Y63" s="62" t="str">
        <f t="shared" si="5"/>
        <v/>
      </c>
      <c r="AB63" s="62" t="str">
        <f t="shared" si="6"/>
        <v/>
      </c>
      <c r="AF63" s="62" t="str">
        <f t="shared" si="7"/>
        <v/>
      </c>
      <c r="AI63" s="62" t="str">
        <f t="shared" si="8"/>
        <v/>
      </c>
      <c r="AJ63" s="44" t="s">
        <v>38</v>
      </c>
      <c r="AK63" s="44">
        <v>650</v>
      </c>
      <c r="AL63" s="44">
        <v>382</v>
      </c>
      <c r="AM63" s="62">
        <f t="shared" si="9"/>
        <v>0.58769230769230774</v>
      </c>
      <c r="AN63" s="44" t="s">
        <v>38</v>
      </c>
      <c r="AO63" s="44">
        <v>900</v>
      </c>
      <c r="AP63" s="44">
        <v>581</v>
      </c>
      <c r="AQ63" s="62">
        <f t="shared" si="10"/>
        <v>0.64555555555555555</v>
      </c>
      <c r="AR63" s="44" t="s">
        <v>38</v>
      </c>
      <c r="AS63" s="44">
        <v>750</v>
      </c>
      <c r="AT63" s="44">
        <v>469</v>
      </c>
      <c r="AU63" s="62">
        <f t="shared" si="11"/>
        <v>0.6253333333333333</v>
      </c>
      <c r="AV63" s="44" t="s">
        <v>38</v>
      </c>
      <c r="AW63" s="44">
        <v>1002</v>
      </c>
      <c r="AX63" s="44">
        <v>668</v>
      </c>
      <c r="AY63" s="62">
        <f t="shared" si="12"/>
        <v>0.66666666666666663</v>
      </c>
      <c r="AZ63" s="44" t="s">
        <v>38</v>
      </c>
      <c r="BA63" s="44">
        <v>900</v>
      </c>
      <c r="BB63" s="44">
        <v>600</v>
      </c>
      <c r="BC63" s="62">
        <f t="shared" si="13"/>
        <v>0.66666666666666663</v>
      </c>
      <c r="BD63" s="44">
        <v>450</v>
      </c>
      <c r="BE63" s="44">
        <v>375</v>
      </c>
      <c r="BF63" s="62">
        <f t="shared" si="14"/>
        <v>0.83333333333333337</v>
      </c>
      <c r="BG63" s="44" t="s">
        <v>38</v>
      </c>
      <c r="BJ63" s="62" t="str">
        <f t="shared" si="15"/>
        <v/>
      </c>
      <c r="BK63" s="44">
        <v>166</v>
      </c>
      <c r="BL63" s="44">
        <v>246</v>
      </c>
      <c r="BM63" s="62">
        <f t="shared" si="16"/>
        <v>1.4819277108433735</v>
      </c>
      <c r="BN63" s="44" t="s">
        <v>38</v>
      </c>
      <c r="BO63" s="44">
        <v>51</v>
      </c>
      <c r="BP63" s="44">
        <v>69</v>
      </c>
      <c r="BQ63" s="62">
        <f t="shared" si="17"/>
        <v>1.3529411764705883</v>
      </c>
      <c r="BR63" s="44">
        <v>122.5</v>
      </c>
      <c r="BS63" s="44">
        <v>275</v>
      </c>
      <c r="BT63" s="62">
        <f t="shared" si="18"/>
        <v>2.2448979591836733</v>
      </c>
      <c r="BW63" s="62" t="str">
        <f t="shared" si="19"/>
        <v/>
      </c>
      <c r="BX63" s="44" t="s">
        <v>38</v>
      </c>
      <c r="BY63" s="44">
        <v>252</v>
      </c>
      <c r="BZ63" s="44">
        <v>254</v>
      </c>
      <c r="CA63" s="62">
        <f t="shared" si="20"/>
        <v>1.0079365079365079</v>
      </c>
      <c r="CD63" s="62" t="str">
        <f t="shared" si="21"/>
        <v/>
      </c>
    </row>
    <row r="64" spans="1:82" x14ac:dyDescent="0.3">
      <c r="A64" s="53" t="s">
        <v>344</v>
      </c>
      <c r="B64" s="49" t="s">
        <v>104</v>
      </c>
      <c r="C64" s="44" t="s">
        <v>38</v>
      </c>
      <c r="F64" s="62" t="str">
        <f t="shared" si="0"/>
        <v/>
      </c>
      <c r="J64" s="62" t="str">
        <f t="shared" si="1"/>
        <v/>
      </c>
      <c r="N64" s="62" t="str">
        <f t="shared" si="2"/>
        <v/>
      </c>
      <c r="R64" s="62" t="str">
        <f t="shared" si="3"/>
        <v/>
      </c>
      <c r="V64" s="62" t="str">
        <f t="shared" si="4"/>
        <v/>
      </c>
      <c r="Y64" s="62" t="str">
        <f t="shared" si="5"/>
        <v/>
      </c>
      <c r="AB64" s="62" t="str">
        <f t="shared" si="6"/>
        <v/>
      </c>
      <c r="AF64" s="62" t="str">
        <f t="shared" si="7"/>
        <v/>
      </c>
      <c r="AI64" s="62" t="str">
        <f t="shared" si="8"/>
        <v/>
      </c>
      <c r="AM64" s="62" t="str">
        <f t="shared" si="9"/>
        <v/>
      </c>
      <c r="AQ64" s="62" t="str">
        <f t="shared" si="10"/>
        <v/>
      </c>
      <c r="AU64" s="62" t="str">
        <f t="shared" si="11"/>
        <v/>
      </c>
      <c r="AY64" s="62" t="str">
        <f t="shared" si="12"/>
        <v/>
      </c>
      <c r="BC64" s="62" t="str">
        <f t="shared" si="13"/>
        <v/>
      </c>
      <c r="BF64" s="62" t="str">
        <f t="shared" si="14"/>
        <v/>
      </c>
      <c r="BG64" s="44" t="s">
        <v>38</v>
      </c>
      <c r="BH64" s="44">
        <v>17</v>
      </c>
      <c r="BI64" s="44">
        <v>80</v>
      </c>
      <c r="BJ64" s="62">
        <f t="shared" si="15"/>
        <v>4.7058823529411766</v>
      </c>
      <c r="BM64" s="62" t="str">
        <f t="shared" si="16"/>
        <v/>
      </c>
      <c r="BN64" s="44" t="s">
        <v>38</v>
      </c>
      <c r="BQ64" s="62" t="str">
        <f t="shared" si="17"/>
        <v/>
      </c>
      <c r="BR64" s="44">
        <v>4.75</v>
      </c>
      <c r="BS64" s="44">
        <v>39</v>
      </c>
      <c r="BT64" s="62">
        <f t="shared" si="18"/>
        <v>8.2105263157894743</v>
      </c>
      <c r="BU64" s="44">
        <v>4.25</v>
      </c>
      <c r="BV64" s="44">
        <v>104</v>
      </c>
      <c r="BW64" s="62">
        <f t="shared" si="19"/>
        <v>24.470588235294116</v>
      </c>
      <c r="BX64" s="44" t="s">
        <v>38</v>
      </c>
      <c r="BY64" s="44">
        <v>34.75</v>
      </c>
      <c r="BZ64" s="44">
        <v>238.5</v>
      </c>
      <c r="CA64" s="62">
        <f t="shared" si="20"/>
        <v>6.8633093525179856</v>
      </c>
      <c r="CB64" s="44">
        <v>72</v>
      </c>
      <c r="CC64" s="44">
        <v>473</v>
      </c>
      <c r="CD64" s="62">
        <f t="shared" si="21"/>
        <v>6.5694444444444446</v>
      </c>
    </row>
    <row r="65" spans="1:82" x14ac:dyDescent="0.3">
      <c r="A65" s="53" t="s">
        <v>345</v>
      </c>
      <c r="B65" s="49" t="s">
        <v>104</v>
      </c>
      <c r="C65" s="44" t="s">
        <v>38</v>
      </c>
      <c r="F65" s="62" t="str">
        <f t="shared" si="0"/>
        <v/>
      </c>
      <c r="J65" s="62" t="str">
        <f t="shared" si="1"/>
        <v/>
      </c>
      <c r="N65" s="62" t="str">
        <f t="shared" si="2"/>
        <v/>
      </c>
      <c r="R65" s="62" t="str">
        <f t="shared" si="3"/>
        <v/>
      </c>
      <c r="V65" s="62" t="str">
        <f t="shared" si="4"/>
        <v/>
      </c>
      <c r="Y65" s="62" t="str">
        <f t="shared" si="5"/>
        <v/>
      </c>
      <c r="AB65" s="62" t="str">
        <f t="shared" si="6"/>
        <v/>
      </c>
      <c r="AF65" s="62" t="str">
        <f t="shared" si="7"/>
        <v/>
      </c>
      <c r="AI65" s="62" t="str">
        <f t="shared" si="8"/>
        <v/>
      </c>
      <c r="AM65" s="62" t="str">
        <f t="shared" si="9"/>
        <v/>
      </c>
      <c r="AQ65" s="62" t="str">
        <f t="shared" si="10"/>
        <v/>
      </c>
      <c r="AU65" s="62" t="str">
        <f t="shared" si="11"/>
        <v/>
      </c>
      <c r="AV65" s="44" t="s">
        <v>37</v>
      </c>
      <c r="AW65" s="44">
        <v>16</v>
      </c>
      <c r="AX65" s="44">
        <v>26</v>
      </c>
      <c r="AY65" s="62">
        <f t="shared" si="12"/>
        <v>1.625</v>
      </c>
      <c r="BC65" s="62" t="str">
        <f t="shared" si="13"/>
        <v/>
      </c>
      <c r="BF65" s="62" t="str">
        <f t="shared" si="14"/>
        <v/>
      </c>
      <c r="BJ65" s="62" t="str">
        <f t="shared" si="15"/>
        <v/>
      </c>
      <c r="BM65" s="62" t="str">
        <f t="shared" si="16"/>
        <v/>
      </c>
      <c r="BN65" s="44" t="s">
        <v>38</v>
      </c>
      <c r="BO65" s="44">
        <v>27</v>
      </c>
      <c r="BP65" s="44">
        <v>21</v>
      </c>
      <c r="BQ65" s="62">
        <f t="shared" si="17"/>
        <v>0.77777777777777779</v>
      </c>
      <c r="BT65" s="62" t="str">
        <f t="shared" si="18"/>
        <v/>
      </c>
      <c r="BW65" s="62" t="str">
        <f t="shared" si="19"/>
        <v/>
      </c>
      <c r="CA65" s="62" t="str">
        <f t="shared" si="20"/>
        <v/>
      </c>
      <c r="CD65" s="62" t="str">
        <f t="shared" si="21"/>
        <v/>
      </c>
    </row>
    <row r="66" spans="1:82" x14ac:dyDescent="0.3">
      <c r="A66" s="53" t="s">
        <v>346</v>
      </c>
      <c r="B66" s="49" t="s">
        <v>104</v>
      </c>
      <c r="C66" s="44" t="s">
        <v>38</v>
      </c>
      <c r="F66" s="62" t="str">
        <f t="shared" si="0"/>
        <v/>
      </c>
      <c r="J66" s="62" t="str">
        <f t="shared" si="1"/>
        <v/>
      </c>
      <c r="N66" s="62" t="str">
        <f t="shared" si="2"/>
        <v/>
      </c>
      <c r="R66" s="62" t="str">
        <f t="shared" si="3"/>
        <v/>
      </c>
      <c r="V66" s="62" t="str">
        <f t="shared" si="4"/>
        <v/>
      </c>
      <c r="Y66" s="62" t="str">
        <f t="shared" si="5"/>
        <v/>
      </c>
      <c r="AB66" s="62" t="str">
        <f t="shared" si="6"/>
        <v/>
      </c>
      <c r="AF66" s="62" t="str">
        <f t="shared" si="7"/>
        <v/>
      </c>
      <c r="AI66" s="62" t="str">
        <f t="shared" si="8"/>
        <v/>
      </c>
      <c r="AM66" s="62" t="str">
        <f t="shared" si="9"/>
        <v/>
      </c>
      <c r="AQ66" s="62" t="str">
        <f t="shared" si="10"/>
        <v/>
      </c>
      <c r="AU66" s="62" t="str">
        <f t="shared" si="11"/>
        <v/>
      </c>
      <c r="AY66" s="62" t="str">
        <f t="shared" si="12"/>
        <v/>
      </c>
      <c r="BC66" s="62" t="str">
        <f t="shared" si="13"/>
        <v/>
      </c>
      <c r="BF66" s="62" t="str">
        <f t="shared" si="14"/>
        <v/>
      </c>
      <c r="BJ66" s="62" t="str">
        <f t="shared" si="15"/>
        <v/>
      </c>
      <c r="BM66" s="62" t="str">
        <f t="shared" si="16"/>
        <v/>
      </c>
      <c r="BN66" s="44" t="s">
        <v>38</v>
      </c>
      <c r="BQ66" s="62" t="str">
        <f t="shared" si="17"/>
        <v/>
      </c>
      <c r="BR66" s="44">
        <v>36</v>
      </c>
      <c r="BS66" s="44">
        <v>51</v>
      </c>
      <c r="BT66" s="62">
        <f t="shared" si="18"/>
        <v>1.4166666666666667</v>
      </c>
      <c r="BU66" s="44">
        <v>72</v>
      </c>
      <c r="BV66" s="44">
        <v>59</v>
      </c>
      <c r="BW66" s="62">
        <f t="shared" si="19"/>
        <v>0.81944444444444442</v>
      </c>
      <c r="BX66" s="44" t="s">
        <v>38</v>
      </c>
      <c r="BY66" s="44">
        <v>2</v>
      </c>
      <c r="BZ66" s="44">
        <v>9</v>
      </c>
      <c r="CA66" s="62">
        <f t="shared" si="20"/>
        <v>4.5</v>
      </c>
      <c r="CB66" s="44">
        <v>5.25</v>
      </c>
      <c r="CC66" s="44">
        <v>27</v>
      </c>
      <c r="CD66" s="62">
        <f t="shared" si="21"/>
        <v>5.1428571428571432</v>
      </c>
    </row>
    <row r="67" spans="1:82" x14ac:dyDescent="0.3">
      <c r="A67" s="53" t="s">
        <v>174</v>
      </c>
      <c r="B67" s="49" t="s">
        <v>104</v>
      </c>
      <c r="C67" s="44" t="s">
        <v>38</v>
      </c>
      <c r="F67" s="62" t="str">
        <f t="shared" si="0"/>
        <v/>
      </c>
      <c r="J67" s="62" t="str">
        <f t="shared" si="1"/>
        <v/>
      </c>
      <c r="N67" s="62" t="str">
        <f t="shared" si="2"/>
        <v/>
      </c>
      <c r="R67" s="62" t="str">
        <f t="shared" si="3"/>
        <v/>
      </c>
      <c r="V67" s="62" t="str">
        <f t="shared" si="4"/>
        <v/>
      </c>
      <c r="Y67" s="62" t="str">
        <f t="shared" si="5"/>
        <v/>
      </c>
      <c r="AB67" s="62" t="str">
        <f t="shared" si="6"/>
        <v/>
      </c>
      <c r="AF67" s="62" t="str">
        <f t="shared" si="7"/>
        <v/>
      </c>
      <c r="AI67" s="62" t="str">
        <f t="shared" si="8"/>
        <v/>
      </c>
      <c r="AM67" s="62" t="str">
        <f t="shared" si="9"/>
        <v/>
      </c>
      <c r="AQ67" s="62" t="str">
        <f t="shared" si="10"/>
        <v/>
      </c>
      <c r="AU67" s="62" t="str">
        <f t="shared" si="11"/>
        <v/>
      </c>
      <c r="AY67" s="62" t="str">
        <f t="shared" si="12"/>
        <v/>
      </c>
      <c r="BC67" s="62" t="str">
        <f t="shared" si="13"/>
        <v/>
      </c>
      <c r="BF67" s="62" t="str">
        <f t="shared" si="14"/>
        <v/>
      </c>
      <c r="BG67" s="44" t="s">
        <v>38</v>
      </c>
      <c r="BH67" s="44">
        <v>1</v>
      </c>
      <c r="BI67" s="44">
        <v>6</v>
      </c>
      <c r="BJ67" s="62">
        <f t="shared" si="15"/>
        <v>6</v>
      </c>
      <c r="BM67" s="62" t="str">
        <f t="shared" si="16"/>
        <v/>
      </c>
      <c r="BQ67" s="62" t="str">
        <f t="shared" si="17"/>
        <v/>
      </c>
      <c r="BT67" s="62" t="str">
        <f t="shared" si="18"/>
        <v/>
      </c>
      <c r="BW67" s="62" t="str">
        <f t="shared" si="19"/>
        <v/>
      </c>
      <c r="CA67" s="62" t="str">
        <f t="shared" si="20"/>
        <v/>
      </c>
      <c r="CD67" s="62" t="str">
        <f t="shared" si="21"/>
        <v/>
      </c>
    </row>
    <row r="68" spans="1:82" x14ac:dyDescent="0.3">
      <c r="A68" s="53" t="s">
        <v>248</v>
      </c>
      <c r="B68" s="49" t="s">
        <v>104</v>
      </c>
      <c r="C68" s="44" t="s">
        <v>38</v>
      </c>
      <c r="F68" s="62" t="str">
        <f t="shared" si="0"/>
        <v/>
      </c>
      <c r="J68" s="62" t="str">
        <f t="shared" si="1"/>
        <v/>
      </c>
      <c r="N68" s="62" t="str">
        <f t="shared" si="2"/>
        <v/>
      </c>
      <c r="R68" s="62" t="str">
        <f t="shared" si="3"/>
        <v/>
      </c>
      <c r="V68" s="62" t="str">
        <f t="shared" si="4"/>
        <v/>
      </c>
      <c r="Y68" s="62" t="str">
        <f t="shared" si="5"/>
        <v/>
      </c>
      <c r="AB68" s="62" t="str">
        <f t="shared" si="6"/>
        <v/>
      </c>
      <c r="AF68" s="62" t="str">
        <f t="shared" si="7"/>
        <v/>
      </c>
      <c r="AI68" s="62" t="str">
        <f t="shared" si="8"/>
        <v/>
      </c>
      <c r="AM68" s="62" t="str">
        <f t="shared" si="9"/>
        <v/>
      </c>
      <c r="AQ68" s="62" t="str">
        <f t="shared" si="10"/>
        <v/>
      </c>
      <c r="AU68" s="62" t="str">
        <f t="shared" si="11"/>
        <v/>
      </c>
      <c r="AY68" s="62" t="str">
        <f t="shared" si="12"/>
        <v/>
      </c>
      <c r="BC68" s="62" t="str">
        <f t="shared" si="13"/>
        <v/>
      </c>
      <c r="BF68" s="62" t="str">
        <f t="shared" si="14"/>
        <v/>
      </c>
      <c r="BG68" s="44" t="s">
        <v>38</v>
      </c>
      <c r="BH68" s="44">
        <v>20</v>
      </c>
      <c r="BI68" s="44">
        <v>35</v>
      </c>
      <c r="BJ68" s="62">
        <f t="shared" si="15"/>
        <v>1.75</v>
      </c>
      <c r="BM68" s="62" t="str">
        <f t="shared" si="16"/>
        <v/>
      </c>
      <c r="BQ68" s="62" t="str">
        <f t="shared" si="17"/>
        <v/>
      </c>
      <c r="BT68" s="62" t="str">
        <f t="shared" si="18"/>
        <v/>
      </c>
      <c r="BW68" s="62" t="str">
        <f t="shared" si="19"/>
        <v/>
      </c>
      <c r="BX68" s="44" t="s">
        <v>38</v>
      </c>
      <c r="BY68" s="44">
        <v>37.25</v>
      </c>
      <c r="BZ68" s="44">
        <v>38.5</v>
      </c>
      <c r="CA68" s="62">
        <f t="shared" si="20"/>
        <v>1.0335570469798658</v>
      </c>
      <c r="CB68" s="44">
        <v>61.5</v>
      </c>
      <c r="CC68" s="44">
        <v>60</v>
      </c>
      <c r="CD68" s="62">
        <f t="shared" si="21"/>
        <v>0.97560975609756095</v>
      </c>
    </row>
    <row r="69" spans="1:82" x14ac:dyDescent="0.3">
      <c r="A69" s="53" t="s">
        <v>249</v>
      </c>
      <c r="B69" s="49" t="s">
        <v>104</v>
      </c>
      <c r="C69" s="44" t="s">
        <v>38</v>
      </c>
      <c r="F69" s="62" t="str">
        <f t="shared" ref="F69:F124" si="22">IFERROR(E69/D69,"")</f>
        <v/>
      </c>
      <c r="J69" s="62" t="str">
        <f t="shared" ref="J69:J124" si="23">IFERROR(I69/H69,"")</f>
        <v/>
      </c>
      <c r="N69" s="62" t="str">
        <f t="shared" ref="N69:N124" si="24">IFERROR(M69/L69,"")</f>
        <v/>
      </c>
      <c r="R69" s="62" t="str">
        <f t="shared" ref="R69:R124" si="25">IFERROR(Q69/P69,"")</f>
        <v/>
      </c>
      <c r="V69" s="62" t="str">
        <f t="shared" ref="V69:V124" si="26">IFERROR(U69/T69,"")</f>
        <v/>
      </c>
      <c r="Y69" s="62" t="str">
        <f t="shared" ref="Y69:Y124" si="27">IFERROR(X69/W69,"")</f>
        <v/>
      </c>
      <c r="AB69" s="62" t="str">
        <f t="shared" ref="AB69:AB124" si="28">IFERROR(AA69/Z69,"")</f>
        <v/>
      </c>
      <c r="AF69" s="62" t="str">
        <f t="shared" ref="AF69:AF124" si="29">IFERROR(AE69/AD69,"")</f>
        <v/>
      </c>
      <c r="AI69" s="62" t="str">
        <f t="shared" ref="AI69:AI124" si="30">IFERROR(AH69/AG69,"")</f>
        <v/>
      </c>
      <c r="AM69" s="62" t="str">
        <f t="shared" ref="AM69:AM124" si="31">IFERROR(AL69/AK69,"")</f>
        <v/>
      </c>
      <c r="AQ69" s="62" t="str">
        <f t="shared" ref="AQ69:AQ124" si="32">IFERROR(AP69/AO69,"")</f>
        <v/>
      </c>
      <c r="AU69" s="62" t="str">
        <f t="shared" ref="AU69:AU124" si="33">IFERROR(AT69/AS69,"")</f>
        <v/>
      </c>
      <c r="AY69" s="62" t="str">
        <f t="shared" ref="AY69:AY124" si="34">IFERROR(AX69/AW69,"")</f>
        <v/>
      </c>
      <c r="BC69" s="62" t="str">
        <f t="shared" ref="BC69:BC124" si="35">IFERROR(BB69/BA69,"")</f>
        <v/>
      </c>
      <c r="BF69" s="62" t="str">
        <f t="shared" ref="BF69:BF124" si="36">IFERROR(BE69/BD69,"")</f>
        <v/>
      </c>
      <c r="BG69" s="44" t="s">
        <v>38</v>
      </c>
      <c r="BJ69" s="62" t="str">
        <f t="shared" ref="BJ69:BJ124" si="37">IFERROR(BI69/BH69,"")</f>
        <v/>
      </c>
      <c r="BK69" s="44">
        <v>183</v>
      </c>
      <c r="BL69" s="44">
        <v>549</v>
      </c>
      <c r="BM69" s="62">
        <f t="shared" ref="BM69:BM124" si="38">IFERROR(BL69/BK69,"")</f>
        <v>3</v>
      </c>
      <c r="BQ69" s="62" t="str">
        <f t="shared" ref="BQ69:BQ124" si="39">IFERROR(BP69/BO69,"")</f>
        <v/>
      </c>
      <c r="BT69" s="62" t="str">
        <f t="shared" ref="BT69:BT124" si="40">IFERROR(BS69/BR69,"")</f>
        <v/>
      </c>
      <c r="BW69" s="62" t="str">
        <f t="shared" ref="BW69:BW124" si="41">IFERROR(BV69/BU69,"")</f>
        <v/>
      </c>
      <c r="CA69" s="62" t="str">
        <f t="shared" ref="CA69:CA124" si="42">IFERROR(BZ69/BY69,"")</f>
        <v/>
      </c>
      <c r="CD69" s="62" t="str">
        <f t="shared" ref="CD69:CD124" si="43">IFERROR(CC69/CB69,"")</f>
        <v/>
      </c>
    </row>
    <row r="70" spans="1:82" x14ac:dyDescent="0.3">
      <c r="A70" s="53" t="s">
        <v>45</v>
      </c>
      <c r="B70" s="49" t="s">
        <v>293</v>
      </c>
      <c r="C70" s="44" t="s">
        <v>37</v>
      </c>
      <c r="F70" s="62" t="str">
        <f t="shared" si="22"/>
        <v/>
      </c>
      <c r="J70" s="62" t="str">
        <f t="shared" si="23"/>
        <v/>
      </c>
      <c r="N70" s="62" t="str">
        <f t="shared" si="24"/>
        <v/>
      </c>
      <c r="R70" s="62" t="str">
        <f t="shared" si="25"/>
        <v/>
      </c>
      <c r="V70" s="62" t="str">
        <f t="shared" si="26"/>
        <v/>
      </c>
      <c r="Y70" s="62" t="str">
        <f t="shared" si="27"/>
        <v/>
      </c>
      <c r="AB70" s="62" t="str">
        <f t="shared" si="28"/>
        <v/>
      </c>
      <c r="AF70" s="62" t="str">
        <f t="shared" si="29"/>
        <v/>
      </c>
      <c r="AI70" s="62" t="str">
        <f t="shared" si="30"/>
        <v/>
      </c>
      <c r="AM70" s="62" t="str">
        <f t="shared" si="31"/>
        <v/>
      </c>
      <c r="AN70" s="44" t="s">
        <v>37</v>
      </c>
      <c r="AO70" s="44">
        <v>120</v>
      </c>
      <c r="AP70" s="44">
        <v>375</v>
      </c>
      <c r="AQ70" s="62">
        <f t="shared" si="32"/>
        <v>3.125</v>
      </c>
      <c r="AR70" s="44" t="s">
        <v>37</v>
      </c>
      <c r="AS70" s="44">
        <v>100</v>
      </c>
      <c r="AT70" s="44">
        <v>312</v>
      </c>
      <c r="AU70" s="62">
        <f t="shared" si="33"/>
        <v>3.12</v>
      </c>
      <c r="AV70" s="44" t="s">
        <v>37</v>
      </c>
      <c r="AW70" s="44">
        <v>120</v>
      </c>
      <c r="AX70" s="44">
        <v>320</v>
      </c>
      <c r="AY70" s="62">
        <f t="shared" si="34"/>
        <v>2.6666666666666665</v>
      </c>
      <c r="AZ70" s="44" t="s">
        <v>37</v>
      </c>
      <c r="BA70" s="44">
        <v>150</v>
      </c>
      <c r="BB70" s="44">
        <v>400</v>
      </c>
      <c r="BC70" s="62">
        <f t="shared" si="35"/>
        <v>2.6666666666666665</v>
      </c>
      <c r="BD70" s="44">
        <v>100</v>
      </c>
      <c r="BE70" s="44">
        <v>266</v>
      </c>
      <c r="BF70" s="62">
        <f t="shared" si="36"/>
        <v>2.66</v>
      </c>
      <c r="BG70" s="44" t="s">
        <v>38</v>
      </c>
      <c r="BH70" s="44">
        <v>285</v>
      </c>
      <c r="BI70" s="44">
        <v>315</v>
      </c>
      <c r="BJ70" s="62">
        <f t="shared" si="37"/>
        <v>1.1052631578947369</v>
      </c>
      <c r="BK70" s="44">
        <v>30</v>
      </c>
      <c r="BL70" s="44">
        <v>81</v>
      </c>
      <c r="BM70" s="62">
        <f t="shared" si="38"/>
        <v>2.7</v>
      </c>
      <c r="BN70" s="44" t="s">
        <v>38</v>
      </c>
      <c r="BO70" s="44">
        <v>118</v>
      </c>
      <c r="BP70" s="44">
        <v>137</v>
      </c>
      <c r="BQ70" s="62">
        <f t="shared" si="39"/>
        <v>1.1610169491525424</v>
      </c>
      <c r="BR70" s="44">
        <v>153.5</v>
      </c>
      <c r="BS70" s="44">
        <v>161</v>
      </c>
      <c r="BT70" s="62">
        <f t="shared" si="40"/>
        <v>1.0488599348534202</v>
      </c>
      <c r="BU70" s="44">
        <v>134</v>
      </c>
      <c r="BV70" s="44">
        <v>165</v>
      </c>
      <c r="BW70" s="62">
        <f t="shared" si="41"/>
        <v>1.2313432835820894</v>
      </c>
      <c r="BX70" s="44" t="s">
        <v>38</v>
      </c>
      <c r="BY70" s="44">
        <v>159.75</v>
      </c>
      <c r="BZ70" s="44">
        <v>206.5</v>
      </c>
      <c r="CA70" s="62">
        <f t="shared" si="42"/>
        <v>1.2926447574334898</v>
      </c>
      <c r="CB70" s="44">
        <v>137.25</v>
      </c>
      <c r="CC70" s="44">
        <v>214.5</v>
      </c>
      <c r="CD70" s="62">
        <f t="shared" si="43"/>
        <v>1.5628415300546448</v>
      </c>
    </row>
    <row r="71" spans="1:82" x14ac:dyDescent="0.3">
      <c r="A71" s="52" t="s">
        <v>48</v>
      </c>
      <c r="B71" s="49" t="s">
        <v>292</v>
      </c>
      <c r="C71" s="44" t="s">
        <v>35</v>
      </c>
      <c r="D71" s="44">
        <v>38400</v>
      </c>
      <c r="E71" s="44">
        <v>1043</v>
      </c>
      <c r="F71" s="62">
        <f t="shared" si="22"/>
        <v>2.7161458333333333E-2</v>
      </c>
      <c r="G71" s="44" t="s">
        <v>35</v>
      </c>
      <c r="H71" s="44">
        <v>40000</v>
      </c>
      <c r="I71" s="44">
        <v>1080</v>
      </c>
      <c r="J71" s="62">
        <f t="shared" si="23"/>
        <v>2.7E-2</v>
      </c>
      <c r="K71" s="44" t="s">
        <v>35</v>
      </c>
      <c r="L71" s="44">
        <v>32250</v>
      </c>
      <c r="M71" s="44">
        <v>882</v>
      </c>
      <c r="N71" s="62">
        <f t="shared" si="24"/>
        <v>2.7348837209302326E-2</v>
      </c>
      <c r="O71" s="44" t="s">
        <v>35</v>
      </c>
      <c r="P71" s="44">
        <v>44750</v>
      </c>
      <c r="Q71" s="44">
        <v>1377</v>
      </c>
      <c r="R71" s="62">
        <f t="shared" si="25"/>
        <v>3.077094972067039E-2</v>
      </c>
      <c r="S71" s="44" t="s">
        <v>35</v>
      </c>
      <c r="T71" s="44">
        <v>38750</v>
      </c>
      <c r="U71" s="44">
        <v>1107</v>
      </c>
      <c r="V71" s="62">
        <f t="shared" si="26"/>
        <v>2.8567741935483872E-2</v>
      </c>
      <c r="W71" s="44">
        <v>30000</v>
      </c>
      <c r="X71" s="44">
        <v>750</v>
      </c>
      <c r="Y71" s="62">
        <f t="shared" si="27"/>
        <v>2.5000000000000001E-2</v>
      </c>
      <c r="Z71" s="44">
        <v>28750</v>
      </c>
      <c r="AA71" s="44">
        <v>708</v>
      </c>
      <c r="AB71" s="62">
        <f t="shared" si="28"/>
        <v>2.4626086956521739E-2</v>
      </c>
      <c r="AC71" s="44" t="s">
        <v>35</v>
      </c>
      <c r="AD71" s="44">
        <v>30000</v>
      </c>
      <c r="AE71" s="44">
        <v>666</v>
      </c>
      <c r="AF71" s="62">
        <f t="shared" si="29"/>
        <v>2.2200000000000001E-2</v>
      </c>
      <c r="AG71" s="44">
        <v>32500</v>
      </c>
      <c r="AH71" s="44">
        <v>722</v>
      </c>
      <c r="AI71" s="62">
        <f t="shared" si="30"/>
        <v>2.2215384615384616E-2</v>
      </c>
      <c r="AJ71" s="44" t="s">
        <v>35</v>
      </c>
      <c r="AK71" s="44">
        <v>20200</v>
      </c>
      <c r="AL71" s="44">
        <v>588</v>
      </c>
      <c r="AM71" s="62">
        <f t="shared" si="31"/>
        <v>2.910891089108911E-2</v>
      </c>
      <c r="AN71" s="44" t="s">
        <v>35</v>
      </c>
      <c r="AO71" s="44">
        <v>16150</v>
      </c>
      <c r="AP71" s="44">
        <v>497</v>
      </c>
      <c r="AQ71" s="62">
        <f t="shared" si="32"/>
        <v>3.0773993808049536E-2</v>
      </c>
      <c r="AU71" s="62" t="str">
        <f t="shared" si="33"/>
        <v/>
      </c>
      <c r="AY71" s="62" t="str">
        <f t="shared" si="34"/>
        <v/>
      </c>
      <c r="BC71" s="62" t="str">
        <f t="shared" si="35"/>
        <v/>
      </c>
      <c r="BF71" s="62" t="str">
        <f t="shared" si="36"/>
        <v/>
      </c>
      <c r="BG71" s="44" t="s">
        <v>38</v>
      </c>
      <c r="BH71" s="44">
        <v>693</v>
      </c>
      <c r="BI71" s="44">
        <v>191</v>
      </c>
      <c r="BJ71" s="62">
        <f t="shared" si="37"/>
        <v>0.27561327561327559</v>
      </c>
      <c r="BM71" s="62" t="str">
        <f t="shared" si="38"/>
        <v/>
      </c>
      <c r="BQ71" s="62" t="str">
        <f t="shared" si="39"/>
        <v/>
      </c>
      <c r="BT71" s="62" t="str">
        <f t="shared" si="40"/>
        <v/>
      </c>
      <c r="BW71" s="62" t="str">
        <f t="shared" si="41"/>
        <v/>
      </c>
      <c r="CA71" s="62" t="str">
        <f t="shared" si="42"/>
        <v/>
      </c>
      <c r="CD71" s="62" t="str">
        <f t="shared" si="43"/>
        <v/>
      </c>
    </row>
    <row r="72" spans="1:82" x14ac:dyDescent="0.3">
      <c r="A72" s="53" t="s">
        <v>20</v>
      </c>
      <c r="B72" s="49" t="s">
        <v>104</v>
      </c>
      <c r="C72" s="44" t="s">
        <v>38</v>
      </c>
      <c r="D72" s="44">
        <v>2168</v>
      </c>
      <c r="E72" s="44">
        <v>2486</v>
      </c>
      <c r="F72" s="62">
        <f t="shared" si="22"/>
        <v>1.146678966789668</v>
      </c>
      <c r="G72" s="44" t="s">
        <v>38</v>
      </c>
      <c r="H72" s="44">
        <v>1744</v>
      </c>
      <c r="I72" s="44">
        <v>2194</v>
      </c>
      <c r="J72" s="62">
        <f t="shared" si="23"/>
        <v>1.2580275229357798</v>
      </c>
      <c r="K72" s="44" t="s">
        <v>38</v>
      </c>
      <c r="L72" s="44">
        <v>2700</v>
      </c>
      <c r="M72" s="44">
        <v>2598</v>
      </c>
      <c r="N72" s="62">
        <f t="shared" si="24"/>
        <v>0.9622222222222222</v>
      </c>
      <c r="O72" s="44" t="s">
        <v>38</v>
      </c>
      <c r="P72" s="44">
        <v>3750</v>
      </c>
      <c r="Q72" s="44">
        <v>4539</v>
      </c>
      <c r="R72" s="62">
        <f t="shared" si="25"/>
        <v>1.2103999999999999</v>
      </c>
      <c r="S72" s="44" t="s">
        <v>38</v>
      </c>
      <c r="T72" s="44">
        <v>4000</v>
      </c>
      <c r="U72" s="44">
        <v>4429</v>
      </c>
      <c r="V72" s="62">
        <f t="shared" si="26"/>
        <v>1.1072500000000001</v>
      </c>
      <c r="W72" s="44">
        <v>3000</v>
      </c>
      <c r="X72" s="44">
        <v>3125</v>
      </c>
      <c r="Y72" s="62">
        <f t="shared" si="27"/>
        <v>1.0416666666666667</v>
      </c>
      <c r="Z72" s="44">
        <v>2700</v>
      </c>
      <c r="AA72" s="44">
        <v>3200</v>
      </c>
      <c r="AB72" s="62">
        <f t="shared" si="28"/>
        <v>1.1851851851851851</v>
      </c>
      <c r="AC72" s="44" t="s">
        <v>38</v>
      </c>
      <c r="AD72" s="44">
        <v>3100</v>
      </c>
      <c r="AE72" s="44">
        <v>3000</v>
      </c>
      <c r="AF72" s="62">
        <f t="shared" si="29"/>
        <v>0.967741935483871</v>
      </c>
      <c r="AG72" s="44">
        <v>2500</v>
      </c>
      <c r="AH72" s="44">
        <v>2583</v>
      </c>
      <c r="AI72" s="62">
        <f t="shared" si="30"/>
        <v>1.0331999999999999</v>
      </c>
      <c r="AM72" s="62" t="str">
        <f t="shared" si="31"/>
        <v/>
      </c>
      <c r="AQ72" s="62" t="str">
        <f t="shared" si="32"/>
        <v/>
      </c>
      <c r="AU72" s="62" t="str">
        <f t="shared" si="33"/>
        <v/>
      </c>
      <c r="AY72" s="62" t="str">
        <f t="shared" si="34"/>
        <v/>
      </c>
      <c r="BC72" s="62" t="str">
        <f t="shared" si="35"/>
        <v/>
      </c>
      <c r="BF72" s="62" t="str">
        <f t="shared" si="36"/>
        <v/>
      </c>
      <c r="BJ72" s="62" t="str">
        <f t="shared" si="37"/>
        <v/>
      </c>
      <c r="BM72" s="62" t="str">
        <f t="shared" si="38"/>
        <v/>
      </c>
      <c r="BQ72" s="62" t="str">
        <f t="shared" si="39"/>
        <v/>
      </c>
      <c r="BT72" s="62" t="str">
        <f t="shared" si="40"/>
        <v/>
      </c>
      <c r="BW72" s="62" t="str">
        <f t="shared" si="41"/>
        <v/>
      </c>
      <c r="CA72" s="62" t="str">
        <f t="shared" si="42"/>
        <v/>
      </c>
      <c r="CD72" s="62" t="str">
        <f t="shared" si="43"/>
        <v/>
      </c>
    </row>
    <row r="73" spans="1:82" x14ac:dyDescent="0.3">
      <c r="A73" s="53" t="s">
        <v>123</v>
      </c>
      <c r="B73" s="49" t="s">
        <v>104</v>
      </c>
      <c r="C73" s="44" t="s">
        <v>38</v>
      </c>
      <c r="F73" s="62" t="str">
        <f t="shared" si="22"/>
        <v/>
      </c>
      <c r="J73" s="62" t="str">
        <f t="shared" si="23"/>
        <v/>
      </c>
      <c r="N73" s="62" t="str">
        <f t="shared" si="24"/>
        <v/>
      </c>
      <c r="R73" s="62" t="str">
        <f t="shared" si="25"/>
        <v/>
      </c>
      <c r="V73" s="62" t="str">
        <f t="shared" si="26"/>
        <v/>
      </c>
      <c r="Y73" s="62" t="str">
        <f t="shared" si="27"/>
        <v/>
      </c>
      <c r="AB73" s="62" t="str">
        <f t="shared" si="28"/>
        <v/>
      </c>
      <c r="AF73" s="62" t="str">
        <f t="shared" si="29"/>
        <v/>
      </c>
      <c r="AI73" s="62" t="str">
        <f t="shared" si="30"/>
        <v/>
      </c>
      <c r="AJ73" s="44" t="s">
        <v>38</v>
      </c>
      <c r="AK73" s="44">
        <v>850</v>
      </c>
      <c r="AL73" s="44">
        <v>2706</v>
      </c>
      <c r="AM73" s="62">
        <f t="shared" si="31"/>
        <v>3.1835294117647059</v>
      </c>
      <c r="AN73" s="44" t="s">
        <v>38</v>
      </c>
      <c r="AO73" s="44">
        <v>650</v>
      </c>
      <c r="AP73" s="44">
        <v>2031</v>
      </c>
      <c r="AQ73" s="62">
        <f t="shared" si="32"/>
        <v>3.1246153846153848</v>
      </c>
      <c r="AR73" s="44" t="s">
        <v>38</v>
      </c>
      <c r="AS73" s="44">
        <v>300</v>
      </c>
      <c r="AT73" s="44">
        <v>937</v>
      </c>
      <c r="AU73" s="62">
        <f t="shared" si="33"/>
        <v>3.1233333333333335</v>
      </c>
      <c r="AV73" s="44" t="s">
        <v>38</v>
      </c>
      <c r="AW73" s="44">
        <v>150</v>
      </c>
      <c r="AX73" s="44">
        <v>500</v>
      </c>
      <c r="AY73" s="62">
        <f t="shared" si="34"/>
        <v>3.3333333333333335</v>
      </c>
      <c r="AZ73" s="44" t="s">
        <v>38</v>
      </c>
      <c r="BA73" s="44">
        <v>225</v>
      </c>
      <c r="BB73" s="44">
        <v>750</v>
      </c>
      <c r="BC73" s="62">
        <f t="shared" si="35"/>
        <v>3.3333333333333335</v>
      </c>
      <c r="BD73" s="44">
        <v>85.5</v>
      </c>
      <c r="BE73" s="44">
        <v>285</v>
      </c>
      <c r="BF73" s="62">
        <f t="shared" si="36"/>
        <v>3.3333333333333335</v>
      </c>
      <c r="BG73" s="44" t="s">
        <v>38</v>
      </c>
      <c r="BH73" s="44">
        <v>188</v>
      </c>
      <c r="BI73" s="44">
        <v>332</v>
      </c>
      <c r="BJ73" s="62">
        <f t="shared" si="37"/>
        <v>1.7659574468085106</v>
      </c>
      <c r="BK73" s="44">
        <v>81</v>
      </c>
      <c r="BL73" s="44">
        <v>384</v>
      </c>
      <c r="BM73" s="62">
        <f t="shared" si="38"/>
        <v>4.7407407407407405</v>
      </c>
      <c r="BN73" s="44" t="s">
        <v>38</v>
      </c>
      <c r="BO73" s="44">
        <v>54</v>
      </c>
      <c r="BP73" s="44">
        <v>185</v>
      </c>
      <c r="BQ73" s="62">
        <f t="shared" si="39"/>
        <v>3.425925925925926</v>
      </c>
      <c r="BR73" s="44">
        <v>70.25</v>
      </c>
      <c r="BS73" s="44">
        <v>103</v>
      </c>
      <c r="BT73" s="62">
        <f t="shared" si="40"/>
        <v>1.4661921708185053</v>
      </c>
      <c r="BU73" s="44">
        <v>50</v>
      </c>
      <c r="BV73" s="44">
        <v>85</v>
      </c>
      <c r="BW73" s="62">
        <f t="shared" si="41"/>
        <v>1.7</v>
      </c>
      <c r="BX73" s="44" t="s">
        <v>38</v>
      </c>
      <c r="BY73" s="44">
        <v>86.75</v>
      </c>
      <c r="BZ73" s="44">
        <v>141</v>
      </c>
      <c r="CA73" s="62">
        <f t="shared" si="42"/>
        <v>1.6253602305475505</v>
      </c>
      <c r="CB73" s="44">
        <v>91.5</v>
      </c>
      <c r="CC73" s="44">
        <v>341</v>
      </c>
      <c r="CD73" s="62">
        <f t="shared" si="43"/>
        <v>3.7267759562841531</v>
      </c>
    </row>
    <row r="74" spans="1:82" x14ac:dyDescent="0.3">
      <c r="A74" s="53" t="s">
        <v>128</v>
      </c>
      <c r="B74" s="49" t="s">
        <v>104</v>
      </c>
      <c r="C74" s="44" t="s">
        <v>38</v>
      </c>
      <c r="F74" s="62" t="str">
        <f t="shared" si="22"/>
        <v/>
      </c>
      <c r="J74" s="62" t="str">
        <f t="shared" si="23"/>
        <v/>
      </c>
      <c r="N74" s="62" t="str">
        <f t="shared" si="24"/>
        <v/>
      </c>
      <c r="R74" s="62" t="str">
        <f t="shared" si="25"/>
        <v/>
      </c>
      <c r="V74" s="62" t="str">
        <f t="shared" si="26"/>
        <v/>
      </c>
      <c r="Y74" s="62" t="str">
        <f t="shared" si="27"/>
        <v/>
      </c>
      <c r="AB74" s="62" t="str">
        <f t="shared" si="28"/>
        <v/>
      </c>
      <c r="AF74" s="62" t="str">
        <f t="shared" si="29"/>
        <v/>
      </c>
      <c r="AI74" s="62" t="str">
        <f t="shared" si="30"/>
        <v/>
      </c>
      <c r="AJ74" s="44" t="s">
        <v>38</v>
      </c>
      <c r="AK74" s="44">
        <v>500</v>
      </c>
      <c r="AL74" s="44">
        <v>294</v>
      </c>
      <c r="AM74" s="62">
        <f t="shared" si="31"/>
        <v>0.58799999999999997</v>
      </c>
      <c r="AQ74" s="62" t="str">
        <f t="shared" si="32"/>
        <v/>
      </c>
      <c r="AU74" s="62" t="str">
        <f t="shared" si="33"/>
        <v/>
      </c>
      <c r="AY74" s="62" t="str">
        <f t="shared" si="34"/>
        <v/>
      </c>
      <c r="BC74" s="62" t="str">
        <f t="shared" si="35"/>
        <v/>
      </c>
      <c r="BF74" s="62" t="str">
        <f t="shared" si="36"/>
        <v/>
      </c>
      <c r="BG74" s="44" t="s">
        <v>38</v>
      </c>
      <c r="BH74" s="44">
        <v>122</v>
      </c>
      <c r="BI74" s="44">
        <v>220</v>
      </c>
      <c r="BJ74" s="62">
        <f t="shared" si="37"/>
        <v>1.8032786885245902</v>
      </c>
      <c r="BM74" s="62" t="str">
        <f t="shared" si="38"/>
        <v/>
      </c>
      <c r="BN74" s="44" t="s">
        <v>38</v>
      </c>
      <c r="BO74" s="44">
        <v>180</v>
      </c>
      <c r="BP74" s="44">
        <v>449</v>
      </c>
      <c r="BQ74" s="62">
        <f t="shared" si="39"/>
        <v>2.4944444444444445</v>
      </c>
      <c r="BR74" s="44">
        <v>91.5</v>
      </c>
      <c r="BS74" s="44">
        <v>188</v>
      </c>
      <c r="BT74" s="62">
        <f t="shared" si="40"/>
        <v>2.0546448087431695</v>
      </c>
      <c r="BU74" s="44">
        <v>189</v>
      </c>
      <c r="BV74" s="44">
        <v>320</v>
      </c>
      <c r="BW74" s="62">
        <f t="shared" si="41"/>
        <v>1.693121693121693</v>
      </c>
      <c r="BX74" s="44" t="s">
        <v>38</v>
      </c>
      <c r="BY74" s="44">
        <v>150</v>
      </c>
      <c r="BZ74" s="44">
        <v>452</v>
      </c>
      <c r="CA74" s="62">
        <f t="shared" si="42"/>
        <v>3.0133333333333332</v>
      </c>
      <c r="CB74" s="44">
        <v>70</v>
      </c>
      <c r="CC74" s="44">
        <v>242</v>
      </c>
      <c r="CD74" s="62">
        <f t="shared" si="43"/>
        <v>3.4571428571428573</v>
      </c>
    </row>
    <row r="75" spans="1:82" x14ac:dyDescent="0.3">
      <c r="A75" s="53" t="s">
        <v>125</v>
      </c>
      <c r="B75" s="49" t="s">
        <v>104</v>
      </c>
      <c r="C75" s="44" t="s">
        <v>38</v>
      </c>
      <c r="F75" s="62" t="str">
        <f t="shared" si="22"/>
        <v/>
      </c>
      <c r="J75" s="62" t="str">
        <f t="shared" si="23"/>
        <v/>
      </c>
      <c r="N75" s="62" t="str">
        <f t="shared" si="24"/>
        <v/>
      </c>
      <c r="R75" s="62" t="str">
        <f t="shared" si="25"/>
        <v/>
      </c>
      <c r="V75" s="62" t="str">
        <f t="shared" si="26"/>
        <v/>
      </c>
      <c r="Y75" s="62" t="str">
        <f t="shared" si="27"/>
        <v/>
      </c>
      <c r="AB75" s="62" t="str">
        <f t="shared" si="28"/>
        <v/>
      </c>
      <c r="AF75" s="62" t="str">
        <f t="shared" si="29"/>
        <v/>
      </c>
      <c r="AI75" s="62" t="str">
        <f t="shared" si="30"/>
        <v/>
      </c>
      <c r="AJ75" s="44" t="s">
        <v>38</v>
      </c>
      <c r="AK75" s="44">
        <v>100</v>
      </c>
      <c r="AL75" s="44">
        <v>118</v>
      </c>
      <c r="AM75" s="62">
        <f t="shared" si="31"/>
        <v>1.18</v>
      </c>
      <c r="AN75" s="44" t="s">
        <v>38</v>
      </c>
      <c r="AO75" s="44">
        <v>200</v>
      </c>
      <c r="AP75" s="44">
        <v>250</v>
      </c>
      <c r="AQ75" s="62">
        <f t="shared" si="32"/>
        <v>1.25</v>
      </c>
      <c r="AR75" s="44" t="s">
        <v>38</v>
      </c>
      <c r="AS75" s="44">
        <v>150</v>
      </c>
      <c r="AT75" s="44">
        <v>188</v>
      </c>
      <c r="AU75" s="62">
        <f t="shared" si="33"/>
        <v>1.2533333333333334</v>
      </c>
      <c r="AV75" s="44" t="s">
        <v>38</v>
      </c>
      <c r="AW75" s="44">
        <v>99</v>
      </c>
      <c r="AX75" s="44">
        <v>231</v>
      </c>
      <c r="AY75" s="62">
        <f t="shared" si="34"/>
        <v>2.3333333333333335</v>
      </c>
      <c r="AZ75" s="44" t="s">
        <v>38</v>
      </c>
      <c r="BA75" s="44">
        <v>80</v>
      </c>
      <c r="BB75" s="44">
        <v>186</v>
      </c>
      <c r="BC75" s="62">
        <f t="shared" si="35"/>
        <v>2.3250000000000002</v>
      </c>
      <c r="BF75" s="62" t="str">
        <f t="shared" si="36"/>
        <v/>
      </c>
      <c r="BG75" s="44" t="s">
        <v>38</v>
      </c>
      <c r="BH75" s="44">
        <v>14</v>
      </c>
      <c r="BI75" s="44">
        <v>14</v>
      </c>
      <c r="BJ75" s="62">
        <f t="shared" si="37"/>
        <v>1</v>
      </c>
      <c r="BK75" s="44">
        <v>169</v>
      </c>
      <c r="BL75" s="44">
        <v>493</v>
      </c>
      <c r="BM75" s="62">
        <f t="shared" si="38"/>
        <v>2.9171597633136095</v>
      </c>
      <c r="BQ75" s="62" t="str">
        <f t="shared" si="39"/>
        <v/>
      </c>
      <c r="BT75" s="62" t="str">
        <f t="shared" si="40"/>
        <v/>
      </c>
      <c r="BW75" s="62" t="str">
        <f t="shared" si="41"/>
        <v/>
      </c>
      <c r="CA75" s="62" t="str">
        <f t="shared" si="42"/>
        <v/>
      </c>
      <c r="CD75" s="62" t="str">
        <f t="shared" si="43"/>
        <v/>
      </c>
    </row>
    <row r="76" spans="1:82" x14ac:dyDescent="0.3">
      <c r="A76" s="53" t="s">
        <v>122</v>
      </c>
      <c r="B76" s="49" t="s">
        <v>104</v>
      </c>
      <c r="C76" s="44" t="s">
        <v>38</v>
      </c>
      <c r="F76" s="62" t="str">
        <f t="shared" si="22"/>
        <v/>
      </c>
      <c r="J76" s="62" t="str">
        <f t="shared" si="23"/>
        <v/>
      </c>
      <c r="N76" s="62" t="str">
        <f t="shared" si="24"/>
        <v/>
      </c>
      <c r="R76" s="62" t="str">
        <f t="shared" si="25"/>
        <v/>
      </c>
      <c r="V76" s="62" t="str">
        <f t="shared" si="26"/>
        <v/>
      </c>
      <c r="Y76" s="62" t="str">
        <f t="shared" si="27"/>
        <v/>
      </c>
      <c r="AB76" s="62" t="str">
        <f t="shared" si="28"/>
        <v/>
      </c>
      <c r="AF76" s="62" t="str">
        <f t="shared" si="29"/>
        <v/>
      </c>
      <c r="AI76" s="62" t="str">
        <f t="shared" si="30"/>
        <v/>
      </c>
      <c r="AJ76" s="44" t="s">
        <v>38</v>
      </c>
      <c r="AK76" s="44">
        <v>2000</v>
      </c>
      <c r="AL76" s="44">
        <v>1176</v>
      </c>
      <c r="AM76" s="62">
        <f t="shared" si="31"/>
        <v>0.58799999999999997</v>
      </c>
      <c r="AN76" s="44" t="s">
        <v>38</v>
      </c>
      <c r="AO76" s="44">
        <v>1500</v>
      </c>
      <c r="AP76" s="44">
        <v>937</v>
      </c>
      <c r="AQ76" s="62">
        <f t="shared" si="32"/>
        <v>0.6246666666666667</v>
      </c>
      <c r="AR76" s="44" t="s">
        <v>38</v>
      </c>
      <c r="AS76" s="44">
        <v>600</v>
      </c>
      <c r="AT76" s="44">
        <v>375</v>
      </c>
      <c r="AU76" s="62">
        <f t="shared" si="33"/>
        <v>0.625</v>
      </c>
      <c r="AV76" s="44" t="s">
        <v>38</v>
      </c>
      <c r="AW76" s="44">
        <v>3000</v>
      </c>
      <c r="AX76" s="44">
        <v>2000</v>
      </c>
      <c r="AY76" s="62">
        <f t="shared" si="34"/>
        <v>0.66666666666666663</v>
      </c>
      <c r="AZ76" s="44" t="s">
        <v>38</v>
      </c>
      <c r="BA76" s="44">
        <v>3500</v>
      </c>
      <c r="BB76" s="44">
        <v>2333</v>
      </c>
      <c r="BC76" s="62">
        <f t="shared" si="35"/>
        <v>0.66657142857142859</v>
      </c>
      <c r="BD76" s="44">
        <v>2626</v>
      </c>
      <c r="BE76" s="44">
        <v>1751</v>
      </c>
      <c r="BF76" s="62">
        <f t="shared" si="36"/>
        <v>0.66679360243716679</v>
      </c>
      <c r="BG76" s="44" t="s">
        <v>38</v>
      </c>
      <c r="BH76" s="44">
        <v>566</v>
      </c>
      <c r="BI76" s="44">
        <v>234</v>
      </c>
      <c r="BJ76" s="62">
        <f t="shared" si="37"/>
        <v>0.41342756183745583</v>
      </c>
      <c r="BK76" s="44">
        <v>1282</v>
      </c>
      <c r="BL76" s="44">
        <v>1104</v>
      </c>
      <c r="BM76" s="62">
        <f t="shared" si="38"/>
        <v>0.86115444617784709</v>
      </c>
      <c r="BN76" s="44" t="s">
        <v>38</v>
      </c>
      <c r="BO76" s="44">
        <v>1290</v>
      </c>
      <c r="BP76" s="44">
        <v>1146</v>
      </c>
      <c r="BQ76" s="62">
        <f t="shared" si="39"/>
        <v>0.88837209302325582</v>
      </c>
      <c r="BR76" s="44">
        <v>621.25</v>
      </c>
      <c r="BS76" s="44">
        <v>517</v>
      </c>
      <c r="BT76" s="62">
        <f t="shared" si="40"/>
        <v>0.83219315895372237</v>
      </c>
      <c r="BU76" s="44">
        <v>1128</v>
      </c>
      <c r="BV76" s="44">
        <v>790</v>
      </c>
      <c r="BW76" s="62">
        <f t="shared" si="41"/>
        <v>0.70035460992907805</v>
      </c>
      <c r="BX76" s="44" t="s">
        <v>38</v>
      </c>
      <c r="BY76" s="44">
        <v>1430.75</v>
      </c>
      <c r="BZ76" s="44">
        <v>1204</v>
      </c>
      <c r="CA76" s="62">
        <f t="shared" si="42"/>
        <v>0.84151668705224536</v>
      </c>
      <c r="CB76" s="44">
        <v>1245</v>
      </c>
      <c r="CC76" s="44">
        <v>1014</v>
      </c>
      <c r="CD76" s="62">
        <f t="shared" si="43"/>
        <v>0.81445783132530125</v>
      </c>
    </row>
    <row r="77" spans="1:82" x14ac:dyDescent="0.3">
      <c r="A77" s="53" t="s">
        <v>124</v>
      </c>
      <c r="B77" s="49" t="s">
        <v>104</v>
      </c>
      <c r="C77" s="44" t="s">
        <v>38</v>
      </c>
      <c r="F77" s="62" t="str">
        <f t="shared" si="22"/>
        <v/>
      </c>
      <c r="J77" s="62" t="str">
        <f t="shared" si="23"/>
        <v/>
      </c>
      <c r="N77" s="62" t="str">
        <f t="shared" si="24"/>
        <v/>
      </c>
      <c r="R77" s="62" t="str">
        <f t="shared" si="25"/>
        <v/>
      </c>
      <c r="V77" s="62" t="str">
        <f t="shared" si="26"/>
        <v/>
      </c>
      <c r="Y77" s="62" t="str">
        <f t="shared" si="27"/>
        <v/>
      </c>
      <c r="AB77" s="62" t="str">
        <f t="shared" si="28"/>
        <v/>
      </c>
      <c r="AF77" s="62" t="str">
        <f t="shared" si="29"/>
        <v/>
      </c>
      <c r="AI77" s="62" t="str">
        <f t="shared" si="30"/>
        <v/>
      </c>
      <c r="AJ77" s="44" t="s">
        <v>38</v>
      </c>
      <c r="AM77" s="62" t="str">
        <f t="shared" si="31"/>
        <v/>
      </c>
      <c r="AN77" s="44" t="s">
        <v>38</v>
      </c>
      <c r="AO77" s="44">
        <v>12.5</v>
      </c>
      <c r="AP77" s="44">
        <v>31</v>
      </c>
      <c r="AQ77" s="62">
        <f t="shared" si="32"/>
        <v>2.48</v>
      </c>
      <c r="AR77" s="44" t="s">
        <v>38</v>
      </c>
      <c r="AS77" s="44">
        <v>6</v>
      </c>
      <c r="AT77" s="44">
        <v>15</v>
      </c>
      <c r="AU77" s="62">
        <f t="shared" si="33"/>
        <v>2.5</v>
      </c>
      <c r="AV77" s="44" t="s">
        <v>38</v>
      </c>
      <c r="AW77" s="44">
        <v>10.5</v>
      </c>
      <c r="AX77" s="44">
        <v>28</v>
      </c>
      <c r="AY77" s="62">
        <f t="shared" si="34"/>
        <v>2.6666666666666665</v>
      </c>
      <c r="AZ77" s="44" t="s">
        <v>38</v>
      </c>
      <c r="BA77" s="44">
        <v>15</v>
      </c>
      <c r="BB77" s="44">
        <v>40</v>
      </c>
      <c r="BC77" s="62">
        <f t="shared" si="35"/>
        <v>2.6666666666666665</v>
      </c>
      <c r="BF77" s="62" t="str">
        <f t="shared" si="36"/>
        <v/>
      </c>
      <c r="BJ77" s="62" t="str">
        <f t="shared" si="37"/>
        <v/>
      </c>
      <c r="BM77" s="62" t="str">
        <f t="shared" si="38"/>
        <v/>
      </c>
      <c r="BQ77" s="62" t="str">
        <f t="shared" si="39"/>
        <v/>
      </c>
      <c r="BT77" s="62" t="str">
        <f t="shared" si="40"/>
        <v/>
      </c>
      <c r="BW77" s="62" t="str">
        <f t="shared" si="41"/>
        <v/>
      </c>
      <c r="CA77" s="62" t="str">
        <f t="shared" si="42"/>
        <v/>
      </c>
      <c r="CD77" s="62" t="str">
        <f t="shared" si="43"/>
        <v/>
      </c>
    </row>
    <row r="78" spans="1:82" x14ac:dyDescent="0.3">
      <c r="A78" s="53" t="s">
        <v>250</v>
      </c>
      <c r="B78" s="49" t="s">
        <v>104</v>
      </c>
      <c r="C78" s="44" t="s">
        <v>38</v>
      </c>
      <c r="F78" s="62" t="str">
        <f t="shared" si="22"/>
        <v/>
      </c>
      <c r="J78" s="62" t="str">
        <f t="shared" si="23"/>
        <v/>
      </c>
      <c r="N78" s="62" t="str">
        <f t="shared" si="24"/>
        <v/>
      </c>
      <c r="R78" s="62" t="str">
        <f t="shared" si="25"/>
        <v/>
      </c>
      <c r="V78" s="62" t="str">
        <f t="shared" si="26"/>
        <v/>
      </c>
      <c r="Y78" s="62" t="str">
        <f t="shared" si="27"/>
        <v/>
      </c>
      <c r="AB78" s="62" t="str">
        <f t="shared" si="28"/>
        <v/>
      </c>
      <c r="AF78" s="62" t="str">
        <f t="shared" si="29"/>
        <v/>
      </c>
      <c r="AI78" s="62" t="str">
        <f t="shared" si="30"/>
        <v/>
      </c>
      <c r="AJ78" s="44" t="s">
        <v>38</v>
      </c>
      <c r="AK78" s="44">
        <v>1000</v>
      </c>
      <c r="AL78" s="44">
        <v>724</v>
      </c>
      <c r="AM78" s="62">
        <f t="shared" si="31"/>
        <v>0.72399999999999998</v>
      </c>
      <c r="AN78" s="44" t="s">
        <v>38</v>
      </c>
      <c r="AO78" s="44">
        <v>600</v>
      </c>
      <c r="AP78" s="44">
        <v>375</v>
      </c>
      <c r="AQ78" s="62">
        <f t="shared" si="32"/>
        <v>0.625</v>
      </c>
      <c r="AR78" s="44" t="s">
        <v>38</v>
      </c>
      <c r="AS78" s="44">
        <v>400</v>
      </c>
      <c r="AT78" s="44">
        <v>250</v>
      </c>
      <c r="AU78" s="62">
        <f t="shared" si="33"/>
        <v>0.625</v>
      </c>
      <c r="AV78" s="44" t="s">
        <v>38</v>
      </c>
      <c r="AW78" s="44">
        <v>300</v>
      </c>
      <c r="AX78" s="44">
        <v>200</v>
      </c>
      <c r="AY78" s="62">
        <f t="shared" si="34"/>
        <v>0.66666666666666663</v>
      </c>
      <c r="AZ78" s="44" t="s">
        <v>38</v>
      </c>
      <c r="BA78" s="44">
        <v>200</v>
      </c>
      <c r="BB78" s="44">
        <v>134</v>
      </c>
      <c r="BC78" s="62">
        <f t="shared" si="35"/>
        <v>0.67</v>
      </c>
      <c r="BD78" s="44">
        <v>157</v>
      </c>
      <c r="BE78" s="44">
        <v>105</v>
      </c>
      <c r="BF78" s="62">
        <f t="shared" si="36"/>
        <v>0.66878980891719741</v>
      </c>
      <c r="BG78" s="44" t="s">
        <v>38</v>
      </c>
      <c r="BH78" s="44">
        <v>186</v>
      </c>
      <c r="BI78" s="44">
        <v>376</v>
      </c>
      <c r="BJ78" s="62">
        <f t="shared" si="37"/>
        <v>2.021505376344086</v>
      </c>
      <c r="BK78" s="44">
        <v>70</v>
      </c>
      <c r="BL78" s="44">
        <v>75</v>
      </c>
      <c r="BM78" s="62">
        <f t="shared" si="38"/>
        <v>1.0714285714285714</v>
      </c>
      <c r="BN78" s="44" t="s">
        <v>38</v>
      </c>
      <c r="BO78" s="44">
        <v>52</v>
      </c>
      <c r="BP78" s="44">
        <v>41</v>
      </c>
      <c r="BQ78" s="62">
        <f t="shared" si="39"/>
        <v>0.78846153846153844</v>
      </c>
      <c r="BR78" s="44">
        <v>11.5</v>
      </c>
      <c r="BS78" s="44">
        <v>7</v>
      </c>
      <c r="BT78" s="62">
        <f t="shared" si="40"/>
        <v>0.60869565217391308</v>
      </c>
      <c r="BU78" s="44">
        <v>1</v>
      </c>
      <c r="BV78" s="44">
        <v>21</v>
      </c>
      <c r="BW78" s="62">
        <f t="shared" si="41"/>
        <v>21</v>
      </c>
      <c r="BX78" s="44" t="s">
        <v>38</v>
      </c>
      <c r="BY78" s="44">
        <v>8.75</v>
      </c>
      <c r="BZ78" s="44">
        <v>145</v>
      </c>
      <c r="CA78" s="62">
        <f t="shared" si="42"/>
        <v>16.571428571428573</v>
      </c>
      <c r="CB78" s="44">
        <v>102</v>
      </c>
      <c r="CC78" s="44">
        <v>152</v>
      </c>
      <c r="CD78" s="62">
        <f t="shared" si="43"/>
        <v>1.4901960784313726</v>
      </c>
    </row>
    <row r="79" spans="1:82" x14ac:dyDescent="0.3">
      <c r="A79" s="49" t="s">
        <v>251</v>
      </c>
      <c r="B79" s="49" t="s">
        <v>104</v>
      </c>
      <c r="C79" s="44" t="s">
        <v>38</v>
      </c>
      <c r="D79" s="44">
        <v>521</v>
      </c>
      <c r="E79" s="44">
        <v>1179</v>
      </c>
      <c r="F79" s="62">
        <f t="shared" si="22"/>
        <v>2.2629558541266794</v>
      </c>
      <c r="G79" s="44" t="s">
        <v>38</v>
      </c>
      <c r="H79" s="44">
        <v>371</v>
      </c>
      <c r="I79" s="44">
        <v>1040</v>
      </c>
      <c r="J79" s="62">
        <f t="shared" si="23"/>
        <v>2.8032345013477089</v>
      </c>
      <c r="K79" s="44" t="s">
        <v>38</v>
      </c>
      <c r="L79" s="44">
        <v>200</v>
      </c>
      <c r="M79" s="44">
        <v>957</v>
      </c>
      <c r="N79" s="62">
        <f t="shared" si="24"/>
        <v>4.7850000000000001</v>
      </c>
      <c r="O79" s="44" t="s">
        <v>38</v>
      </c>
      <c r="P79" s="44">
        <v>257</v>
      </c>
      <c r="Q79" s="44">
        <v>1385</v>
      </c>
      <c r="R79" s="62">
        <f t="shared" si="25"/>
        <v>5.3891050583657591</v>
      </c>
      <c r="S79" s="44" t="s">
        <v>38</v>
      </c>
      <c r="T79" s="44">
        <v>630</v>
      </c>
      <c r="U79" s="44">
        <v>1500</v>
      </c>
      <c r="V79" s="62">
        <f t="shared" si="26"/>
        <v>2.3809523809523809</v>
      </c>
      <c r="W79" s="44">
        <v>500</v>
      </c>
      <c r="X79" s="44">
        <v>1087</v>
      </c>
      <c r="Y79" s="62">
        <f t="shared" si="27"/>
        <v>2.1739999999999999</v>
      </c>
      <c r="Z79" s="44">
        <v>500</v>
      </c>
      <c r="AA79" s="44">
        <v>997</v>
      </c>
      <c r="AB79" s="62">
        <f t="shared" si="28"/>
        <v>1.994</v>
      </c>
      <c r="AC79" s="44" t="s">
        <v>38</v>
      </c>
      <c r="AD79" s="44">
        <v>550</v>
      </c>
      <c r="AE79" s="44">
        <v>1017</v>
      </c>
      <c r="AF79" s="62">
        <f t="shared" si="29"/>
        <v>1.8490909090909091</v>
      </c>
      <c r="AG79" s="44">
        <v>3150</v>
      </c>
      <c r="AH79" s="44">
        <v>800</v>
      </c>
      <c r="AI79" s="62">
        <f t="shared" si="30"/>
        <v>0.25396825396825395</v>
      </c>
      <c r="AM79" s="62" t="str">
        <f t="shared" si="31"/>
        <v/>
      </c>
      <c r="AQ79" s="62" t="str">
        <f t="shared" si="32"/>
        <v/>
      </c>
      <c r="AU79" s="62" t="str">
        <f t="shared" si="33"/>
        <v/>
      </c>
      <c r="AY79" s="62" t="str">
        <f t="shared" si="34"/>
        <v/>
      </c>
      <c r="BC79" s="62" t="str">
        <f t="shared" si="35"/>
        <v/>
      </c>
      <c r="BF79" s="62" t="str">
        <f t="shared" si="36"/>
        <v/>
      </c>
      <c r="BJ79" s="62" t="str">
        <f t="shared" si="37"/>
        <v/>
      </c>
      <c r="BM79" s="62" t="str">
        <f t="shared" si="38"/>
        <v/>
      </c>
      <c r="BQ79" s="62" t="str">
        <f t="shared" si="39"/>
        <v/>
      </c>
      <c r="BT79" s="62" t="str">
        <f t="shared" si="40"/>
        <v/>
      </c>
      <c r="BW79" s="62" t="str">
        <f t="shared" si="41"/>
        <v/>
      </c>
      <c r="CA79" s="62" t="str">
        <f t="shared" si="42"/>
        <v/>
      </c>
      <c r="CD79" s="62" t="str">
        <f t="shared" si="43"/>
        <v/>
      </c>
    </row>
    <row r="80" spans="1:82" x14ac:dyDescent="0.3">
      <c r="A80" s="49" t="s">
        <v>61</v>
      </c>
      <c r="B80" s="49" t="s">
        <v>104</v>
      </c>
      <c r="C80" s="44" t="s">
        <v>38</v>
      </c>
      <c r="F80" s="62" t="str">
        <f t="shared" si="22"/>
        <v/>
      </c>
      <c r="J80" s="62" t="str">
        <f t="shared" si="23"/>
        <v/>
      </c>
      <c r="N80" s="62" t="str">
        <f t="shared" si="24"/>
        <v/>
      </c>
      <c r="R80" s="62" t="str">
        <f t="shared" si="25"/>
        <v/>
      </c>
      <c r="V80" s="62" t="str">
        <f t="shared" si="26"/>
        <v/>
      </c>
      <c r="Y80" s="62" t="str">
        <f t="shared" si="27"/>
        <v/>
      </c>
      <c r="AB80" s="62" t="str">
        <f t="shared" si="28"/>
        <v/>
      </c>
      <c r="AF80" s="62" t="str">
        <f t="shared" si="29"/>
        <v/>
      </c>
      <c r="AI80" s="62" t="str">
        <f t="shared" si="30"/>
        <v/>
      </c>
      <c r="AM80" s="62" t="str">
        <f t="shared" si="31"/>
        <v/>
      </c>
      <c r="AQ80" s="62" t="str">
        <f t="shared" si="32"/>
        <v/>
      </c>
      <c r="AU80" s="62" t="str">
        <f t="shared" si="33"/>
        <v/>
      </c>
      <c r="AY80" s="62" t="str">
        <f t="shared" si="34"/>
        <v/>
      </c>
      <c r="BC80" s="62" t="str">
        <f t="shared" si="35"/>
        <v/>
      </c>
      <c r="BF80" s="62" t="str">
        <f t="shared" si="36"/>
        <v/>
      </c>
      <c r="BJ80" s="62" t="str">
        <f t="shared" si="37"/>
        <v/>
      </c>
      <c r="BM80" s="62" t="str">
        <f t="shared" si="38"/>
        <v/>
      </c>
      <c r="BN80" s="44" t="s">
        <v>38</v>
      </c>
      <c r="BQ80" s="62" t="str">
        <f t="shared" si="39"/>
        <v/>
      </c>
      <c r="BT80" s="62" t="str">
        <f t="shared" si="40"/>
        <v/>
      </c>
      <c r="BU80" s="44">
        <v>8</v>
      </c>
      <c r="BV80" s="44">
        <v>30</v>
      </c>
      <c r="BW80" s="62">
        <f t="shared" si="41"/>
        <v>3.75</v>
      </c>
      <c r="BX80" s="44" t="s">
        <v>38</v>
      </c>
      <c r="CA80" s="62" t="str">
        <f t="shared" si="42"/>
        <v/>
      </c>
      <c r="CB80" s="44">
        <v>0.25</v>
      </c>
      <c r="CC80" s="44">
        <v>11</v>
      </c>
      <c r="CD80" s="62">
        <f t="shared" si="43"/>
        <v>44</v>
      </c>
    </row>
    <row r="81" spans="1:82" x14ac:dyDescent="0.3">
      <c r="A81" s="52" t="s">
        <v>21</v>
      </c>
      <c r="B81" s="49" t="s">
        <v>104</v>
      </c>
      <c r="C81" s="44" t="s">
        <v>38</v>
      </c>
      <c r="D81" s="44">
        <v>6579</v>
      </c>
      <c r="E81" s="44">
        <v>4071</v>
      </c>
      <c r="F81" s="62">
        <f t="shared" si="22"/>
        <v>0.61878704970360232</v>
      </c>
      <c r="J81" s="62" t="str">
        <f t="shared" si="23"/>
        <v/>
      </c>
      <c r="K81" s="44" t="s">
        <v>38</v>
      </c>
      <c r="L81" s="44">
        <v>8574</v>
      </c>
      <c r="M81" s="44">
        <v>4690</v>
      </c>
      <c r="N81" s="62">
        <f t="shared" si="24"/>
        <v>0.54700256589689755</v>
      </c>
      <c r="O81" s="44" t="s">
        <v>38</v>
      </c>
      <c r="P81" s="44">
        <v>13000</v>
      </c>
      <c r="Q81" s="44">
        <v>8000</v>
      </c>
      <c r="R81" s="62">
        <f t="shared" si="25"/>
        <v>0.61538461538461542</v>
      </c>
      <c r="S81" s="44" t="s">
        <v>38</v>
      </c>
      <c r="T81" s="44">
        <v>8333</v>
      </c>
      <c r="U81" s="44">
        <v>3714</v>
      </c>
      <c r="V81" s="62">
        <f t="shared" si="26"/>
        <v>0.44569782791311652</v>
      </c>
      <c r="W81" s="44">
        <v>5500</v>
      </c>
      <c r="X81" s="44">
        <v>3652</v>
      </c>
      <c r="Y81" s="62">
        <f t="shared" si="27"/>
        <v>0.66400000000000003</v>
      </c>
      <c r="Z81" s="44">
        <v>5300</v>
      </c>
      <c r="AA81" s="44">
        <v>3231</v>
      </c>
      <c r="AB81" s="62">
        <f t="shared" si="28"/>
        <v>0.60962264150943402</v>
      </c>
      <c r="AC81" s="44" t="s">
        <v>38</v>
      </c>
      <c r="AD81" s="44">
        <v>5500</v>
      </c>
      <c r="AE81" s="44">
        <v>3110</v>
      </c>
      <c r="AF81" s="62">
        <f t="shared" si="29"/>
        <v>0.56545454545454543</v>
      </c>
      <c r="AG81" s="44">
        <v>4600</v>
      </c>
      <c r="AH81" s="44">
        <v>2733</v>
      </c>
      <c r="AI81" s="62">
        <f t="shared" si="30"/>
        <v>0.59413043478260874</v>
      </c>
      <c r="AM81" s="62" t="str">
        <f t="shared" si="31"/>
        <v/>
      </c>
      <c r="AQ81" s="62" t="str">
        <f t="shared" si="32"/>
        <v/>
      </c>
      <c r="AU81" s="62" t="str">
        <f t="shared" si="33"/>
        <v/>
      </c>
      <c r="AY81" s="62" t="str">
        <f t="shared" si="34"/>
        <v/>
      </c>
      <c r="BC81" s="62" t="str">
        <f t="shared" si="35"/>
        <v/>
      </c>
      <c r="BF81" s="62" t="str">
        <f t="shared" si="36"/>
        <v/>
      </c>
      <c r="BJ81" s="62" t="str">
        <f t="shared" si="37"/>
        <v/>
      </c>
      <c r="BM81" s="62" t="str">
        <f t="shared" si="38"/>
        <v/>
      </c>
      <c r="BQ81" s="62" t="str">
        <f t="shared" si="39"/>
        <v/>
      </c>
      <c r="BT81" s="62" t="str">
        <f t="shared" si="40"/>
        <v/>
      </c>
      <c r="BW81" s="62" t="str">
        <f t="shared" si="41"/>
        <v/>
      </c>
      <c r="CA81" s="62" t="str">
        <f t="shared" si="42"/>
        <v/>
      </c>
      <c r="CD81" s="62" t="str">
        <f t="shared" si="43"/>
        <v/>
      </c>
    </row>
    <row r="82" spans="1:82" x14ac:dyDescent="0.3">
      <c r="A82" s="49" t="s">
        <v>347</v>
      </c>
      <c r="B82" s="49" t="s">
        <v>104</v>
      </c>
      <c r="C82" s="44" t="s">
        <v>38</v>
      </c>
      <c r="F82" s="62" t="str">
        <f t="shared" si="22"/>
        <v/>
      </c>
      <c r="J82" s="62" t="str">
        <f t="shared" si="23"/>
        <v/>
      </c>
      <c r="N82" s="62" t="str">
        <f t="shared" si="24"/>
        <v/>
      </c>
      <c r="R82" s="62" t="str">
        <f t="shared" si="25"/>
        <v/>
      </c>
      <c r="V82" s="62" t="str">
        <f t="shared" si="26"/>
        <v/>
      </c>
      <c r="Y82" s="62" t="str">
        <f t="shared" si="27"/>
        <v/>
      </c>
      <c r="AB82" s="62" t="str">
        <f t="shared" si="28"/>
        <v/>
      </c>
      <c r="AF82" s="62" t="str">
        <f t="shared" si="29"/>
        <v/>
      </c>
      <c r="AI82" s="62" t="str">
        <f t="shared" si="30"/>
        <v/>
      </c>
      <c r="AJ82" s="44" t="s">
        <v>38</v>
      </c>
      <c r="AK82" s="44">
        <v>4500</v>
      </c>
      <c r="AL82" s="44">
        <v>1853</v>
      </c>
      <c r="AM82" s="62">
        <f t="shared" si="31"/>
        <v>0.4117777777777778</v>
      </c>
      <c r="AN82" s="44" t="s">
        <v>38</v>
      </c>
      <c r="AO82" s="44">
        <v>9000</v>
      </c>
      <c r="AP82" s="44">
        <v>3375</v>
      </c>
      <c r="AQ82" s="62">
        <f t="shared" si="32"/>
        <v>0.375</v>
      </c>
      <c r="AR82" s="44" t="s">
        <v>38</v>
      </c>
      <c r="AS82" s="44">
        <v>11250</v>
      </c>
      <c r="AT82" s="44">
        <v>2813</v>
      </c>
      <c r="AU82" s="62">
        <f t="shared" si="33"/>
        <v>0.25004444444444446</v>
      </c>
      <c r="AV82" s="44" t="s">
        <v>38</v>
      </c>
      <c r="AW82" s="44">
        <v>8999</v>
      </c>
      <c r="AX82" s="44">
        <v>2400</v>
      </c>
      <c r="AY82" s="62">
        <f t="shared" si="34"/>
        <v>0.26669629958884322</v>
      </c>
      <c r="AZ82" s="44" t="s">
        <v>38</v>
      </c>
      <c r="BA82" s="44">
        <v>5600</v>
      </c>
      <c r="BB82" s="44">
        <v>1867</v>
      </c>
      <c r="BC82" s="62">
        <f t="shared" si="35"/>
        <v>0.33339285714285716</v>
      </c>
      <c r="BD82" s="44">
        <v>5415</v>
      </c>
      <c r="BE82" s="44">
        <v>1986</v>
      </c>
      <c r="BF82" s="62">
        <f t="shared" si="36"/>
        <v>0.36675900277008311</v>
      </c>
      <c r="BG82" s="44" t="s">
        <v>38</v>
      </c>
      <c r="BH82" s="44">
        <v>5217</v>
      </c>
      <c r="BI82" s="44">
        <v>3713</v>
      </c>
      <c r="BJ82" s="62">
        <f t="shared" si="37"/>
        <v>0.71171171171171166</v>
      </c>
      <c r="BK82" s="44">
        <v>6043</v>
      </c>
      <c r="BL82" s="44">
        <v>2772</v>
      </c>
      <c r="BM82" s="62">
        <f t="shared" si="38"/>
        <v>0.45871255998676153</v>
      </c>
      <c r="BN82" s="44" t="s">
        <v>38</v>
      </c>
      <c r="BO82" s="44">
        <v>3695</v>
      </c>
      <c r="BP82" s="44">
        <v>1073</v>
      </c>
      <c r="BQ82" s="62">
        <f t="shared" si="39"/>
        <v>0.29039242219215156</v>
      </c>
      <c r="BR82" s="44">
        <v>4754.5</v>
      </c>
      <c r="BS82" s="44">
        <v>2127</v>
      </c>
      <c r="BT82" s="62">
        <f t="shared" si="40"/>
        <v>0.44736565359133451</v>
      </c>
      <c r="BU82" s="44">
        <v>5899</v>
      </c>
      <c r="BV82" s="44">
        <v>2707</v>
      </c>
      <c r="BW82" s="62">
        <f t="shared" si="41"/>
        <v>0.45889133751483302</v>
      </c>
      <c r="BX82" s="44" t="s">
        <v>38</v>
      </c>
      <c r="BY82" s="44">
        <v>3771.75</v>
      </c>
      <c r="BZ82" s="44">
        <v>1521</v>
      </c>
      <c r="CA82" s="62">
        <f t="shared" si="42"/>
        <v>0.40326108570292307</v>
      </c>
      <c r="CB82" s="44">
        <v>7403</v>
      </c>
      <c r="CC82" s="44">
        <v>3295</v>
      </c>
      <c r="CD82" s="62">
        <f t="shared" si="43"/>
        <v>0.44508982844792649</v>
      </c>
    </row>
    <row r="83" spans="1:82" x14ac:dyDescent="0.3">
      <c r="A83" s="49" t="s">
        <v>259</v>
      </c>
      <c r="B83" s="49" t="s">
        <v>104</v>
      </c>
      <c r="C83" s="44" t="s">
        <v>38</v>
      </c>
      <c r="F83" s="62" t="str">
        <f t="shared" si="22"/>
        <v/>
      </c>
      <c r="J83" s="62" t="str">
        <f t="shared" si="23"/>
        <v/>
      </c>
      <c r="N83" s="62" t="str">
        <f t="shared" si="24"/>
        <v/>
      </c>
      <c r="R83" s="62" t="str">
        <f t="shared" si="25"/>
        <v/>
      </c>
      <c r="V83" s="62" t="str">
        <f t="shared" si="26"/>
        <v/>
      </c>
      <c r="Y83" s="62" t="str">
        <f t="shared" si="27"/>
        <v/>
      </c>
      <c r="AB83" s="62" t="str">
        <f t="shared" si="28"/>
        <v/>
      </c>
      <c r="AF83" s="62" t="str">
        <f t="shared" si="29"/>
        <v/>
      </c>
      <c r="AI83" s="62" t="str">
        <f t="shared" si="30"/>
        <v/>
      </c>
      <c r="AJ83" s="44" t="s">
        <v>38</v>
      </c>
      <c r="AK83" s="44">
        <v>800</v>
      </c>
      <c r="AL83" s="44">
        <v>847</v>
      </c>
      <c r="AM83" s="62">
        <f t="shared" si="31"/>
        <v>1.0587500000000001</v>
      </c>
      <c r="AN83" s="44" t="s">
        <v>38</v>
      </c>
      <c r="AO83" s="44">
        <v>1200</v>
      </c>
      <c r="AP83" s="44">
        <v>1500</v>
      </c>
      <c r="AQ83" s="62">
        <f t="shared" si="32"/>
        <v>1.25</v>
      </c>
      <c r="AR83" s="44" t="s">
        <v>38</v>
      </c>
      <c r="AS83" s="44">
        <v>800</v>
      </c>
      <c r="AT83" s="44">
        <v>800</v>
      </c>
      <c r="AU83" s="62">
        <f t="shared" si="33"/>
        <v>1</v>
      </c>
      <c r="AV83" s="44" t="s">
        <v>38</v>
      </c>
      <c r="AW83" s="44">
        <v>1000</v>
      </c>
      <c r="AX83" s="44">
        <v>1133</v>
      </c>
      <c r="AY83" s="62">
        <f t="shared" si="34"/>
        <v>1.133</v>
      </c>
      <c r="AZ83" s="44" t="s">
        <v>38</v>
      </c>
      <c r="BA83" s="44">
        <v>800</v>
      </c>
      <c r="BB83" s="44">
        <v>906</v>
      </c>
      <c r="BC83" s="62">
        <f t="shared" si="35"/>
        <v>1.1325000000000001</v>
      </c>
      <c r="BD83" s="44">
        <v>400</v>
      </c>
      <c r="BE83" s="44">
        <v>453</v>
      </c>
      <c r="BF83" s="62">
        <f t="shared" si="36"/>
        <v>1.1325000000000001</v>
      </c>
      <c r="BG83" s="44" t="s">
        <v>38</v>
      </c>
      <c r="BH83" s="44">
        <v>587</v>
      </c>
      <c r="BI83" s="44">
        <v>551</v>
      </c>
      <c r="BJ83" s="62">
        <f t="shared" si="37"/>
        <v>0.93867120954003402</v>
      </c>
      <c r="BK83" s="44">
        <v>798</v>
      </c>
      <c r="BL83" s="44">
        <v>860</v>
      </c>
      <c r="BM83" s="62">
        <f t="shared" si="38"/>
        <v>1.0776942355889725</v>
      </c>
      <c r="BN83" s="44" t="s">
        <v>38</v>
      </c>
      <c r="BO83" s="44">
        <v>1497</v>
      </c>
      <c r="BP83" s="44">
        <v>1746</v>
      </c>
      <c r="BQ83" s="62">
        <f t="shared" si="39"/>
        <v>1.1663326653306614</v>
      </c>
      <c r="BR83" s="44">
        <v>1054.5</v>
      </c>
      <c r="BS83" s="44">
        <v>1259</v>
      </c>
      <c r="BT83" s="62">
        <f t="shared" si="40"/>
        <v>1.1939307728781412</v>
      </c>
      <c r="BU83" s="44">
        <v>969</v>
      </c>
      <c r="BV83" s="44">
        <v>1251</v>
      </c>
      <c r="BW83" s="62">
        <f t="shared" si="41"/>
        <v>1.2910216718266254</v>
      </c>
      <c r="BX83" s="44" t="s">
        <v>38</v>
      </c>
      <c r="BY83" s="44">
        <v>1890</v>
      </c>
      <c r="BZ83" s="44">
        <v>1543</v>
      </c>
      <c r="CA83" s="62">
        <f t="shared" si="42"/>
        <v>0.81640211640211635</v>
      </c>
      <c r="CB83" s="44">
        <v>961</v>
      </c>
      <c r="CC83" s="44">
        <v>947</v>
      </c>
      <c r="CD83" s="62">
        <f t="shared" si="43"/>
        <v>0.98543184183142563</v>
      </c>
    </row>
    <row r="84" spans="1:82" x14ac:dyDescent="0.3">
      <c r="A84" s="49" t="s">
        <v>23</v>
      </c>
      <c r="B84" s="49" t="s">
        <v>106</v>
      </c>
      <c r="C84" s="44" t="s">
        <v>42</v>
      </c>
      <c r="F84" s="62" t="str">
        <f t="shared" si="22"/>
        <v/>
      </c>
      <c r="J84" s="62" t="str">
        <f t="shared" si="23"/>
        <v/>
      </c>
      <c r="N84" s="62" t="str">
        <f t="shared" si="24"/>
        <v/>
      </c>
      <c r="R84" s="62" t="str">
        <f t="shared" si="25"/>
        <v/>
      </c>
      <c r="V84" s="62" t="str">
        <f t="shared" si="26"/>
        <v/>
      </c>
      <c r="Y84" s="62" t="str">
        <f t="shared" si="27"/>
        <v/>
      </c>
      <c r="AB84" s="62" t="str">
        <f t="shared" si="28"/>
        <v/>
      </c>
      <c r="AF84" s="62" t="str">
        <f t="shared" si="29"/>
        <v/>
      </c>
      <c r="AI84" s="62" t="str">
        <f t="shared" si="30"/>
        <v/>
      </c>
      <c r="AM84" s="62" t="str">
        <f t="shared" si="31"/>
        <v/>
      </c>
      <c r="AQ84" s="62" t="str">
        <f t="shared" si="32"/>
        <v/>
      </c>
      <c r="AU84" s="62" t="str">
        <f t="shared" si="33"/>
        <v/>
      </c>
      <c r="AY84" s="62" t="str">
        <f t="shared" si="34"/>
        <v/>
      </c>
      <c r="BC84" s="62" t="str">
        <f t="shared" si="35"/>
        <v/>
      </c>
      <c r="BF84" s="62" t="str">
        <f t="shared" si="36"/>
        <v/>
      </c>
      <c r="BG84" s="44" t="s">
        <v>42</v>
      </c>
      <c r="BH84" s="44">
        <v>11</v>
      </c>
      <c r="BI84" s="44">
        <v>31</v>
      </c>
      <c r="BJ84" s="62">
        <f t="shared" si="37"/>
        <v>2.8181818181818183</v>
      </c>
      <c r="BK84" s="44">
        <v>273</v>
      </c>
      <c r="BL84" s="44">
        <v>56</v>
      </c>
      <c r="BM84" s="62">
        <f t="shared" si="38"/>
        <v>0.20512820512820512</v>
      </c>
      <c r="BN84" s="44" t="s">
        <v>42</v>
      </c>
      <c r="BO84" s="44">
        <v>586</v>
      </c>
      <c r="BP84" s="44">
        <v>49</v>
      </c>
      <c r="BQ84" s="62">
        <f t="shared" si="39"/>
        <v>8.3617747440273033E-2</v>
      </c>
      <c r="BT84" s="62" t="str">
        <f t="shared" si="40"/>
        <v/>
      </c>
      <c r="BU84" s="44">
        <v>2370</v>
      </c>
      <c r="BV84" s="44">
        <v>62</v>
      </c>
      <c r="BW84" s="62">
        <f t="shared" si="41"/>
        <v>2.6160337552742614E-2</v>
      </c>
      <c r="BX84" s="44" t="s">
        <v>42</v>
      </c>
      <c r="BY84" s="44">
        <v>2504</v>
      </c>
      <c r="BZ84" s="44">
        <v>77</v>
      </c>
      <c r="CA84" s="62">
        <f t="shared" si="42"/>
        <v>3.0750798722044729E-2</v>
      </c>
      <c r="CB84" s="44">
        <v>5754</v>
      </c>
      <c r="CC84" s="44">
        <v>126</v>
      </c>
      <c r="CD84" s="62">
        <f t="shared" si="43"/>
        <v>2.1897810218978103E-2</v>
      </c>
    </row>
    <row r="85" spans="1:82" x14ac:dyDescent="0.3">
      <c r="A85" s="49" t="s">
        <v>252</v>
      </c>
      <c r="B85" s="49" t="s">
        <v>104</v>
      </c>
      <c r="C85" s="44" t="s">
        <v>38</v>
      </c>
      <c r="F85" s="62" t="str">
        <f t="shared" si="22"/>
        <v/>
      </c>
      <c r="J85" s="62" t="str">
        <f t="shared" si="23"/>
        <v/>
      </c>
      <c r="N85" s="62" t="str">
        <f t="shared" si="24"/>
        <v/>
      </c>
      <c r="R85" s="62" t="str">
        <f t="shared" si="25"/>
        <v/>
      </c>
      <c r="V85" s="62" t="str">
        <f t="shared" si="26"/>
        <v/>
      </c>
      <c r="Y85" s="62" t="str">
        <f t="shared" si="27"/>
        <v/>
      </c>
      <c r="AB85" s="62" t="str">
        <f t="shared" si="28"/>
        <v/>
      </c>
      <c r="AF85" s="62" t="str">
        <f t="shared" si="29"/>
        <v/>
      </c>
      <c r="AI85" s="62" t="str">
        <f t="shared" si="30"/>
        <v/>
      </c>
      <c r="AM85" s="62" t="str">
        <f t="shared" si="31"/>
        <v/>
      </c>
      <c r="AQ85" s="62" t="str">
        <f t="shared" si="32"/>
        <v/>
      </c>
      <c r="AR85" s="44" t="s">
        <v>38</v>
      </c>
      <c r="AS85" s="44">
        <v>100</v>
      </c>
      <c r="AT85" s="44">
        <v>150</v>
      </c>
      <c r="AU85" s="62">
        <f t="shared" si="33"/>
        <v>1.5</v>
      </c>
      <c r="AV85" s="44" t="s">
        <v>38</v>
      </c>
      <c r="AW85" s="44">
        <v>90</v>
      </c>
      <c r="AX85" s="44">
        <v>150</v>
      </c>
      <c r="AY85" s="62">
        <f t="shared" si="34"/>
        <v>1.6666666666666667</v>
      </c>
      <c r="AZ85" s="44" t="s">
        <v>38</v>
      </c>
      <c r="BA85" s="44">
        <v>100</v>
      </c>
      <c r="BB85" s="44">
        <v>166</v>
      </c>
      <c r="BC85" s="62">
        <f t="shared" si="35"/>
        <v>1.66</v>
      </c>
      <c r="BD85" s="44">
        <v>125</v>
      </c>
      <c r="BE85" s="44">
        <v>208</v>
      </c>
      <c r="BF85" s="62">
        <f t="shared" si="36"/>
        <v>1.6639999999999999</v>
      </c>
      <c r="BJ85" s="62" t="str">
        <f t="shared" si="37"/>
        <v/>
      </c>
      <c r="BM85" s="62" t="str">
        <f t="shared" si="38"/>
        <v/>
      </c>
      <c r="BQ85" s="62" t="str">
        <f t="shared" si="39"/>
        <v/>
      </c>
      <c r="BT85" s="62" t="str">
        <f t="shared" si="40"/>
        <v/>
      </c>
      <c r="BW85" s="62" t="str">
        <f t="shared" si="41"/>
        <v/>
      </c>
      <c r="CA85" s="62" t="str">
        <f t="shared" si="42"/>
        <v/>
      </c>
      <c r="CD85" s="62" t="str">
        <f t="shared" si="43"/>
        <v/>
      </c>
    </row>
    <row r="86" spans="1:82" x14ac:dyDescent="0.3">
      <c r="A86" s="49" t="s">
        <v>24</v>
      </c>
      <c r="B86" s="49" t="s">
        <v>293</v>
      </c>
      <c r="C86" s="44" t="s">
        <v>37</v>
      </c>
      <c r="D86" s="44">
        <v>420</v>
      </c>
      <c r="E86" s="44">
        <v>1057</v>
      </c>
      <c r="F86" s="62">
        <f t="shared" si="22"/>
        <v>2.5166666666666666</v>
      </c>
      <c r="G86" s="44" t="s">
        <v>37</v>
      </c>
      <c r="H86" s="44">
        <v>425</v>
      </c>
      <c r="I86" s="44">
        <v>1141</v>
      </c>
      <c r="J86" s="62">
        <f t="shared" si="23"/>
        <v>2.6847058823529411</v>
      </c>
      <c r="K86" s="44" t="s">
        <v>37</v>
      </c>
      <c r="L86" s="44">
        <v>443</v>
      </c>
      <c r="M86" s="44">
        <v>1212</v>
      </c>
      <c r="N86" s="62">
        <f t="shared" si="24"/>
        <v>2.7358916478555306</v>
      </c>
      <c r="O86" s="44" t="s">
        <v>37</v>
      </c>
      <c r="P86" s="44">
        <v>378</v>
      </c>
      <c r="Q86" s="44">
        <v>1162</v>
      </c>
      <c r="R86" s="62">
        <f t="shared" si="25"/>
        <v>3.074074074074074</v>
      </c>
      <c r="S86" s="44" t="s">
        <v>37</v>
      </c>
      <c r="T86" s="44">
        <v>400</v>
      </c>
      <c r="U86" s="44">
        <v>1429</v>
      </c>
      <c r="V86" s="62">
        <f t="shared" si="26"/>
        <v>3.5724999999999998</v>
      </c>
      <c r="W86" s="44">
        <v>300</v>
      </c>
      <c r="X86" s="44">
        <v>937</v>
      </c>
      <c r="Y86" s="62">
        <f t="shared" si="27"/>
        <v>3.1233333333333335</v>
      </c>
      <c r="Z86" s="44">
        <v>200</v>
      </c>
      <c r="AA86" s="44">
        <v>615</v>
      </c>
      <c r="AB86" s="62">
        <f t="shared" si="28"/>
        <v>3.0750000000000002</v>
      </c>
      <c r="AC86" s="44" t="s">
        <v>37</v>
      </c>
      <c r="AD86" s="44">
        <v>260</v>
      </c>
      <c r="AE86" s="44">
        <v>722</v>
      </c>
      <c r="AF86" s="62">
        <f t="shared" si="29"/>
        <v>2.7769230769230768</v>
      </c>
      <c r="AG86" s="44">
        <v>220</v>
      </c>
      <c r="AH86" s="44">
        <v>611</v>
      </c>
      <c r="AI86" s="62">
        <f t="shared" si="30"/>
        <v>2.7772727272727273</v>
      </c>
      <c r="AJ86" s="44" t="s">
        <v>37</v>
      </c>
      <c r="AK86" s="44">
        <v>170</v>
      </c>
      <c r="AL86" s="44">
        <v>500</v>
      </c>
      <c r="AM86" s="62">
        <f t="shared" si="31"/>
        <v>2.9411764705882355</v>
      </c>
      <c r="AN86" s="44" t="s">
        <v>37</v>
      </c>
      <c r="AO86" s="44">
        <v>80</v>
      </c>
      <c r="AP86" s="44">
        <v>250</v>
      </c>
      <c r="AQ86" s="62">
        <f t="shared" si="32"/>
        <v>3.125</v>
      </c>
      <c r="AR86" s="44" t="s">
        <v>37</v>
      </c>
      <c r="AS86" s="44">
        <v>100</v>
      </c>
      <c r="AT86" s="44">
        <v>188</v>
      </c>
      <c r="AU86" s="62">
        <f t="shared" si="33"/>
        <v>1.88</v>
      </c>
      <c r="AV86" s="44" t="s">
        <v>37</v>
      </c>
      <c r="AW86" s="44">
        <v>79.5</v>
      </c>
      <c r="AX86" s="44">
        <v>265</v>
      </c>
      <c r="AY86" s="62">
        <f t="shared" si="34"/>
        <v>3.3333333333333335</v>
      </c>
      <c r="AZ86" s="44" t="s">
        <v>37</v>
      </c>
      <c r="BA86" s="44">
        <v>120</v>
      </c>
      <c r="BB86" s="44">
        <v>400</v>
      </c>
      <c r="BC86" s="62">
        <f t="shared" si="35"/>
        <v>3.3333333333333335</v>
      </c>
      <c r="BD86" s="44">
        <v>100</v>
      </c>
      <c r="BE86" s="44">
        <v>333</v>
      </c>
      <c r="BF86" s="62">
        <f t="shared" si="36"/>
        <v>3.33</v>
      </c>
      <c r="BG86" s="44" t="s">
        <v>38</v>
      </c>
      <c r="BJ86" s="62" t="str">
        <f t="shared" si="37"/>
        <v/>
      </c>
      <c r="BK86" s="44">
        <v>355</v>
      </c>
      <c r="BL86" s="44">
        <v>725</v>
      </c>
      <c r="BM86" s="62">
        <f t="shared" si="38"/>
        <v>2.0422535211267605</v>
      </c>
      <c r="BN86" s="44" t="s">
        <v>38</v>
      </c>
      <c r="BO86" s="44">
        <v>139</v>
      </c>
      <c r="BP86" s="44">
        <v>261</v>
      </c>
      <c r="BQ86" s="62">
        <f t="shared" si="39"/>
        <v>1.8776978417266188</v>
      </c>
      <c r="BR86" s="44">
        <v>161.75</v>
      </c>
      <c r="BS86" s="44">
        <v>295</v>
      </c>
      <c r="BT86" s="62">
        <f t="shared" si="40"/>
        <v>1.8238021638330757</v>
      </c>
      <c r="BU86" s="44">
        <v>144.5</v>
      </c>
      <c r="BV86" s="44">
        <v>258.5</v>
      </c>
      <c r="BW86" s="62">
        <f t="shared" si="41"/>
        <v>1.7889273356401385</v>
      </c>
      <c r="BX86" s="44" t="s">
        <v>38</v>
      </c>
      <c r="BY86" s="44">
        <v>387.25</v>
      </c>
      <c r="BZ86" s="44">
        <v>1322</v>
      </c>
      <c r="CA86" s="62">
        <f t="shared" si="42"/>
        <v>3.4138153647514526</v>
      </c>
      <c r="CB86" s="44">
        <v>579</v>
      </c>
      <c r="CC86" s="44">
        <v>1437</v>
      </c>
      <c r="CD86" s="62">
        <f t="shared" si="43"/>
        <v>2.4818652849740932</v>
      </c>
    </row>
    <row r="87" spans="1:82" x14ac:dyDescent="0.3">
      <c r="A87" s="53" t="s">
        <v>66</v>
      </c>
      <c r="B87" s="49" t="s">
        <v>104</v>
      </c>
      <c r="C87" s="44" t="s">
        <v>38</v>
      </c>
      <c r="D87" s="44">
        <v>804</v>
      </c>
      <c r="E87" s="44">
        <v>778</v>
      </c>
      <c r="F87" s="62">
        <f t="shared" si="22"/>
        <v>0.96766169154228854</v>
      </c>
      <c r="G87" s="44" t="s">
        <v>38</v>
      </c>
      <c r="H87" s="44">
        <v>482</v>
      </c>
      <c r="I87" s="44">
        <v>486</v>
      </c>
      <c r="J87" s="62">
        <f t="shared" si="23"/>
        <v>1.008298755186722</v>
      </c>
      <c r="K87" s="44" t="s">
        <v>38</v>
      </c>
      <c r="L87" s="44">
        <v>560</v>
      </c>
      <c r="M87" s="44">
        <v>615</v>
      </c>
      <c r="N87" s="62">
        <f t="shared" si="24"/>
        <v>1.0982142857142858</v>
      </c>
      <c r="O87" s="44" t="s">
        <v>38</v>
      </c>
      <c r="P87" s="44">
        <v>800</v>
      </c>
      <c r="Q87" s="44">
        <v>1000</v>
      </c>
      <c r="R87" s="62">
        <f t="shared" si="25"/>
        <v>1.25</v>
      </c>
      <c r="S87" s="44" t="s">
        <v>38</v>
      </c>
      <c r="T87" s="44">
        <v>945</v>
      </c>
      <c r="U87" s="44">
        <v>974</v>
      </c>
      <c r="V87" s="62">
        <f t="shared" si="26"/>
        <v>1.0306878306878307</v>
      </c>
      <c r="W87" s="44">
        <v>800</v>
      </c>
      <c r="X87" s="44">
        <v>712</v>
      </c>
      <c r="Y87" s="62">
        <f t="shared" si="27"/>
        <v>0.89</v>
      </c>
      <c r="Z87" s="44">
        <v>700</v>
      </c>
      <c r="AA87" s="44">
        <v>646</v>
      </c>
      <c r="AB87" s="62">
        <f t="shared" si="28"/>
        <v>0.92285714285714282</v>
      </c>
      <c r="AC87" s="44" t="s">
        <v>38</v>
      </c>
      <c r="AD87" s="44">
        <v>800</v>
      </c>
      <c r="AE87" s="44">
        <v>661</v>
      </c>
      <c r="AF87" s="62">
        <f t="shared" si="29"/>
        <v>0.82625000000000004</v>
      </c>
      <c r="AI87" s="62" t="str">
        <f t="shared" si="30"/>
        <v/>
      </c>
      <c r="AM87" s="62" t="str">
        <f t="shared" si="31"/>
        <v/>
      </c>
      <c r="AQ87" s="62" t="str">
        <f t="shared" si="32"/>
        <v/>
      </c>
      <c r="AU87" s="62" t="str">
        <f t="shared" si="33"/>
        <v/>
      </c>
      <c r="AY87" s="62" t="str">
        <f t="shared" si="34"/>
        <v/>
      </c>
      <c r="BC87" s="62" t="str">
        <f t="shared" si="35"/>
        <v/>
      </c>
      <c r="BF87" s="62" t="str">
        <f t="shared" si="36"/>
        <v/>
      </c>
      <c r="BJ87" s="62" t="str">
        <f t="shared" si="37"/>
        <v/>
      </c>
      <c r="BM87" s="62" t="str">
        <f t="shared" si="38"/>
        <v/>
      </c>
      <c r="BQ87" s="62" t="str">
        <f t="shared" si="39"/>
        <v/>
      </c>
      <c r="BT87" s="62" t="str">
        <f t="shared" si="40"/>
        <v/>
      </c>
      <c r="BW87" s="62" t="str">
        <f t="shared" si="41"/>
        <v/>
      </c>
      <c r="CA87" s="62" t="str">
        <f t="shared" si="42"/>
        <v/>
      </c>
      <c r="CD87" s="62" t="str">
        <f t="shared" si="43"/>
        <v/>
      </c>
    </row>
    <row r="88" spans="1:82" x14ac:dyDescent="0.3">
      <c r="A88" s="53" t="s">
        <v>254</v>
      </c>
      <c r="B88" s="49" t="s">
        <v>104</v>
      </c>
      <c r="C88" s="44" t="s">
        <v>38</v>
      </c>
      <c r="F88" s="62" t="str">
        <f t="shared" si="22"/>
        <v/>
      </c>
      <c r="J88" s="62" t="str">
        <f t="shared" si="23"/>
        <v/>
      </c>
      <c r="N88" s="62" t="str">
        <f t="shared" si="24"/>
        <v/>
      </c>
      <c r="R88" s="62" t="str">
        <f t="shared" si="25"/>
        <v/>
      </c>
      <c r="V88" s="62" t="str">
        <f t="shared" si="26"/>
        <v/>
      </c>
      <c r="Y88" s="62" t="str">
        <f t="shared" si="27"/>
        <v/>
      </c>
      <c r="AB88" s="62" t="str">
        <f t="shared" si="28"/>
        <v/>
      </c>
      <c r="AF88" s="62" t="str">
        <f t="shared" si="29"/>
        <v/>
      </c>
      <c r="AI88" s="62" t="str">
        <f t="shared" si="30"/>
        <v/>
      </c>
      <c r="AJ88" s="44" t="s">
        <v>38</v>
      </c>
      <c r="AK88" s="44">
        <v>600</v>
      </c>
      <c r="AL88" s="44">
        <v>471</v>
      </c>
      <c r="AM88" s="62">
        <f t="shared" si="31"/>
        <v>0.78500000000000003</v>
      </c>
      <c r="AQ88" s="62" t="str">
        <f t="shared" si="32"/>
        <v/>
      </c>
      <c r="AU88" s="62" t="str">
        <f t="shared" si="33"/>
        <v/>
      </c>
      <c r="AY88" s="62" t="str">
        <f t="shared" si="34"/>
        <v/>
      </c>
      <c r="BC88" s="62" t="str">
        <f t="shared" si="35"/>
        <v/>
      </c>
      <c r="BF88" s="62" t="str">
        <f t="shared" si="36"/>
        <v/>
      </c>
      <c r="BJ88" s="62" t="str">
        <f t="shared" si="37"/>
        <v/>
      </c>
      <c r="BM88" s="62" t="str">
        <f t="shared" si="38"/>
        <v/>
      </c>
      <c r="BQ88" s="62" t="str">
        <f t="shared" si="39"/>
        <v/>
      </c>
      <c r="BT88" s="62" t="str">
        <f t="shared" si="40"/>
        <v/>
      </c>
      <c r="BW88" s="62" t="str">
        <f t="shared" si="41"/>
        <v/>
      </c>
      <c r="CA88" s="62" t="str">
        <f t="shared" si="42"/>
        <v/>
      </c>
      <c r="CD88" s="62" t="str">
        <f t="shared" si="43"/>
        <v/>
      </c>
    </row>
    <row r="89" spans="1:82" x14ac:dyDescent="0.3">
      <c r="A89" s="53" t="s">
        <v>256</v>
      </c>
      <c r="B89" s="49" t="s">
        <v>104</v>
      </c>
      <c r="C89" s="44" t="s">
        <v>38</v>
      </c>
      <c r="D89" s="44">
        <v>1060</v>
      </c>
      <c r="E89" s="44">
        <v>661</v>
      </c>
      <c r="F89" s="62">
        <f t="shared" si="22"/>
        <v>0.62358490566037739</v>
      </c>
      <c r="G89" s="44" t="s">
        <v>38</v>
      </c>
      <c r="H89" s="44">
        <v>804</v>
      </c>
      <c r="I89" s="44">
        <v>540</v>
      </c>
      <c r="J89" s="62">
        <f t="shared" si="23"/>
        <v>0.67164179104477617</v>
      </c>
      <c r="K89" s="44" t="s">
        <v>38</v>
      </c>
      <c r="L89" s="44">
        <v>1340</v>
      </c>
      <c r="M89" s="44">
        <v>825</v>
      </c>
      <c r="N89" s="62">
        <f t="shared" si="24"/>
        <v>0.61567164179104472</v>
      </c>
      <c r="O89" s="44" t="s">
        <v>38</v>
      </c>
      <c r="P89" s="44">
        <v>1950</v>
      </c>
      <c r="Q89" s="44">
        <v>1500</v>
      </c>
      <c r="R89" s="62">
        <f t="shared" si="25"/>
        <v>0.76923076923076927</v>
      </c>
      <c r="S89" s="44" t="s">
        <v>38</v>
      </c>
      <c r="T89" s="44">
        <v>1750</v>
      </c>
      <c r="U89" s="44">
        <v>1500</v>
      </c>
      <c r="V89" s="62">
        <f t="shared" si="26"/>
        <v>0.8571428571428571</v>
      </c>
      <c r="W89" s="44">
        <v>1500</v>
      </c>
      <c r="X89" s="44">
        <v>1687</v>
      </c>
      <c r="Y89" s="62">
        <f t="shared" si="27"/>
        <v>1.1246666666666667</v>
      </c>
      <c r="Z89" s="44">
        <v>1700</v>
      </c>
      <c r="AA89" s="44">
        <v>1883</v>
      </c>
      <c r="AB89" s="62">
        <f t="shared" si="28"/>
        <v>1.1076470588235294</v>
      </c>
      <c r="AC89" s="44" t="s">
        <v>38</v>
      </c>
      <c r="AD89" s="44">
        <v>2000</v>
      </c>
      <c r="AE89" s="44">
        <v>2000</v>
      </c>
      <c r="AF89" s="62">
        <f t="shared" si="29"/>
        <v>1</v>
      </c>
      <c r="AG89" s="44">
        <v>2000</v>
      </c>
      <c r="AH89" s="44">
        <v>1556</v>
      </c>
      <c r="AI89" s="62">
        <f t="shared" si="30"/>
        <v>0.77800000000000002</v>
      </c>
      <c r="AJ89" s="44" t="s">
        <v>38</v>
      </c>
      <c r="AK89" s="44">
        <v>1680</v>
      </c>
      <c r="AL89" s="44">
        <v>1474</v>
      </c>
      <c r="AM89" s="62">
        <f t="shared" si="31"/>
        <v>0.87738095238095237</v>
      </c>
      <c r="AN89" s="44" t="s">
        <v>38</v>
      </c>
      <c r="AO89" s="44">
        <v>2000</v>
      </c>
      <c r="AP89" s="44">
        <v>1624</v>
      </c>
      <c r="AQ89" s="62">
        <f t="shared" si="32"/>
        <v>0.81200000000000006</v>
      </c>
      <c r="AR89" s="44" t="s">
        <v>38</v>
      </c>
      <c r="AS89" s="44">
        <v>1500</v>
      </c>
      <c r="AT89" s="44">
        <v>1125</v>
      </c>
      <c r="AU89" s="62">
        <f t="shared" si="33"/>
        <v>0.75</v>
      </c>
      <c r="AV89" s="44" t="s">
        <v>38</v>
      </c>
      <c r="AW89" s="44">
        <v>1000</v>
      </c>
      <c r="AX89" s="44">
        <v>1200</v>
      </c>
      <c r="AY89" s="62">
        <f t="shared" si="34"/>
        <v>1.2</v>
      </c>
      <c r="AZ89" s="44" t="s">
        <v>38</v>
      </c>
      <c r="BA89" s="44">
        <v>720</v>
      </c>
      <c r="BB89" s="44">
        <v>960</v>
      </c>
      <c r="BC89" s="62">
        <f t="shared" si="35"/>
        <v>1.3333333333333333</v>
      </c>
      <c r="BD89" s="44">
        <v>1050</v>
      </c>
      <c r="BE89" s="44">
        <v>1400</v>
      </c>
      <c r="BF89" s="62">
        <f t="shared" si="36"/>
        <v>1.3333333333333333</v>
      </c>
      <c r="BJ89" s="62" t="str">
        <f t="shared" si="37"/>
        <v/>
      </c>
      <c r="BM89" s="62" t="str">
        <f t="shared" si="38"/>
        <v/>
      </c>
      <c r="BQ89" s="62" t="str">
        <f t="shared" si="39"/>
        <v/>
      </c>
      <c r="BT89" s="62" t="str">
        <f t="shared" si="40"/>
        <v/>
      </c>
      <c r="BW89" s="62" t="str">
        <f t="shared" si="41"/>
        <v/>
      </c>
      <c r="CA89" s="62" t="str">
        <f t="shared" si="42"/>
        <v/>
      </c>
      <c r="CD89" s="62" t="str">
        <f t="shared" si="43"/>
        <v/>
      </c>
    </row>
    <row r="90" spans="1:82" x14ac:dyDescent="0.3">
      <c r="A90" s="53" t="s">
        <v>255</v>
      </c>
      <c r="B90" s="49" t="s">
        <v>104</v>
      </c>
      <c r="C90" s="44" t="s">
        <v>38</v>
      </c>
      <c r="F90" s="62" t="str">
        <f t="shared" si="22"/>
        <v/>
      </c>
      <c r="J90" s="62" t="str">
        <f t="shared" si="23"/>
        <v/>
      </c>
      <c r="N90" s="62" t="str">
        <f t="shared" si="24"/>
        <v/>
      </c>
      <c r="R90" s="62" t="str">
        <f t="shared" si="25"/>
        <v/>
      </c>
      <c r="V90" s="62" t="str">
        <f t="shared" si="26"/>
        <v/>
      </c>
      <c r="Y90" s="62" t="str">
        <f t="shared" si="27"/>
        <v/>
      </c>
      <c r="AB90" s="62" t="str">
        <f t="shared" si="28"/>
        <v/>
      </c>
      <c r="AF90" s="62" t="str">
        <f t="shared" si="29"/>
        <v/>
      </c>
      <c r="AI90" s="62" t="str">
        <f t="shared" si="30"/>
        <v/>
      </c>
      <c r="AM90" s="62" t="str">
        <f t="shared" si="31"/>
        <v/>
      </c>
      <c r="AQ90" s="62" t="str">
        <f t="shared" si="32"/>
        <v/>
      </c>
      <c r="AU90" s="62" t="str">
        <f t="shared" si="33"/>
        <v/>
      </c>
      <c r="AY90" s="62" t="str">
        <f t="shared" si="34"/>
        <v/>
      </c>
      <c r="BC90" s="62" t="str">
        <f t="shared" si="35"/>
        <v/>
      </c>
      <c r="BF90" s="62" t="str">
        <f t="shared" si="36"/>
        <v/>
      </c>
      <c r="BG90" s="44" t="s">
        <v>38</v>
      </c>
      <c r="BH90" s="44">
        <v>1101</v>
      </c>
      <c r="BI90" s="44">
        <v>192</v>
      </c>
      <c r="BJ90" s="62">
        <f t="shared" si="37"/>
        <v>0.17438692098092642</v>
      </c>
      <c r="BK90" s="44">
        <v>1524</v>
      </c>
      <c r="BL90" s="44">
        <v>298</v>
      </c>
      <c r="BM90" s="62">
        <f t="shared" si="38"/>
        <v>0.19553805774278216</v>
      </c>
      <c r="BN90" s="44" t="s">
        <v>38</v>
      </c>
      <c r="BO90" s="44">
        <v>1654</v>
      </c>
      <c r="BP90" s="44">
        <v>484</v>
      </c>
      <c r="BQ90" s="62">
        <f t="shared" si="39"/>
        <v>0.29262394195888752</v>
      </c>
      <c r="BR90" s="44">
        <v>659</v>
      </c>
      <c r="BS90" s="44">
        <v>193</v>
      </c>
      <c r="BT90" s="62">
        <f t="shared" si="40"/>
        <v>0.29286798179059181</v>
      </c>
      <c r="BU90" s="44">
        <v>1027</v>
      </c>
      <c r="BV90" s="44">
        <v>371</v>
      </c>
      <c r="BW90" s="62">
        <f t="shared" si="41"/>
        <v>0.36124634858812071</v>
      </c>
      <c r="BX90" s="44" t="s">
        <v>38</v>
      </c>
      <c r="BY90" s="44">
        <v>1275</v>
      </c>
      <c r="BZ90" s="44">
        <v>267</v>
      </c>
      <c r="CA90" s="62">
        <f t="shared" si="42"/>
        <v>0.20941176470588235</v>
      </c>
      <c r="CB90" s="44">
        <v>1239.75</v>
      </c>
      <c r="CC90" s="44">
        <v>354</v>
      </c>
      <c r="CD90" s="62">
        <f t="shared" si="43"/>
        <v>0.28554143980641256</v>
      </c>
    </row>
    <row r="91" spans="1:82" x14ac:dyDescent="0.3">
      <c r="A91" s="53" t="s">
        <v>135</v>
      </c>
      <c r="B91" s="49" t="s">
        <v>104</v>
      </c>
      <c r="C91" s="44" t="s">
        <v>38</v>
      </c>
      <c r="F91" s="62" t="str">
        <f t="shared" si="22"/>
        <v/>
      </c>
      <c r="J91" s="62" t="str">
        <f t="shared" si="23"/>
        <v/>
      </c>
      <c r="N91" s="62" t="str">
        <f t="shared" si="24"/>
        <v/>
      </c>
      <c r="R91" s="62" t="str">
        <f t="shared" si="25"/>
        <v/>
      </c>
      <c r="V91" s="62" t="str">
        <f t="shared" si="26"/>
        <v/>
      </c>
      <c r="Y91" s="62" t="str">
        <f t="shared" si="27"/>
        <v/>
      </c>
      <c r="AB91" s="62" t="str">
        <f t="shared" si="28"/>
        <v/>
      </c>
      <c r="AF91" s="62" t="str">
        <f t="shared" si="29"/>
        <v/>
      </c>
      <c r="AI91" s="62" t="str">
        <f t="shared" si="30"/>
        <v/>
      </c>
      <c r="AJ91" s="44" t="s">
        <v>38</v>
      </c>
      <c r="AK91" s="44">
        <v>500</v>
      </c>
      <c r="AL91" s="44">
        <v>294</v>
      </c>
      <c r="AM91" s="62">
        <f t="shared" si="31"/>
        <v>0.58799999999999997</v>
      </c>
      <c r="AN91" s="44" t="s">
        <v>38</v>
      </c>
      <c r="AO91" s="44">
        <v>900</v>
      </c>
      <c r="AP91" s="44">
        <v>562</v>
      </c>
      <c r="AQ91" s="62">
        <f t="shared" si="32"/>
        <v>0.62444444444444447</v>
      </c>
      <c r="AR91" s="44" t="s">
        <v>38</v>
      </c>
      <c r="AS91" s="44">
        <v>40000</v>
      </c>
      <c r="AT91" s="44">
        <v>12500</v>
      </c>
      <c r="AU91" s="62">
        <f t="shared" si="33"/>
        <v>0.3125</v>
      </c>
      <c r="AV91" s="44" t="s">
        <v>38</v>
      </c>
      <c r="AW91" s="44">
        <v>10000</v>
      </c>
      <c r="AX91" s="44">
        <v>3334</v>
      </c>
      <c r="AY91" s="62">
        <f t="shared" si="34"/>
        <v>0.33339999999999997</v>
      </c>
      <c r="BC91" s="62" t="str">
        <f t="shared" si="35"/>
        <v/>
      </c>
      <c r="BF91" s="62" t="str">
        <f t="shared" si="36"/>
        <v/>
      </c>
      <c r="BG91" s="44" t="s">
        <v>38</v>
      </c>
      <c r="BH91" s="44">
        <v>1845</v>
      </c>
      <c r="BI91" s="44">
        <v>602</v>
      </c>
      <c r="BJ91" s="62">
        <f t="shared" si="37"/>
        <v>0.32628726287262871</v>
      </c>
      <c r="BK91" s="44">
        <v>2626</v>
      </c>
      <c r="BL91" s="44">
        <v>1073</v>
      </c>
      <c r="BM91" s="62">
        <f t="shared" si="38"/>
        <v>0.40860624523990863</v>
      </c>
      <c r="BN91" s="44" t="s">
        <v>38</v>
      </c>
      <c r="BO91" s="44">
        <v>1524</v>
      </c>
      <c r="BP91" s="44">
        <v>735</v>
      </c>
      <c r="BQ91" s="62">
        <f t="shared" si="39"/>
        <v>0.48228346456692911</v>
      </c>
      <c r="BR91" s="44">
        <v>2586.5</v>
      </c>
      <c r="BS91" s="44">
        <v>1249</v>
      </c>
      <c r="BT91" s="62">
        <f t="shared" si="40"/>
        <v>0.48289193891358978</v>
      </c>
      <c r="BU91" s="44">
        <v>922</v>
      </c>
      <c r="BV91" s="44">
        <v>455</v>
      </c>
      <c r="BW91" s="62">
        <f t="shared" si="41"/>
        <v>0.49349240780911063</v>
      </c>
      <c r="BX91" s="44" t="s">
        <v>38</v>
      </c>
      <c r="BY91" s="44">
        <v>274</v>
      </c>
      <c r="BZ91" s="44">
        <v>191.5</v>
      </c>
      <c r="CA91" s="62">
        <f t="shared" si="42"/>
        <v>0.69890510948905105</v>
      </c>
      <c r="CB91" s="44">
        <v>768</v>
      </c>
      <c r="CC91" s="44">
        <v>415</v>
      </c>
      <c r="CD91" s="62">
        <f t="shared" si="43"/>
        <v>0.54036458333333337</v>
      </c>
    </row>
    <row r="92" spans="1:82" x14ac:dyDescent="0.3">
      <c r="A92" s="53" t="s">
        <v>121</v>
      </c>
      <c r="B92" s="49" t="s">
        <v>104</v>
      </c>
      <c r="C92" s="44" t="s">
        <v>38</v>
      </c>
      <c r="F92" s="62" t="str">
        <f t="shared" si="22"/>
        <v/>
      </c>
      <c r="J92" s="62" t="str">
        <f t="shared" si="23"/>
        <v/>
      </c>
      <c r="N92" s="62" t="str">
        <f t="shared" si="24"/>
        <v/>
      </c>
      <c r="R92" s="62" t="str">
        <f t="shared" si="25"/>
        <v/>
      </c>
      <c r="V92" s="62" t="str">
        <f t="shared" si="26"/>
        <v/>
      </c>
      <c r="Y92" s="62" t="str">
        <f t="shared" si="27"/>
        <v/>
      </c>
      <c r="AB92" s="62" t="str">
        <f t="shared" si="28"/>
        <v/>
      </c>
      <c r="AF92" s="62" t="str">
        <f t="shared" si="29"/>
        <v/>
      </c>
      <c r="AI92" s="62" t="str">
        <f t="shared" si="30"/>
        <v/>
      </c>
      <c r="AM92" s="62" t="str">
        <f t="shared" si="31"/>
        <v/>
      </c>
      <c r="AQ92" s="62" t="str">
        <f t="shared" si="32"/>
        <v/>
      </c>
      <c r="AU92" s="62" t="str">
        <f t="shared" si="33"/>
        <v/>
      </c>
      <c r="AY92" s="62" t="str">
        <f t="shared" si="34"/>
        <v/>
      </c>
      <c r="BC92" s="62" t="str">
        <f t="shared" si="35"/>
        <v/>
      </c>
      <c r="BF92" s="62" t="str">
        <f t="shared" si="36"/>
        <v/>
      </c>
      <c r="BJ92" s="62" t="str">
        <f t="shared" si="37"/>
        <v/>
      </c>
      <c r="BM92" s="62" t="str">
        <f t="shared" si="38"/>
        <v/>
      </c>
      <c r="BN92" s="44" t="s">
        <v>38</v>
      </c>
      <c r="BQ92" s="62" t="str">
        <f t="shared" si="39"/>
        <v/>
      </c>
      <c r="BT92" s="62" t="str">
        <f t="shared" si="40"/>
        <v/>
      </c>
      <c r="BU92" s="44">
        <v>2.75</v>
      </c>
      <c r="BV92" s="44">
        <v>3.25</v>
      </c>
      <c r="BW92" s="62">
        <f t="shared" si="41"/>
        <v>1.1818181818181819</v>
      </c>
      <c r="BX92" s="44" t="s">
        <v>38</v>
      </c>
      <c r="CA92" s="62" t="str">
        <f t="shared" si="42"/>
        <v/>
      </c>
      <c r="CB92" s="44">
        <v>2.5</v>
      </c>
      <c r="CC92" s="44">
        <v>4</v>
      </c>
      <c r="CD92" s="62">
        <f t="shared" si="43"/>
        <v>1.6</v>
      </c>
    </row>
    <row r="93" spans="1:82" x14ac:dyDescent="0.3">
      <c r="A93" s="53" t="s">
        <v>137</v>
      </c>
      <c r="B93" s="49" t="s">
        <v>104</v>
      </c>
      <c r="C93" s="44" t="s">
        <v>38</v>
      </c>
      <c r="F93" s="62" t="str">
        <f t="shared" si="22"/>
        <v/>
      </c>
      <c r="J93" s="62" t="str">
        <f t="shared" si="23"/>
        <v/>
      </c>
      <c r="N93" s="62" t="str">
        <f t="shared" si="24"/>
        <v/>
      </c>
      <c r="R93" s="62" t="str">
        <f t="shared" si="25"/>
        <v/>
      </c>
      <c r="V93" s="62" t="str">
        <f t="shared" si="26"/>
        <v/>
      </c>
      <c r="Y93" s="62" t="str">
        <f t="shared" si="27"/>
        <v/>
      </c>
      <c r="AB93" s="62" t="str">
        <f t="shared" si="28"/>
        <v/>
      </c>
      <c r="AF93" s="62" t="str">
        <f t="shared" si="29"/>
        <v/>
      </c>
      <c r="AI93" s="62" t="str">
        <f t="shared" si="30"/>
        <v/>
      </c>
      <c r="AJ93" s="44" t="s">
        <v>38</v>
      </c>
      <c r="AK93" s="44">
        <v>1826</v>
      </c>
      <c r="AL93" s="44">
        <v>4530</v>
      </c>
      <c r="AM93" s="62">
        <f t="shared" si="31"/>
        <v>2.4808324205914567</v>
      </c>
      <c r="AN93" s="44" t="s">
        <v>38</v>
      </c>
      <c r="AO93" s="44">
        <v>2100</v>
      </c>
      <c r="AP93" s="44">
        <v>5250</v>
      </c>
      <c r="AQ93" s="62">
        <f t="shared" si="32"/>
        <v>2.5</v>
      </c>
      <c r="AR93" s="44" t="s">
        <v>38</v>
      </c>
      <c r="AS93" s="44">
        <v>1700</v>
      </c>
      <c r="AT93" s="44">
        <v>5312</v>
      </c>
      <c r="AU93" s="62">
        <f t="shared" si="33"/>
        <v>3.124705882352941</v>
      </c>
      <c r="AV93" s="44" t="s">
        <v>38</v>
      </c>
      <c r="AW93" s="44">
        <v>1530</v>
      </c>
      <c r="AX93" s="44">
        <v>5098</v>
      </c>
      <c r="AY93" s="62">
        <f t="shared" si="34"/>
        <v>3.3320261437908498</v>
      </c>
      <c r="AZ93" s="44" t="s">
        <v>38</v>
      </c>
      <c r="BA93" s="44">
        <v>3650</v>
      </c>
      <c r="BB93" s="44">
        <v>9123</v>
      </c>
      <c r="BC93" s="62">
        <f t="shared" si="35"/>
        <v>2.4994520547945207</v>
      </c>
      <c r="BD93" s="44">
        <v>2450</v>
      </c>
      <c r="BE93" s="44">
        <v>7267</v>
      </c>
      <c r="BF93" s="62">
        <f t="shared" si="36"/>
        <v>2.9661224489795917</v>
      </c>
      <c r="BG93" s="44" t="s">
        <v>38</v>
      </c>
      <c r="BH93" s="44">
        <v>229</v>
      </c>
      <c r="BI93" s="44">
        <v>587</v>
      </c>
      <c r="BJ93" s="62">
        <f t="shared" si="37"/>
        <v>2.5633187772925763</v>
      </c>
      <c r="BK93" s="44">
        <v>544</v>
      </c>
      <c r="BL93" s="44">
        <v>1883</v>
      </c>
      <c r="BM93" s="62">
        <f t="shared" si="38"/>
        <v>3.4613970588235294</v>
      </c>
      <c r="BN93" s="44" t="s">
        <v>38</v>
      </c>
      <c r="BO93" s="44">
        <v>999</v>
      </c>
      <c r="BP93" s="44">
        <v>3110</v>
      </c>
      <c r="BQ93" s="62">
        <f t="shared" si="39"/>
        <v>3.1131131131131129</v>
      </c>
      <c r="BR93" s="44">
        <v>488.5</v>
      </c>
      <c r="BS93" s="44">
        <v>2537</v>
      </c>
      <c r="BT93" s="62">
        <f t="shared" si="40"/>
        <v>5.1934493346980553</v>
      </c>
      <c r="BU93" s="44">
        <v>267.75</v>
      </c>
      <c r="BV93" s="44">
        <v>812.5</v>
      </c>
      <c r="BW93" s="62">
        <f t="shared" si="41"/>
        <v>3.0345471521942109</v>
      </c>
      <c r="BX93" s="44" t="s">
        <v>38</v>
      </c>
      <c r="BY93" s="44">
        <v>71.25</v>
      </c>
      <c r="BZ93" s="44">
        <v>225</v>
      </c>
      <c r="CA93" s="62">
        <f t="shared" si="42"/>
        <v>3.1578947368421053</v>
      </c>
      <c r="CB93" s="44">
        <v>441.5</v>
      </c>
      <c r="CC93" s="44">
        <v>1737.5</v>
      </c>
      <c r="CD93" s="62">
        <f t="shared" si="43"/>
        <v>3.9354473386183466</v>
      </c>
    </row>
    <row r="94" spans="1:82" x14ac:dyDescent="0.3">
      <c r="A94" s="53" t="s">
        <v>257</v>
      </c>
      <c r="B94" s="49" t="s">
        <v>104</v>
      </c>
      <c r="C94" s="44" t="s">
        <v>38</v>
      </c>
      <c r="F94" s="62" t="str">
        <f t="shared" si="22"/>
        <v/>
      </c>
      <c r="J94" s="62" t="str">
        <f t="shared" si="23"/>
        <v/>
      </c>
      <c r="N94" s="62" t="str">
        <f t="shared" si="24"/>
        <v/>
      </c>
      <c r="R94" s="62" t="str">
        <f t="shared" si="25"/>
        <v/>
      </c>
      <c r="V94" s="62" t="str">
        <f t="shared" si="26"/>
        <v/>
      </c>
      <c r="Y94" s="62" t="str">
        <f t="shared" si="27"/>
        <v/>
      </c>
      <c r="AB94" s="62" t="str">
        <f t="shared" si="28"/>
        <v/>
      </c>
      <c r="AF94" s="62" t="str">
        <f t="shared" si="29"/>
        <v/>
      </c>
      <c r="AI94" s="62" t="str">
        <f t="shared" si="30"/>
        <v/>
      </c>
      <c r="AM94" s="62" t="str">
        <f t="shared" si="31"/>
        <v/>
      </c>
      <c r="AQ94" s="62" t="str">
        <f t="shared" si="32"/>
        <v/>
      </c>
      <c r="AU94" s="62" t="str">
        <f t="shared" si="33"/>
        <v/>
      </c>
      <c r="AY94" s="62" t="str">
        <f t="shared" si="34"/>
        <v/>
      </c>
      <c r="BC94" s="62" t="str">
        <f t="shared" si="35"/>
        <v/>
      </c>
      <c r="BF94" s="62" t="str">
        <f t="shared" si="36"/>
        <v/>
      </c>
      <c r="BJ94" s="62" t="str">
        <f t="shared" si="37"/>
        <v/>
      </c>
      <c r="BM94" s="62" t="str">
        <f t="shared" si="38"/>
        <v/>
      </c>
      <c r="BN94" s="44" t="s">
        <v>38</v>
      </c>
      <c r="BQ94" s="62" t="str">
        <f t="shared" si="39"/>
        <v/>
      </c>
      <c r="BR94" s="44">
        <v>4.75</v>
      </c>
      <c r="BS94" s="44">
        <v>15</v>
      </c>
      <c r="BT94" s="62">
        <f t="shared" si="40"/>
        <v>3.1578947368421053</v>
      </c>
      <c r="BU94" s="44">
        <v>1.5</v>
      </c>
      <c r="BV94" s="44">
        <v>6</v>
      </c>
      <c r="BW94" s="62">
        <f t="shared" si="41"/>
        <v>4</v>
      </c>
      <c r="BX94" s="44" t="s">
        <v>38</v>
      </c>
      <c r="BY94" s="44">
        <v>0.25</v>
      </c>
      <c r="BZ94" s="44">
        <v>2</v>
      </c>
      <c r="CA94" s="62">
        <f t="shared" si="42"/>
        <v>8</v>
      </c>
      <c r="CB94" s="44">
        <v>0.75</v>
      </c>
      <c r="CC94" s="44">
        <v>7</v>
      </c>
      <c r="CD94" s="62">
        <f t="shared" si="43"/>
        <v>9.3333333333333339</v>
      </c>
    </row>
    <row r="95" spans="1:82" x14ac:dyDescent="0.3">
      <c r="A95" s="53" t="s">
        <v>258</v>
      </c>
      <c r="B95" s="49" t="s">
        <v>104</v>
      </c>
      <c r="C95" s="44" t="s">
        <v>38</v>
      </c>
      <c r="F95" s="62" t="str">
        <f t="shared" si="22"/>
        <v/>
      </c>
      <c r="J95" s="62" t="str">
        <f t="shared" si="23"/>
        <v/>
      </c>
      <c r="N95" s="62" t="str">
        <f t="shared" si="24"/>
        <v/>
      </c>
      <c r="R95" s="62" t="str">
        <f t="shared" si="25"/>
        <v/>
      </c>
      <c r="V95" s="62" t="str">
        <f t="shared" si="26"/>
        <v/>
      </c>
      <c r="Y95" s="62" t="str">
        <f t="shared" si="27"/>
        <v/>
      </c>
      <c r="AB95" s="62" t="str">
        <f t="shared" si="28"/>
        <v/>
      </c>
      <c r="AF95" s="62" t="str">
        <f t="shared" si="29"/>
        <v/>
      </c>
      <c r="AI95" s="62" t="str">
        <f t="shared" si="30"/>
        <v/>
      </c>
      <c r="AM95" s="62" t="str">
        <f t="shared" si="31"/>
        <v/>
      </c>
      <c r="AQ95" s="62" t="str">
        <f t="shared" si="32"/>
        <v/>
      </c>
      <c r="AU95" s="62" t="str">
        <f t="shared" si="33"/>
        <v/>
      </c>
      <c r="AY95" s="62" t="str">
        <f t="shared" si="34"/>
        <v/>
      </c>
      <c r="BC95" s="62" t="str">
        <f t="shared" si="35"/>
        <v/>
      </c>
      <c r="BF95" s="62" t="str">
        <f t="shared" si="36"/>
        <v/>
      </c>
      <c r="BG95" s="44" t="s">
        <v>38</v>
      </c>
      <c r="BH95" s="44">
        <v>641</v>
      </c>
      <c r="BI95" s="44">
        <v>243</v>
      </c>
      <c r="BJ95" s="62">
        <f t="shared" si="37"/>
        <v>0.37909516380655228</v>
      </c>
      <c r="BK95" s="44">
        <v>46</v>
      </c>
      <c r="BL95" s="44">
        <v>56</v>
      </c>
      <c r="BM95" s="62">
        <f t="shared" si="38"/>
        <v>1.2173913043478262</v>
      </c>
      <c r="BN95" s="44" t="s">
        <v>38</v>
      </c>
      <c r="BO95" s="44">
        <v>136</v>
      </c>
      <c r="BP95" s="44">
        <v>209</v>
      </c>
      <c r="BQ95" s="62">
        <f t="shared" si="39"/>
        <v>1.536764705882353</v>
      </c>
      <c r="BT95" s="62" t="str">
        <f t="shared" si="40"/>
        <v/>
      </c>
      <c r="BU95" s="44">
        <v>94</v>
      </c>
      <c r="BV95" s="44">
        <v>167</v>
      </c>
      <c r="BW95" s="62">
        <f t="shared" si="41"/>
        <v>1.7765957446808511</v>
      </c>
      <c r="BX95" s="44" t="s">
        <v>38</v>
      </c>
      <c r="BY95" s="44">
        <v>75</v>
      </c>
      <c r="BZ95" s="44">
        <v>141.25</v>
      </c>
      <c r="CA95" s="62">
        <f t="shared" si="42"/>
        <v>1.8833333333333333</v>
      </c>
      <c r="CB95" s="44">
        <v>262.5</v>
      </c>
      <c r="CC95" s="44">
        <v>479</v>
      </c>
      <c r="CD95" s="62">
        <f t="shared" si="43"/>
        <v>1.8247619047619048</v>
      </c>
    </row>
    <row r="96" spans="1:82" x14ac:dyDescent="0.3">
      <c r="A96" s="53" t="s">
        <v>62</v>
      </c>
      <c r="B96" s="49" t="s">
        <v>104</v>
      </c>
      <c r="C96" s="44" t="s">
        <v>38</v>
      </c>
      <c r="F96" s="62" t="str">
        <f t="shared" si="22"/>
        <v/>
      </c>
      <c r="J96" s="62" t="str">
        <f t="shared" si="23"/>
        <v/>
      </c>
      <c r="N96" s="62" t="str">
        <f t="shared" si="24"/>
        <v/>
      </c>
      <c r="R96" s="62" t="str">
        <f t="shared" si="25"/>
        <v/>
      </c>
      <c r="V96" s="62" t="str">
        <f t="shared" si="26"/>
        <v/>
      </c>
      <c r="Y96" s="62" t="str">
        <f t="shared" si="27"/>
        <v/>
      </c>
      <c r="AB96" s="62" t="str">
        <f t="shared" si="28"/>
        <v/>
      </c>
      <c r="AF96" s="62" t="str">
        <f t="shared" si="29"/>
        <v/>
      </c>
      <c r="AI96" s="62" t="str">
        <f t="shared" si="30"/>
        <v/>
      </c>
      <c r="AM96" s="62" t="str">
        <f t="shared" si="31"/>
        <v/>
      </c>
      <c r="AQ96" s="62" t="str">
        <f t="shared" si="32"/>
        <v/>
      </c>
      <c r="AU96" s="62" t="str">
        <f t="shared" si="33"/>
        <v/>
      </c>
      <c r="AY96" s="62" t="str">
        <f t="shared" si="34"/>
        <v/>
      </c>
      <c r="BC96" s="62" t="str">
        <f t="shared" si="35"/>
        <v/>
      </c>
      <c r="BF96" s="62" t="str">
        <f t="shared" si="36"/>
        <v/>
      </c>
      <c r="BJ96" s="62" t="str">
        <f t="shared" si="37"/>
        <v/>
      </c>
      <c r="BM96" s="62" t="str">
        <f t="shared" si="38"/>
        <v/>
      </c>
      <c r="BN96" s="44" t="s">
        <v>38</v>
      </c>
      <c r="BQ96" s="62" t="str">
        <f t="shared" si="39"/>
        <v/>
      </c>
      <c r="BR96" s="44">
        <v>45.75</v>
      </c>
      <c r="BS96" s="44">
        <v>31</v>
      </c>
      <c r="BT96" s="62">
        <f t="shared" si="40"/>
        <v>0.67759562841530052</v>
      </c>
      <c r="BU96" s="44">
        <v>70</v>
      </c>
      <c r="BV96" s="44">
        <v>34</v>
      </c>
      <c r="BW96" s="62">
        <f t="shared" si="41"/>
        <v>0.48571428571428571</v>
      </c>
      <c r="BX96" s="44" t="s">
        <v>38</v>
      </c>
      <c r="BY96" s="44">
        <v>25.75</v>
      </c>
      <c r="BZ96" s="44">
        <v>10</v>
      </c>
      <c r="CA96" s="62">
        <f t="shared" si="42"/>
        <v>0.38834951456310679</v>
      </c>
      <c r="CB96" s="44">
        <v>54</v>
      </c>
      <c r="CC96" s="44">
        <v>29</v>
      </c>
      <c r="CD96" s="62">
        <f t="shared" si="43"/>
        <v>0.53703703703703709</v>
      </c>
    </row>
    <row r="97" spans="1:82" x14ac:dyDescent="0.3">
      <c r="A97" s="53" t="s">
        <v>49</v>
      </c>
      <c r="B97" s="49" t="s">
        <v>104</v>
      </c>
      <c r="C97" s="44" t="s">
        <v>38</v>
      </c>
      <c r="F97" s="62" t="str">
        <f t="shared" si="22"/>
        <v/>
      </c>
      <c r="J97" s="62" t="str">
        <f t="shared" si="23"/>
        <v/>
      </c>
      <c r="N97" s="62" t="str">
        <f t="shared" si="24"/>
        <v/>
      </c>
      <c r="R97" s="62" t="str">
        <f t="shared" si="25"/>
        <v/>
      </c>
      <c r="V97" s="62" t="str">
        <f t="shared" si="26"/>
        <v/>
      </c>
      <c r="Y97" s="62" t="str">
        <f t="shared" si="27"/>
        <v/>
      </c>
      <c r="AB97" s="62" t="str">
        <f t="shared" si="28"/>
        <v/>
      </c>
      <c r="AF97" s="62" t="str">
        <f t="shared" si="29"/>
        <v/>
      </c>
      <c r="AI97" s="62" t="str">
        <f t="shared" si="30"/>
        <v/>
      </c>
      <c r="AM97" s="62" t="str">
        <f t="shared" si="31"/>
        <v/>
      </c>
      <c r="AQ97" s="62" t="str">
        <f t="shared" si="32"/>
        <v/>
      </c>
      <c r="AU97" s="62" t="str">
        <f t="shared" si="33"/>
        <v/>
      </c>
      <c r="AY97" s="62" t="str">
        <f t="shared" si="34"/>
        <v/>
      </c>
      <c r="BC97" s="62" t="str">
        <f t="shared" si="35"/>
        <v/>
      </c>
      <c r="BF97" s="62" t="str">
        <f t="shared" si="36"/>
        <v/>
      </c>
      <c r="BG97" s="44" t="s">
        <v>38</v>
      </c>
      <c r="BJ97" s="62" t="str">
        <f t="shared" si="37"/>
        <v/>
      </c>
      <c r="BK97" s="44">
        <v>166</v>
      </c>
      <c r="BL97" s="44">
        <v>146</v>
      </c>
      <c r="BM97" s="62">
        <f t="shared" si="38"/>
        <v>0.87951807228915657</v>
      </c>
      <c r="BN97" s="44" t="s">
        <v>38</v>
      </c>
      <c r="BO97" s="44">
        <v>7</v>
      </c>
      <c r="BP97" s="44">
        <v>13</v>
      </c>
      <c r="BQ97" s="62">
        <f t="shared" si="39"/>
        <v>1.8571428571428572</v>
      </c>
      <c r="BR97" s="44">
        <v>4.75</v>
      </c>
      <c r="BS97" s="44">
        <v>22</v>
      </c>
      <c r="BT97" s="62">
        <f t="shared" si="40"/>
        <v>4.6315789473684212</v>
      </c>
      <c r="BU97" s="44">
        <v>60</v>
      </c>
      <c r="BV97" s="44">
        <v>72</v>
      </c>
      <c r="BW97" s="62">
        <f t="shared" si="41"/>
        <v>1.2</v>
      </c>
      <c r="BX97" s="44" t="s">
        <v>38</v>
      </c>
      <c r="BY97" s="44">
        <v>49</v>
      </c>
      <c r="BZ97" s="44">
        <v>121</v>
      </c>
      <c r="CA97" s="62">
        <f t="shared" si="42"/>
        <v>2.4693877551020407</v>
      </c>
      <c r="CB97" s="44">
        <v>36</v>
      </c>
      <c r="CC97" s="44">
        <v>72</v>
      </c>
      <c r="CD97" s="62">
        <f t="shared" si="43"/>
        <v>2</v>
      </c>
    </row>
    <row r="98" spans="1:82" x14ac:dyDescent="0.3">
      <c r="A98" s="49" t="s">
        <v>26</v>
      </c>
      <c r="B98" s="49" t="s">
        <v>134</v>
      </c>
      <c r="C98" s="44" t="s">
        <v>36</v>
      </c>
      <c r="D98" s="44">
        <v>6428</v>
      </c>
      <c r="E98" s="44">
        <v>2143</v>
      </c>
      <c r="F98" s="62">
        <f t="shared" si="22"/>
        <v>0.33338518979464843</v>
      </c>
      <c r="G98" s="44" t="s">
        <v>36</v>
      </c>
      <c r="H98" s="44">
        <v>10200</v>
      </c>
      <c r="I98" s="44">
        <v>1728</v>
      </c>
      <c r="J98" s="62">
        <f t="shared" si="23"/>
        <v>0.16941176470588235</v>
      </c>
      <c r="K98" s="44" t="s">
        <v>36</v>
      </c>
      <c r="L98" s="44">
        <v>2350</v>
      </c>
      <c r="M98" s="44">
        <v>803</v>
      </c>
      <c r="N98" s="62">
        <f t="shared" si="24"/>
        <v>0.34170212765957447</v>
      </c>
      <c r="O98" s="44" t="s">
        <v>36</v>
      </c>
      <c r="P98" s="44">
        <v>3600</v>
      </c>
      <c r="Q98" s="44">
        <v>1385</v>
      </c>
      <c r="R98" s="62">
        <f t="shared" si="25"/>
        <v>0.38472222222222224</v>
      </c>
      <c r="S98" s="44" t="s">
        <v>36</v>
      </c>
      <c r="T98" s="44">
        <v>2850</v>
      </c>
      <c r="U98" s="44">
        <v>1214</v>
      </c>
      <c r="V98" s="62">
        <f t="shared" si="26"/>
        <v>0.42596491228070177</v>
      </c>
      <c r="W98" s="44">
        <v>3900</v>
      </c>
      <c r="X98" s="44">
        <v>1218</v>
      </c>
      <c r="Y98" s="62">
        <f t="shared" si="27"/>
        <v>0.31230769230769229</v>
      </c>
      <c r="Z98" s="44">
        <v>4500</v>
      </c>
      <c r="AA98" s="44">
        <v>1385</v>
      </c>
      <c r="AB98" s="62">
        <f t="shared" si="28"/>
        <v>0.30777777777777776</v>
      </c>
      <c r="AC98" s="44" t="s">
        <v>36</v>
      </c>
      <c r="AD98" s="44">
        <v>6000</v>
      </c>
      <c r="AE98" s="44">
        <v>1666</v>
      </c>
      <c r="AF98" s="62">
        <f t="shared" si="29"/>
        <v>0.27766666666666667</v>
      </c>
      <c r="AG98" s="44">
        <v>6200</v>
      </c>
      <c r="AH98" s="44">
        <v>1722</v>
      </c>
      <c r="AI98" s="62">
        <f t="shared" si="30"/>
        <v>0.27774193548387099</v>
      </c>
      <c r="AJ98" s="44" t="s">
        <v>36</v>
      </c>
      <c r="AK98" s="44">
        <v>6000</v>
      </c>
      <c r="AL98" s="44">
        <v>1765</v>
      </c>
      <c r="AM98" s="62">
        <f t="shared" si="31"/>
        <v>0.29416666666666669</v>
      </c>
      <c r="AN98" s="44" t="s">
        <v>36</v>
      </c>
      <c r="AO98" s="44">
        <v>5500</v>
      </c>
      <c r="AP98" s="44">
        <v>1719</v>
      </c>
      <c r="AQ98" s="62">
        <f t="shared" si="32"/>
        <v>0.31254545454545457</v>
      </c>
      <c r="AR98" s="44" t="s">
        <v>36</v>
      </c>
      <c r="AS98" s="44">
        <v>4000</v>
      </c>
      <c r="AT98" s="44">
        <v>1250</v>
      </c>
      <c r="AU98" s="62">
        <f t="shared" si="33"/>
        <v>0.3125</v>
      </c>
      <c r="AV98" s="44" t="s">
        <v>36</v>
      </c>
      <c r="AW98" s="44">
        <v>5001</v>
      </c>
      <c r="AX98" s="44">
        <v>1667</v>
      </c>
      <c r="AY98" s="62">
        <f t="shared" si="34"/>
        <v>0.33333333333333331</v>
      </c>
      <c r="AZ98" s="44" t="s">
        <v>36</v>
      </c>
      <c r="BA98" s="44">
        <v>3000</v>
      </c>
      <c r="BB98" s="44">
        <v>1200</v>
      </c>
      <c r="BC98" s="62">
        <f t="shared" si="35"/>
        <v>0.4</v>
      </c>
      <c r="BD98" s="44">
        <v>2800</v>
      </c>
      <c r="BE98" s="44">
        <v>1260</v>
      </c>
      <c r="BF98" s="62">
        <f t="shared" si="36"/>
        <v>0.45</v>
      </c>
      <c r="BG98" s="44" t="s">
        <v>38</v>
      </c>
      <c r="BJ98" s="62" t="str">
        <f t="shared" si="37"/>
        <v/>
      </c>
      <c r="BK98" s="44">
        <v>44</v>
      </c>
      <c r="BL98" s="44">
        <v>1</v>
      </c>
      <c r="BM98" s="62">
        <f t="shared" si="38"/>
        <v>2.2727272727272728E-2</v>
      </c>
      <c r="BN98" s="44" t="s">
        <v>38</v>
      </c>
      <c r="BO98" s="44">
        <v>32</v>
      </c>
      <c r="BP98" s="44">
        <v>5</v>
      </c>
      <c r="BQ98" s="62">
        <f t="shared" si="39"/>
        <v>0.15625</v>
      </c>
      <c r="BT98" s="62" t="str">
        <f t="shared" si="40"/>
        <v/>
      </c>
      <c r="BU98" s="44">
        <v>11</v>
      </c>
      <c r="BV98" s="44">
        <v>1</v>
      </c>
      <c r="BW98" s="62">
        <f t="shared" si="41"/>
        <v>9.0909090909090912E-2</v>
      </c>
      <c r="CA98" s="62" t="str">
        <f t="shared" si="42"/>
        <v/>
      </c>
      <c r="CD98" s="62" t="str">
        <f t="shared" si="43"/>
        <v/>
      </c>
    </row>
    <row r="99" spans="1:82" x14ac:dyDescent="0.3">
      <c r="A99" s="49" t="s">
        <v>27</v>
      </c>
      <c r="B99" s="49" t="s">
        <v>104</v>
      </c>
      <c r="C99" s="44" t="s">
        <v>38</v>
      </c>
      <c r="D99" s="44">
        <v>2314</v>
      </c>
      <c r="E99" s="44">
        <v>1543</v>
      </c>
      <c r="F99" s="62">
        <f t="shared" si="22"/>
        <v>0.66681071737251507</v>
      </c>
      <c r="G99" s="44" t="s">
        <v>38</v>
      </c>
      <c r="H99" s="44">
        <v>1567</v>
      </c>
      <c r="I99" s="44">
        <v>1242</v>
      </c>
      <c r="J99" s="62">
        <f t="shared" si="23"/>
        <v>0.79259731971920866</v>
      </c>
      <c r="K99" s="44" t="s">
        <v>38</v>
      </c>
      <c r="L99" s="44">
        <v>1000</v>
      </c>
      <c r="M99" s="44">
        <v>1162</v>
      </c>
      <c r="N99" s="62">
        <f t="shared" si="24"/>
        <v>1.1619999999999999</v>
      </c>
      <c r="O99" s="44" t="s">
        <v>38</v>
      </c>
      <c r="P99" s="44">
        <v>1276</v>
      </c>
      <c r="Q99" s="44">
        <v>1677</v>
      </c>
      <c r="R99" s="62">
        <f t="shared" si="25"/>
        <v>1.3142633228840126</v>
      </c>
      <c r="S99" s="44" t="s">
        <v>38</v>
      </c>
      <c r="T99" s="44">
        <v>1155</v>
      </c>
      <c r="U99" s="44">
        <v>1486</v>
      </c>
      <c r="V99" s="62">
        <f t="shared" si="26"/>
        <v>1.2865800865800865</v>
      </c>
      <c r="W99" s="44">
        <v>800</v>
      </c>
      <c r="X99" s="44">
        <v>912</v>
      </c>
      <c r="Y99" s="62">
        <f t="shared" si="27"/>
        <v>1.1399999999999999</v>
      </c>
      <c r="Z99" s="44">
        <v>850</v>
      </c>
      <c r="AA99" s="44">
        <v>942</v>
      </c>
      <c r="AB99" s="62">
        <f t="shared" si="28"/>
        <v>1.108235294117647</v>
      </c>
      <c r="AC99" s="44" t="s">
        <v>38</v>
      </c>
      <c r="AD99" s="44">
        <v>890</v>
      </c>
      <c r="AE99" s="44">
        <v>890</v>
      </c>
      <c r="AF99" s="62">
        <f t="shared" si="29"/>
        <v>1</v>
      </c>
      <c r="AG99" s="44">
        <v>900</v>
      </c>
      <c r="AH99" s="44">
        <v>900</v>
      </c>
      <c r="AI99" s="62">
        <f t="shared" si="30"/>
        <v>1</v>
      </c>
      <c r="AM99" s="62" t="str">
        <f t="shared" si="31"/>
        <v/>
      </c>
      <c r="AQ99" s="62" t="str">
        <f t="shared" si="32"/>
        <v/>
      </c>
      <c r="AU99" s="62" t="str">
        <f t="shared" si="33"/>
        <v/>
      </c>
      <c r="AY99" s="62" t="str">
        <f t="shared" si="34"/>
        <v/>
      </c>
      <c r="AZ99" s="44" t="s">
        <v>38</v>
      </c>
      <c r="BA99" s="44">
        <v>4300</v>
      </c>
      <c r="BB99" s="44">
        <v>1747</v>
      </c>
      <c r="BC99" s="62">
        <f t="shared" si="35"/>
        <v>0.40627906976744188</v>
      </c>
      <c r="BD99" s="44">
        <v>670</v>
      </c>
      <c r="BE99" s="44">
        <v>310</v>
      </c>
      <c r="BF99" s="62">
        <f t="shared" si="36"/>
        <v>0.46268656716417911</v>
      </c>
      <c r="BJ99" s="62" t="str">
        <f t="shared" si="37"/>
        <v/>
      </c>
      <c r="BM99" s="62" t="str">
        <f t="shared" si="38"/>
        <v/>
      </c>
      <c r="BQ99" s="62" t="str">
        <f t="shared" si="39"/>
        <v/>
      </c>
      <c r="BT99" s="62" t="str">
        <f t="shared" si="40"/>
        <v/>
      </c>
      <c r="BW99" s="62" t="str">
        <f t="shared" si="41"/>
        <v/>
      </c>
      <c r="CA99" s="62" t="str">
        <f t="shared" si="42"/>
        <v/>
      </c>
      <c r="CD99" s="62" t="str">
        <f t="shared" si="43"/>
        <v/>
      </c>
    </row>
    <row r="100" spans="1:82" x14ac:dyDescent="0.3">
      <c r="A100" s="49" t="s">
        <v>260</v>
      </c>
      <c r="B100" s="49" t="s">
        <v>104</v>
      </c>
      <c r="C100" s="44" t="s">
        <v>38</v>
      </c>
      <c r="F100" s="62" t="str">
        <f t="shared" si="22"/>
        <v/>
      </c>
      <c r="J100" s="62" t="str">
        <f t="shared" si="23"/>
        <v/>
      </c>
      <c r="N100" s="62" t="str">
        <f t="shared" si="24"/>
        <v/>
      </c>
      <c r="R100" s="62" t="str">
        <f t="shared" si="25"/>
        <v/>
      </c>
      <c r="V100" s="62" t="str">
        <f t="shared" si="26"/>
        <v/>
      </c>
      <c r="Y100" s="62" t="str">
        <f t="shared" si="27"/>
        <v/>
      </c>
      <c r="AB100" s="62" t="str">
        <f t="shared" si="28"/>
        <v/>
      </c>
      <c r="AF100" s="62" t="str">
        <f t="shared" si="29"/>
        <v/>
      </c>
      <c r="AI100" s="62" t="str">
        <f t="shared" si="30"/>
        <v/>
      </c>
      <c r="AJ100" s="44" t="s">
        <v>38</v>
      </c>
      <c r="AK100" s="44">
        <v>2500</v>
      </c>
      <c r="AL100" s="44">
        <v>735</v>
      </c>
      <c r="AM100" s="62">
        <f t="shared" si="31"/>
        <v>0.29399999999999998</v>
      </c>
      <c r="AN100" s="44" t="s">
        <v>38</v>
      </c>
      <c r="AO100" s="44">
        <v>3000</v>
      </c>
      <c r="AP100" s="44">
        <v>937</v>
      </c>
      <c r="AQ100" s="62">
        <f t="shared" si="32"/>
        <v>0.31233333333333335</v>
      </c>
      <c r="AU100" s="62" t="str">
        <f t="shared" si="33"/>
        <v/>
      </c>
      <c r="AY100" s="62" t="str">
        <f t="shared" si="34"/>
        <v/>
      </c>
      <c r="BC100" s="62" t="str">
        <f t="shared" si="35"/>
        <v/>
      </c>
      <c r="BF100" s="62" t="str">
        <f t="shared" si="36"/>
        <v/>
      </c>
      <c r="BJ100" s="62" t="str">
        <f t="shared" si="37"/>
        <v/>
      </c>
      <c r="BM100" s="62" t="str">
        <f t="shared" si="38"/>
        <v/>
      </c>
      <c r="BQ100" s="62" t="str">
        <f t="shared" si="39"/>
        <v/>
      </c>
      <c r="BT100" s="62" t="str">
        <f t="shared" si="40"/>
        <v/>
      </c>
      <c r="BW100" s="62" t="str">
        <f t="shared" si="41"/>
        <v/>
      </c>
      <c r="CA100" s="62" t="str">
        <f t="shared" si="42"/>
        <v/>
      </c>
      <c r="CD100" s="62" t="str">
        <f t="shared" si="43"/>
        <v/>
      </c>
    </row>
    <row r="101" spans="1:82" x14ac:dyDescent="0.3">
      <c r="A101" s="49" t="s">
        <v>261</v>
      </c>
      <c r="B101" s="49" t="s">
        <v>104</v>
      </c>
      <c r="C101" s="44" t="s">
        <v>38</v>
      </c>
      <c r="F101" s="62" t="str">
        <f t="shared" si="22"/>
        <v/>
      </c>
      <c r="J101" s="62" t="str">
        <f t="shared" si="23"/>
        <v/>
      </c>
      <c r="N101" s="62" t="str">
        <f t="shared" si="24"/>
        <v/>
      </c>
      <c r="R101" s="62" t="str">
        <f t="shared" si="25"/>
        <v/>
      </c>
      <c r="V101" s="62" t="str">
        <f t="shared" si="26"/>
        <v/>
      </c>
      <c r="Y101" s="62" t="str">
        <f t="shared" si="27"/>
        <v/>
      </c>
      <c r="AB101" s="62" t="str">
        <f t="shared" si="28"/>
        <v/>
      </c>
      <c r="AF101" s="62" t="str">
        <f t="shared" si="29"/>
        <v/>
      </c>
      <c r="AI101" s="62" t="str">
        <f t="shared" si="30"/>
        <v/>
      </c>
      <c r="AJ101" s="44" t="s">
        <v>38</v>
      </c>
      <c r="AK101" s="44">
        <v>450</v>
      </c>
      <c r="AL101" s="44">
        <v>186</v>
      </c>
      <c r="AM101" s="62">
        <f t="shared" si="31"/>
        <v>0.41333333333333333</v>
      </c>
      <c r="AN101" s="44" t="s">
        <v>38</v>
      </c>
      <c r="AO101" s="44">
        <v>400</v>
      </c>
      <c r="AP101" s="44">
        <v>175</v>
      </c>
      <c r="AQ101" s="62">
        <f t="shared" si="32"/>
        <v>0.4375</v>
      </c>
      <c r="AR101" s="44" t="s">
        <v>38</v>
      </c>
      <c r="AS101" s="44">
        <v>250</v>
      </c>
      <c r="AT101" s="44">
        <v>109</v>
      </c>
      <c r="AU101" s="62">
        <f t="shared" si="33"/>
        <v>0.436</v>
      </c>
      <c r="AV101" s="44" t="s">
        <v>38</v>
      </c>
      <c r="AW101" s="44">
        <v>229</v>
      </c>
      <c r="AX101" s="44">
        <v>107</v>
      </c>
      <c r="AY101" s="62">
        <f t="shared" si="34"/>
        <v>0.46724890829694321</v>
      </c>
      <c r="BC101" s="62" t="str">
        <f t="shared" si="35"/>
        <v/>
      </c>
      <c r="BF101" s="62" t="str">
        <f t="shared" si="36"/>
        <v/>
      </c>
      <c r="BJ101" s="62" t="str">
        <f t="shared" si="37"/>
        <v/>
      </c>
      <c r="BM101" s="62" t="str">
        <f t="shared" si="38"/>
        <v/>
      </c>
      <c r="BQ101" s="62" t="str">
        <f t="shared" si="39"/>
        <v/>
      </c>
      <c r="BT101" s="62" t="str">
        <f t="shared" si="40"/>
        <v/>
      </c>
      <c r="BW101" s="62" t="str">
        <f t="shared" si="41"/>
        <v/>
      </c>
      <c r="CA101" s="62" t="str">
        <f t="shared" si="42"/>
        <v/>
      </c>
      <c r="CD101" s="62" t="str">
        <f t="shared" si="43"/>
        <v/>
      </c>
    </row>
    <row r="102" spans="1:82" x14ac:dyDescent="0.3">
      <c r="A102" s="49" t="s">
        <v>262</v>
      </c>
      <c r="B102" s="49" t="s">
        <v>104</v>
      </c>
      <c r="C102" s="44" t="s">
        <v>38</v>
      </c>
      <c r="F102" s="62" t="str">
        <f t="shared" si="22"/>
        <v/>
      </c>
      <c r="J102" s="62" t="str">
        <f t="shared" si="23"/>
        <v/>
      </c>
      <c r="N102" s="62" t="str">
        <f t="shared" si="24"/>
        <v/>
      </c>
      <c r="R102" s="62" t="str">
        <f t="shared" si="25"/>
        <v/>
      </c>
      <c r="V102" s="62" t="str">
        <f t="shared" si="26"/>
        <v/>
      </c>
      <c r="Y102" s="62" t="str">
        <f t="shared" si="27"/>
        <v/>
      </c>
      <c r="AB102" s="62" t="str">
        <f t="shared" si="28"/>
        <v/>
      </c>
      <c r="AF102" s="62" t="str">
        <f t="shared" si="29"/>
        <v/>
      </c>
      <c r="AI102" s="62" t="str">
        <f t="shared" si="30"/>
        <v/>
      </c>
      <c r="AJ102" s="44" t="s">
        <v>38</v>
      </c>
      <c r="AK102" s="44">
        <v>1300</v>
      </c>
      <c r="AL102" s="44">
        <v>1025</v>
      </c>
      <c r="AM102" s="62">
        <f t="shared" si="31"/>
        <v>0.78846153846153844</v>
      </c>
      <c r="AN102" s="44" t="s">
        <v>38</v>
      </c>
      <c r="AO102" s="44">
        <v>350</v>
      </c>
      <c r="AP102" s="44">
        <v>218</v>
      </c>
      <c r="AQ102" s="62">
        <f t="shared" si="32"/>
        <v>0.62285714285714289</v>
      </c>
      <c r="AR102" s="44" t="s">
        <v>38</v>
      </c>
      <c r="AS102" s="44">
        <v>50</v>
      </c>
      <c r="AT102" s="44">
        <v>31</v>
      </c>
      <c r="AU102" s="62">
        <f t="shared" si="33"/>
        <v>0.62</v>
      </c>
      <c r="AV102" s="44" t="s">
        <v>38</v>
      </c>
      <c r="AW102" s="44">
        <v>42</v>
      </c>
      <c r="AX102" s="44">
        <v>14</v>
      </c>
      <c r="AY102" s="62">
        <f t="shared" si="34"/>
        <v>0.33333333333333331</v>
      </c>
      <c r="BC102" s="62" t="str">
        <f t="shared" si="35"/>
        <v/>
      </c>
      <c r="BF102" s="62" t="str">
        <f t="shared" si="36"/>
        <v/>
      </c>
      <c r="BJ102" s="62" t="str">
        <f t="shared" si="37"/>
        <v/>
      </c>
      <c r="BM102" s="62" t="str">
        <f t="shared" si="38"/>
        <v/>
      </c>
      <c r="BQ102" s="62" t="str">
        <f t="shared" si="39"/>
        <v/>
      </c>
      <c r="BT102" s="62" t="str">
        <f t="shared" si="40"/>
        <v/>
      </c>
      <c r="BW102" s="62" t="str">
        <f t="shared" si="41"/>
        <v/>
      </c>
      <c r="CA102" s="62" t="str">
        <f t="shared" si="42"/>
        <v/>
      </c>
      <c r="CD102" s="62" t="str">
        <f t="shared" si="43"/>
        <v/>
      </c>
    </row>
    <row r="103" spans="1:82" x14ac:dyDescent="0.3">
      <c r="A103" s="49" t="s">
        <v>28</v>
      </c>
      <c r="B103" s="49" t="s">
        <v>104</v>
      </c>
      <c r="C103" s="44" t="s">
        <v>38</v>
      </c>
      <c r="D103" s="44">
        <v>8071</v>
      </c>
      <c r="E103" s="44">
        <v>8286</v>
      </c>
      <c r="F103" s="62">
        <f t="shared" si="22"/>
        <v>1.0266385825796061</v>
      </c>
      <c r="G103" s="44" t="s">
        <v>38</v>
      </c>
      <c r="H103" s="44">
        <v>9570</v>
      </c>
      <c r="I103" s="44">
        <v>8648</v>
      </c>
      <c r="J103" s="62">
        <f t="shared" si="23"/>
        <v>0.90365726227795196</v>
      </c>
      <c r="K103" s="44" t="s">
        <v>38</v>
      </c>
      <c r="L103" s="44">
        <v>10782</v>
      </c>
      <c r="M103" s="44">
        <v>12171</v>
      </c>
      <c r="N103" s="62">
        <f t="shared" si="24"/>
        <v>1.1288258208124653</v>
      </c>
      <c r="O103" s="44" t="s">
        <v>38</v>
      </c>
      <c r="P103" s="44">
        <v>6459</v>
      </c>
      <c r="Q103" s="44">
        <v>11923</v>
      </c>
      <c r="R103" s="62">
        <f t="shared" si="25"/>
        <v>1.8459513856634153</v>
      </c>
      <c r="S103" s="44" t="s">
        <v>38</v>
      </c>
      <c r="T103" s="44">
        <v>4400</v>
      </c>
      <c r="U103" s="44">
        <v>7214</v>
      </c>
      <c r="V103" s="62">
        <f t="shared" si="26"/>
        <v>1.6395454545454546</v>
      </c>
      <c r="W103" s="44">
        <v>6600</v>
      </c>
      <c r="X103" s="44">
        <v>8650</v>
      </c>
      <c r="Y103" s="62">
        <f t="shared" si="27"/>
        <v>1.3106060606060606</v>
      </c>
      <c r="Z103" s="44">
        <v>5266.5</v>
      </c>
      <c r="AA103" s="44">
        <v>6892</v>
      </c>
      <c r="AB103" s="62">
        <f t="shared" si="28"/>
        <v>1.3086490078799962</v>
      </c>
      <c r="AC103" s="44" t="s">
        <v>38</v>
      </c>
      <c r="AD103" s="44">
        <v>2450</v>
      </c>
      <c r="AE103" s="44">
        <v>3121</v>
      </c>
      <c r="AF103" s="62">
        <f t="shared" si="29"/>
        <v>1.2738775510204081</v>
      </c>
      <c r="AG103" s="44">
        <v>2300</v>
      </c>
      <c r="AH103" s="44">
        <v>2822</v>
      </c>
      <c r="AI103" s="62">
        <f t="shared" si="30"/>
        <v>1.2269565217391305</v>
      </c>
      <c r="AJ103" s="44" t="s">
        <v>38</v>
      </c>
      <c r="AK103" s="44">
        <v>1750</v>
      </c>
      <c r="AL103" s="44">
        <v>2294</v>
      </c>
      <c r="AM103" s="62">
        <f t="shared" si="31"/>
        <v>1.3108571428571429</v>
      </c>
      <c r="AN103" s="44" t="s">
        <v>38</v>
      </c>
      <c r="AO103" s="44">
        <v>2360</v>
      </c>
      <c r="AP103" s="44">
        <v>2306</v>
      </c>
      <c r="AQ103" s="62">
        <f t="shared" si="32"/>
        <v>0.97711864406779658</v>
      </c>
      <c r="AR103" s="44" t="s">
        <v>38</v>
      </c>
      <c r="AS103" s="44">
        <v>7570</v>
      </c>
      <c r="AT103" s="44">
        <v>3038</v>
      </c>
      <c r="AU103" s="62">
        <f t="shared" si="33"/>
        <v>0.4013210039630119</v>
      </c>
      <c r="AV103" s="44" t="s">
        <v>38</v>
      </c>
      <c r="AW103" s="44">
        <v>5150</v>
      </c>
      <c r="AX103" s="44">
        <v>5400</v>
      </c>
      <c r="AY103" s="62">
        <f t="shared" si="34"/>
        <v>1.0485436893203883</v>
      </c>
      <c r="AZ103" s="44" t="s">
        <v>38</v>
      </c>
      <c r="BA103" s="44">
        <v>3600</v>
      </c>
      <c r="BB103" s="44">
        <v>3766</v>
      </c>
      <c r="BC103" s="62">
        <f t="shared" si="35"/>
        <v>1.0461111111111112</v>
      </c>
      <c r="BD103" s="44">
        <v>6050</v>
      </c>
      <c r="BE103" s="44">
        <v>6133</v>
      </c>
      <c r="BF103" s="62">
        <f t="shared" si="36"/>
        <v>1.0137190082644627</v>
      </c>
      <c r="BJ103" s="62" t="str">
        <f t="shared" si="37"/>
        <v/>
      </c>
      <c r="BM103" s="62" t="str">
        <f t="shared" si="38"/>
        <v/>
      </c>
      <c r="BN103" s="44" t="s">
        <v>38</v>
      </c>
      <c r="BO103" s="44">
        <v>995</v>
      </c>
      <c r="BP103" s="44">
        <v>172</v>
      </c>
      <c r="BQ103" s="62">
        <f t="shared" si="39"/>
        <v>0.17286432160804019</v>
      </c>
      <c r="BR103" s="44">
        <v>5084.75</v>
      </c>
      <c r="BS103" s="44">
        <v>672</v>
      </c>
      <c r="BT103" s="62">
        <f t="shared" si="40"/>
        <v>0.13215988986675845</v>
      </c>
      <c r="BU103" s="44">
        <v>1641</v>
      </c>
      <c r="BV103" s="44">
        <v>321</v>
      </c>
      <c r="BW103" s="62">
        <f t="shared" si="41"/>
        <v>0.19561243144424131</v>
      </c>
      <c r="CA103" s="62" t="str">
        <f t="shared" si="42"/>
        <v/>
      </c>
      <c r="CD103" s="62" t="str">
        <f t="shared" si="43"/>
        <v/>
      </c>
    </row>
    <row r="104" spans="1:82" x14ac:dyDescent="0.3">
      <c r="A104" s="49" t="s">
        <v>29</v>
      </c>
      <c r="B104" s="49" t="s">
        <v>104</v>
      </c>
      <c r="C104" s="44" t="s">
        <v>38</v>
      </c>
      <c r="D104" s="44">
        <v>18</v>
      </c>
      <c r="E104" s="44">
        <v>957</v>
      </c>
      <c r="F104" s="62">
        <f t="shared" si="22"/>
        <v>53.166666666666664</v>
      </c>
      <c r="G104" s="44" t="s">
        <v>40</v>
      </c>
      <c r="H104" s="44">
        <v>15</v>
      </c>
      <c r="I104" s="44">
        <v>672</v>
      </c>
      <c r="J104" s="62">
        <f t="shared" si="23"/>
        <v>44.8</v>
      </c>
      <c r="K104" s="44" t="s">
        <v>42</v>
      </c>
      <c r="L104" s="44">
        <v>1105</v>
      </c>
      <c r="M104" s="44">
        <v>756</v>
      </c>
      <c r="N104" s="62">
        <f t="shared" si="24"/>
        <v>0.68416289592760182</v>
      </c>
      <c r="O104" s="44" t="s">
        <v>42</v>
      </c>
      <c r="P104" s="44">
        <v>1400</v>
      </c>
      <c r="Q104" s="44">
        <v>1077</v>
      </c>
      <c r="R104" s="62">
        <f t="shared" si="25"/>
        <v>0.76928571428571424</v>
      </c>
      <c r="S104" s="44" t="s">
        <v>42</v>
      </c>
      <c r="T104" s="44">
        <v>1700</v>
      </c>
      <c r="U104" s="44">
        <v>1214</v>
      </c>
      <c r="V104" s="62">
        <f t="shared" si="26"/>
        <v>0.71411764705882352</v>
      </c>
      <c r="W104" s="44">
        <v>1500</v>
      </c>
      <c r="X104" s="44">
        <v>937</v>
      </c>
      <c r="Y104" s="62">
        <f t="shared" si="27"/>
        <v>0.6246666666666667</v>
      </c>
      <c r="Z104" s="44">
        <v>1100</v>
      </c>
      <c r="AA104" s="44">
        <v>677</v>
      </c>
      <c r="AB104" s="62">
        <f t="shared" si="28"/>
        <v>0.61545454545454548</v>
      </c>
      <c r="AC104" s="44" t="s">
        <v>42</v>
      </c>
      <c r="AD104" s="44">
        <v>1200</v>
      </c>
      <c r="AE104" s="44">
        <v>666</v>
      </c>
      <c r="AF104" s="62">
        <f t="shared" si="29"/>
        <v>0.55500000000000005</v>
      </c>
      <c r="AG104" s="44">
        <v>1010</v>
      </c>
      <c r="AH104" s="44">
        <v>561</v>
      </c>
      <c r="AI104" s="62">
        <f t="shared" si="30"/>
        <v>0.55544554455445549</v>
      </c>
      <c r="AJ104" s="44" t="s">
        <v>42</v>
      </c>
      <c r="AK104" s="44">
        <v>150</v>
      </c>
      <c r="AL104" s="44">
        <v>88</v>
      </c>
      <c r="AM104" s="62">
        <f t="shared" si="31"/>
        <v>0.58666666666666667</v>
      </c>
      <c r="AN104" s="44" t="s">
        <v>42</v>
      </c>
      <c r="AO104" s="44">
        <v>600</v>
      </c>
      <c r="AP104" s="44">
        <v>374</v>
      </c>
      <c r="AQ104" s="62">
        <f t="shared" si="32"/>
        <v>0.62333333333333329</v>
      </c>
      <c r="AR104" s="44" t="s">
        <v>42</v>
      </c>
      <c r="AS104" s="44">
        <v>450</v>
      </c>
      <c r="AT104" s="44">
        <v>281</v>
      </c>
      <c r="AU104" s="62">
        <f t="shared" si="33"/>
        <v>0.62444444444444447</v>
      </c>
      <c r="AV104" s="44" t="s">
        <v>42</v>
      </c>
      <c r="AW104" s="44">
        <v>579</v>
      </c>
      <c r="AX104" s="44">
        <v>386</v>
      </c>
      <c r="AY104" s="62">
        <f t="shared" si="34"/>
        <v>0.66666666666666663</v>
      </c>
      <c r="AZ104" s="44" t="s">
        <v>42</v>
      </c>
      <c r="BA104" s="44">
        <v>450</v>
      </c>
      <c r="BB104" s="44">
        <v>300</v>
      </c>
      <c r="BC104" s="62">
        <f t="shared" si="35"/>
        <v>0.66666666666666663</v>
      </c>
      <c r="BD104" s="44">
        <v>600</v>
      </c>
      <c r="BE104" s="44">
        <v>400</v>
      </c>
      <c r="BF104" s="62">
        <f t="shared" si="36"/>
        <v>0.66666666666666663</v>
      </c>
      <c r="BJ104" s="62" t="str">
        <f t="shared" si="37"/>
        <v/>
      </c>
      <c r="BM104" s="62" t="str">
        <f t="shared" si="38"/>
        <v/>
      </c>
      <c r="BN104" s="44" t="s">
        <v>38</v>
      </c>
      <c r="BQ104" s="62" t="str">
        <f t="shared" si="39"/>
        <v/>
      </c>
      <c r="BR104" s="44">
        <v>4.75</v>
      </c>
      <c r="BS104" s="44">
        <v>198</v>
      </c>
      <c r="BT104" s="62">
        <f t="shared" si="40"/>
        <v>41.684210526315788</v>
      </c>
      <c r="BU104" s="44">
        <v>7.25</v>
      </c>
      <c r="BV104" s="44">
        <v>492</v>
      </c>
      <c r="BW104" s="62">
        <f t="shared" si="41"/>
        <v>67.862068965517238</v>
      </c>
      <c r="BX104" s="44" t="s">
        <v>38</v>
      </c>
      <c r="BY104" s="44">
        <v>12</v>
      </c>
      <c r="BZ104" s="44">
        <v>411</v>
      </c>
      <c r="CA104" s="62">
        <f t="shared" si="42"/>
        <v>34.25</v>
      </c>
      <c r="CB104" s="44">
        <v>17</v>
      </c>
      <c r="CC104" s="44">
        <v>398</v>
      </c>
      <c r="CD104" s="62">
        <f t="shared" si="43"/>
        <v>23.411764705882351</v>
      </c>
    </row>
    <row r="105" spans="1:82" x14ac:dyDescent="0.3">
      <c r="A105" s="49" t="s">
        <v>184</v>
      </c>
      <c r="B105" s="49" t="s">
        <v>104</v>
      </c>
      <c r="C105" s="44" t="s">
        <v>38</v>
      </c>
      <c r="F105" s="62" t="str">
        <f t="shared" si="22"/>
        <v/>
      </c>
      <c r="J105" s="62" t="str">
        <f t="shared" si="23"/>
        <v/>
      </c>
      <c r="N105" s="62" t="str">
        <f t="shared" si="24"/>
        <v/>
      </c>
      <c r="R105" s="62" t="str">
        <f t="shared" si="25"/>
        <v/>
      </c>
      <c r="V105" s="62" t="str">
        <f t="shared" si="26"/>
        <v/>
      </c>
      <c r="Y105" s="62" t="str">
        <f t="shared" si="27"/>
        <v/>
      </c>
      <c r="AB105" s="62" t="str">
        <f t="shared" si="28"/>
        <v/>
      </c>
      <c r="AF105" s="62" t="str">
        <f t="shared" si="29"/>
        <v/>
      </c>
      <c r="AI105" s="62" t="str">
        <f t="shared" si="30"/>
        <v/>
      </c>
      <c r="AM105" s="62" t="str">
        <f t="shared" si="31"/>
        <v/>
      </c>
      <c r="AQ105" s="62" t="str">
        <f t="shared" si="32"/>
        <v/>
      </c>
      <c r="AU105" s="62" t="str">
        <f t="shared" si="33"/>
        <v/>
      </c>
      <c r="AY105" s="62" t="str">
        <f t="shared" si="34"/>
        <v/>
      </c>
      <c r="BC105" s="62" t="str">
        <f t="shared" si="35"/>
        <v/>
      </c>
      <c r="BF105" s="62" t="str">
        <f t="shared" si="36"/>
        <v/>
      </c>
      <c r="BJ105" s="62" t="str">
        <f t="shared" si="37"/>
        <v/>
      </c>
      <c r="BM105" s="62" t="str">
        <f t="shared" si="38"/>
        <v/>
      </c>
      <c r="BQ105" s="62" t="str">
        <f t="shared" si="39"/>
        <v/>
      </c>
      <c r="BT105" s="62" t="str">
        <f t="shared" si="40"/>
        <v/>
      </c>
      <c r="BW105" s="62" t="str">
        <f t="shared" si="41"/>
        <v/>
      </c>
      <c r="CA105" s="62" t="str">
        <f t="shared" si="42"/>
        <v/>
      </c>
      <c r="CD105" s="62" t="str">
        <f t="shared" si="43"/>
        <v/>
      </c>
    </row>
    <row r="106" spans="1:82" x14ac:dyDescent="0.3">
      <c r="A106" s="49" t="s">
        <v>348</v>
      </c>
      <c r="B106" s="49" t="s">
        <v>292</v>
      </c>
      <c r="C106" s="44" t="s">
        <v>35</v>
      </c>
      <c r="F106" s="62" t="str">
        <f t="shared" si="22"/>
        <v/>
      </c>
      <c r="J106" s="62" t="str">
        <f t="shared" si="23"/>
        <v/>
      </c>
      <c r="N106" s="62" t="str">
        <f t="shared" si="24"/>
        <v/>
      </c>
      <c r="R106" s="62" t="str">
        <f t="shared" si="25"/>
        <v/>
      </c>
      <c r="V106" s="62" t="str">
        <f t="shared" si="26"/>
        <v/>
      </c>
      <c r="Y106" s="62" t="str">
        <f t="shared" si="27"/>
        <v/>
      </c>
      <c r="AB106" s="62" t="str">
        <f t="shared" si="28"/>
        <v/>
      </c>
      <c r="AF106" s="62" t="str">
        <f t="shared" si="29"/>
        <v/>
      </c>
      <c r="AI106" s="62" t="str">
        <f t="shared" si="30"/>
        <v/>
      </c>
      <c r="AM106" s="62" t="str">
        <f t="shared" si="31"/>
        <v/>
      </c>
      <c r="AQ106" s="62" t="str">
        <f t="shared" si="32"/>
        <v/>
      </c>
      <c r="AR106" s="44" t="s">
        <v>35</v>
      </c>
      <c r="AS106" s="44">
        <v>330</v>
      </c>
      <c r="AT106" s="44">
        <v>1031</v>
      </c>
      <c r="AU106" s="62">
        <f t="shared" si="33"/>
        <v>3.124242424242424</v>
      </c>
      <c r="AV106" s="44" t="s">
        <v>35</v>
      </c>
      <c r="AW106" s="54">
        <v>500</v>
      </c>
      <c r="AX106" s="44">
        <v>1668</v>
      </c>
      <c r="AY106" s="62">
        <f t="shared" si="34"/>
        <v>3.3359999999999999</v>
      </c>
      <c r="BC106" s="62" t="str">
        <f t="shared" si="35"/>
        <v/>
      </c>
      <c r="BF106" s="62" t="str">
        <f t="shared" si="36"/>
        <v/>
      </c>
      <c r="BG106" s="44" t="s">
        <v>38</v>
      </c>
      <c r="BH106" s="44">
        <v>32</v>
      </c>
      <c r="BI106" s="44">
        <v>1343</v>
      </c>
      <c r="BJ106" s="62">
        <f t="shared" si="37"/>
        <v>41.96875</v>
      </c>
      <c r="BK106" s="44">
        <v>19</v>
      </c>
      <c r="BL106" s="44">
        <v>1223</v>
      </c>
      <c r="BM106" s="62">
        <f t="shared" si="38"/>
        <v>64.368421052631575</v>
      </c>
      <c r="BN106" s="44" t="s">
        <v>38</v>
      </c>
      <c r="BO106" s="44">
        <v>12</v>
      </c>
      <c r="BP106" s="44">
        <v>717</v>
      </c>
      <c r="BQ106" s="62">
        <f t="shared" si="39"/>
        <v>59.75</v>
      </c>
      <c r="BR106" s="44">
        <v>9.75</v>
      </c>
      <c r="BS106" s="44">
        <v>583</v>
      </c>
      <c r="BT106" s="62">
        <f t="shared" si="40"/>
        <v>59.794871794871796</v>
      </c>
      <c r="BU106" s="44">
        <v>10</v>
      </c>
      <c r="BV106" s="44">
        <v>628</v>
      </c>
      <c r="BW106" s="62">
        <f t="shared" si="41"/>
        <v>62.8</v>
      </c>
      <c r="BX106" s="44" t="s">
        <v>38</v>
      </c>
      <c r="BY106" s="44">
        <v>20.25</v>
      </c>
      <c r="BZ106" s="44">
        <v>878</v>
      </c>
      <c r="CA106" s="62">
        <f t="shared" si="42"/>
        <v>43.358024691358025</v>
      </c>
      <c r="CB106" s="44">
        <v>32.75</v>
      </c>
      <c r="CC106" s="44">
        <v>1524</v>
      </c>
      <c r="CD106" s="62">
        <f t="shared" si="43"/>
        <v>46.534351145038165</v>
      </c>
    </row>
    <row r="107" spans="1:82" x14ac:dyDescent="0.3">
      <c r="A107" s="49" t="s">
        <v>349</v>
      </c>
      <c r="B107" s="49" t="s">
        <v>104</v>
      </c>
      <c r="C107" s="44" t="s">
        <v>38</v>
      </c>
      <c r="F107" s="62" t="str">
        <f t="shared" si="22"/>
        <v/>
      </c>
      <c r="J107" s="62" t="str">
        <f t="shared" si="23"/>
        <v/>
      </c>
      <c r="N107" s="62" t="str">
        <f t="shared" si="24"/>
        <v/>
      </c>
      <c r="R107" s="62" t="str">
        <f t="shared" si="25"/>
        <v/>
      </c>
      <c r="V107" s="62" t="str">
        <f t="shared" si="26"/>
        <v/>
      </c>
      <c r="Y107" s="62" t="str">
        <f t="shared" si="27"/>
        <v/>
      </c>
      <c r="AB107" s="62" t="str">
        <f t="shared" si="28"/>
        <v/>
      </c>
      <c r="AF107" s="62" t="str">
        <f t="shared" si="29"/>
        <v/>
      </c>
      <c r="AI107" s="62" t="str">
        <f t="shared" si="30"/>
        <v/>
      </c>
      <c r="AM107" s="62" t="str">
        <f t="shared" si="31"/>
        <v/>
      </c>
      <c r="AQ107" s="62" t="str">
        <f t="shared" si="32"/>
        <v/>
      </c>
      <c r="AU107" s="62" t="str">
        <f t="shared" si="33"/>
        <v/>
      </c>
      <c r="AW107" s="32"/>
      <c r="AY107" s="62" t="str">
        <f t="shared" si="34"/>
        <v/>
      </c>
      <c r="BC107" s="62" t="str">
        <f t="shared" si="35"/>
        <v/>
      </c>
      <c r="BF107" s="62" t="str">
        <f t="shared" si="36"/>
        <v/>
      </c>
      <c r="BJ107" s="62" t="str">
        <f t="shared" si="37"/>
        <v/>
      </c>
      <c r="BM107" s="62" t="str">
        <f t="shared" si="38"/>
        <v/>
      </c>
      <c r="BN107" s="44" t="s">
        <v>38</v>
      </c>
      <c r="BQ107" s="62" t="str">
        <f t="shared" si="39"/>
        <v/>
      </c>
      <c r="BR107" s="44">
        <v>1.5</v>
      </c>
      <c r="BS107" s="44">
        <v>64</v>
      </c>
      <c r="BT107" s="62">
        <f t="shared" si="40"/>
        <v>42.666666666666664</v>
      </c>
      <c r="BU107" s="44">
        <v>1.5</v>
      </c>
      <c r="BV107" s="44">
        <v>144</v>
      </c>
      <c r="BW107" s="62">
        <f t="shared" si="41"/>
        <v>96</v>
      </c>
      <c r="CA107" s="62" t="str">
        <f t="shared" si="42"/>
        <v/>
      </c>
      <c r="CD107" s="62" t="str">
        <f t="shared" si="43"/>
        <v/>
      </c>
    </row>
    <row r="108" spans="1:82" x14ac:dyDescent="0.3">
      <c r="A108" s="49" t="s">
        <v>50</v>
      </c>
      <c r="B108" s="49" t="s">
        <v>104</v>
      </c>
      <c r="C108" s="44" t="s">
        <v>38</v>
      </c>
      <c r="F108" s="62" t="str">
        <f t="shared" si="22"/>
        <v/>
      </c>
      <c r="J108" s="62" t="str">
        <f t="shared" si="23"/>
        <v/>
      </c>
      <c r="N108" s="62" t="str">
        <f t="shared" si="24"/>
        <v/>
      </c>
      <c r="R108" s="62" t="str">
        <f t="shared" si="25"/>
        <v/>
      </c>
      <c r="V108" s="62" t="str">
        <f t="shared" si="26"/>
        <v/>
      </c>
      <c r="Y108" s="62" t="str">
        <f t="shared" si="27"/>
        <v/>
      </c>
      <c r="AB108" s="62" t="str">
        <f t="shared" si="28"/>
        <v/>
      </c>
      <c r="AF108" s="62" t="str">
        <f t="shared" si="29"/>
        <v/>
      </c>
      <c r="AI108" s="62" t="str">
        <f t="shared" si="30"/>
        <v/>
      </c>
      <c r="AM108" s="62" t="str">
        <f t="shared" si="31"/>
        <v/>
      </c>
      <c r="AQ108" s="62" t="str">
        <f t="shared" si="32"/>
        <v/>
      </c>
      <c r="AU108" s="62" t="str">
        <f t="shared" si="33"/>
        <v/>
      </c>
      <c r="AW108" s="32"/>
      <c r="AY108" s="62" t="str">
        <f t="shared" si="34"/>
        <v/>
      </c>
      <c r="BC108" s="62" t="str">
        <f t="shared" si="35"/>
        <v/>
      </c>
      <c r="BF108" s="62" t="str">
        <f t="shared" si="36"/>
        <v/>
      </c>
      <c r="BG108" s="44" t="s">
        <v>38</v>
      </c>
      <c r="BH108" s="44">
        <v>84</v>
      </c>
      <c r="BI108" s="44">
        <v>95</v>
      </c>
      <c r="BJ108" s="62">
        <f t="shared" si="37"/>
        <v>1.1309523809523809</v>
      </c>
      <c r="BK108" s="44">
        <v>76</v>
      </c>
      <c r="BL108" s="44">
        <v>117</v>
      </c>
      <c r="BM108" s="62">
        <f t="shared" si="38"/>
        <v>1.5394736842105263</v>
      </c>
      <c r="BN108" s="44" t="s">
        <v>38</v>
      </c>
      <c r="BO108" s="44">
        <v>117</v>
      </c>
      <c r="BP108" s="44">
        <v>117</v>
      </c>
      <c r="BQ108" s="62">
        <f t="shared" si="39"/>
        <v>1</v>
      </c>
      <c r="BR108" s="44">
        <v>62</v>
      </c>
      <c r="BS108" s="44">
        <v>89</v>
      </c>
      <c r="BT108" s="62">
        <f t="shared" si="40"/>
        <v>1.435483870967742</v>
      </c>
      <c r="BU108" s="44">
        <v>15</v>
      </c>
      <c r="BV108" s="44">
        <v>28</v>
      </c>
      <c r="BW108" s="62">
        <f t="shared" si="41"/>
        <v>1.8666666666666667</v>
      </c>
      <c r="BX108" s="44" t="s">
        <v>38</v>
      </c>
      <c r="BY108" s="44">
        <v>144.25</v>
      </c>
      <c r="BZ108" s="44">
        <v>201</v>
      </c>
      <c r="CA108" s="62">
        <f t="shared" si="42"/>
        <v>1.3934142114384749</v>
      </c>
      <c r="CB108" s="44">
        <v>154</v>
      </c>
      <c r="CC108" s="44">
        <v>173.5</v>
      </c>
      <c r="CD108" s="62">
        <f t="shared" si="43"/>
        <v>1.1266233766233766</v>
      </c>
    </row>
    <row r="109" spans="1:82" x14ac:dyDescent="0.3">
      <c r="A109" s="49" t="s">
        <v>30</v>
      </c>
      <c r="B109" s="49" t="s">
        <v>104</v>
      </c>
      <c r="C109" s="44" t="s">
        <v>38</v>
      </c>
      <c r="D109" s="44">
        <v>3643</v>
      </c>
      <c r="E109" s="44">
        <v>6500</v>
      </c>
      <c r="F109" s="62">
        <f t="shared" si="22"/>
        <v>1.7842437551468571</v>
      </c>
      <c r="G109" s="44" t="s">
        <v>38</v>
      </c>
      <c r="H109" s="44">
        <v>4628</v>
      </c>
      <c r="I109" s="44">
        <v>6481</v>
      </c>
      <c r="J109" s="62">
        <f t="shared" si="23"/>
        <v>1.4003889369057909</v>
      </c>
      <c r="K109" s="44" t="s">
        <v>38</v>
      </c>
      <c r="L109" s="44">
        <v>3125</v>
      </c>
      <c r="M109" s="44">
        <v>6410</v>
      </c>
      <c r="N109" s="62">
        <f t="shared" si="24"/>
        <v>2.0512000000000001</v>
      </c>
      <c r="O109" s="44" t="s">
        <v>38</v>
      </c>
      <c r="P109" s="44">
        <v>2870</v>
      </c>
      <c r="Q109" s="44">
        <v>6615</v>
      </c>
      <c r="R109" s="62">
        <f t="shared" si="25"/>
        <v>2.3048780487804876</v>
      </c>
      <c r="S109" s="44" t="s">
        <v>38</v>
      </c>
      <c r="T109" s="44">
        <v>4500</v>
      </c>
      <c r="U109" s="44">
        <v>8036</v>
      </c>
      <c r="V109" s="62">
        <f t="shared" si="26"/>
        <v>1.7857777777777777</v>
      </c>
      <c r="W109" s="44">
        <v>3600</v>
      </c>
      <c r="X109" s="44">
        <v>5625</v>
      </c>
      <c r="Y109" s="62">
        <f t="shared" si="27"/>
        <v>1.5625</v>
      </c>
      <c r="Z109" s="44">
        <v>3420</v>
      </c>
      <c r="AA109" s="44">
        <v>5262</v>
      </c>
      <c r="AB109" s="62">
        <f t="shared" si="28"/>
        <v>1.5385964912280701</v>
      </c>
      <c r="AC109" s="44" t="s">
        <v>38</v>
      </c>
      <c r="AD109" s="44">
        <v>3500</v>
      </c>
      <c r="AE109" s="44">
        <v>4861</v>
      </c>
      <c r="AF109" s="62">
        <f t="shared" si="29"/>
        <v>1.3888571428571428</v>
      </c>
      <c r="AG109" s="44">
        <v>2840</v>
      </c>
      <c r="AH109" s="44">
        <v>3944</v>
      </c>
      <c r="AI109" s="62">
        <f t="shared" si="30"/>
        <v>1.3887323943661971</v>
      </c>
      <c r="AM109" s="62" t="str">
        <f t="shared" si="31"/>
        <v/>
      </c>
      <c r="AQ109" s="62" t="str">
        <f t="shared" si="32"/>
        <v/>
      </c>
      <c r="AR109" s="44" t="s">
        <v>38</v>
      </c>
      <c r="AS109" s="44">
        <v>1800</v>
      </c>
      <c r="AT109" s="44">
        <v>2666</v>
      </c>
      <c r="AU109" s="62">
        <f t="shared" si="33"/>
        <v>1.481111111111111</v>
      </c>
      <c r="AV109" s="44" t="s">
        <v>38</v>
      </c>
      <c r="AW109" s="44">
        <v>1300</v>
      </c>
      <c r="AX109" s="44">
        <v>2125</v>
      </c>
      <c r="AY109" s="62">
        <f t="shared" si="34"/>
        <v>1.6346153846153846</v>
      </c>
      <c r="AZ109" s="44" t="s">
        <v>38</v>
      </c>
      <c r="BA109" s="44">
        <v>1075</v>
      </c>
      <c r="BB109" s="44">
        <v>2042</v>
      </c>
      <c r="BC109" s="62">
        <f t="shared" si="35"/>
        <v>1.8995348837209303</v>
      </c>
      <c r="BD109" s="44">
        <v>1517</v>
      </c>
      <c r="BE109" s="44">
        <v>2280</v>
      </c>
      <c r="BF109" s="62">
        <f t="shared" si="36"/>
        <v>1.5029663810151614</v>
      </c>
      <c r="BG109" s="44" t="s">
        <v>38</v>
      </c>
      <c r="BH109" s="44">
        <v>619</v>
      </c>
      <c r="BI109" s="44">
        <v>833</v>
      </c>
      <c r="BJ109" s="62">
        <f t="shared" si="37"/>
        <v>1.3457189014539579</v>
      </c>
      <c r="BK109" s="44">
        <v>405</v>
      </c>
      <c r="BL109" s="44">
        <v>294</v>
      </c>
      <c r="BM109" s="62">
        <f t="shared" si="38"/>
        <v>0.72592592592592597</v>
      </c>
      <c r="BQ109" s="62" t="str">
        <f t="shared" si="39"/>
        <v/>
      </c>
      <c r="BT109" s="62" t="str">
        <f t="shared" si="40"/>
        <v/>
      </c>
      <c r="BW109" s="62" t="str">
        <f t="shared" si="41"/>
        <v/>
      </c>
      <c r="CA109" s="62" t="str">
        <f t="shared" si="42"/>
        <v/>
      </c>
      <c r="CD109" s="62" t="str">
        <f t="shared" si="43"/>
        <v/>
      </c>
    </row>
    <row r="110" spans="1:82" x14ac:dyDescent="0.3">
      <c r="A110" s="49" t="s">
        <v>263</v>
      </c>
      <c r="B110" s="49" t="s">
        <v>104</v>
      </c>
      <c r="C110" s="44" t="s">
        <v>38</v>
      </c>
      <c r="F110" s="62" t="str">
        <f t="shared" si="22"/>
        <v/>
      </c>
      <c r="J110" s="62" t="str">
        <f t="shared" si="23"/>
        <v/>
      </c>
      <c r="N110" s="62" t="str">
        <f t="shared" si="24"/>
        <v/>
      </c>
      <c r="R110" s="62" t="str">
        <f t="shared" si="25"/>
        <v/>
      </c>
      <c r="V110" s="62" t="str">
        <f t="shared" si="26"/>
        <v/>
      </c>
      <c r="Y110" s="62" t="str">
        <f t="shared" si="27"/>
        <v/>
      </c>
      <c r="AB110" s="62" t="str">
        <f t="shared" si="28"/>
        <v/>
      </c>
      <c r="AF110" s="62" t="str">
        <f t="shared" si="29"/>
        <v/>
      </c>
      <c r="AI110" s="62" t="str">
        <f t="shared" si="30"/>
        <v/>
      </c>
      <c r="AJ110" s="44" t="s">
        <v>38</v>
      </c>
      <c r="AK110" s="44">
        <v>1200</v>
      </c>
      <c r="AL110" s="44">
        <v>706</v>
      </c>
      <c r="AM110" s="62">
        <f t="shared" si="31"/>
        <v>0.58833333333333337</v>
      </c>
      <c r="AN110" s="44" t="s">
        <v>38</v>
      </c>
      <c r="AO110" s="44">
        <v>1200</v>
      </c>
      <c r="AP110" s="44">
        <v>1125</v>
      </c>
      <c r="AQ110" s="62">
        <f t="shared" si="32"/>
        <v>0.9375</v>
      </c>
      <c r="AU110" s="62" t="str">
        <f t="shared" si="33"/>
        <v/>
      </c>
      <c r="AY110" s="62" t="str">
        <f t="shared" si="34"/>
        <v/>
      </c>
      <c r="BC110" s="62" t="str">
        <f t="shared" si="35"/>
        <v/>
      </c>
      <c r="BF110" s="62" t="str">
        <f t="shared" si="36"/>
        <v/>
      </c>
      <c r="BJ110" s="62" t="str">
        <f t="shared" si="37"/>
        <v/>
      </c>
      <c r="BM110" s="62" t="str">
        <f t="shared" si="38"/>
        <v/>
      </c>
      <c r="BQ110" s="62" t="str">
        <f t="shared" si="39"/>
        <v/>
      </c>
      <c r="BT110" s="62" t="str">
        <f t="shared" si="40"/>
        <v/>
      </c>
      <c r="BW110" s="62" t="str">
        <f t="shared" si="41"/>
        <v/>
      </c>
      <c r="CA110" s="62" t="str">
        <f t="shared" si="42"/>
        <v/>
      </c>
      <c r="CD110" s="62" t="str">
        <f t="shared" si="43"/>
        <v/>
      </c>
    </row>
    <row r="111" spans="1:82" x14ac:dyDescent="0.3">
      <c r="A111" s="49" t="s">
        <v>264</v>
      </c>
      <c r="B111" s="49" t="s">
        <v>104</v>
      </c>
      <c r="C111" s="44" t="s">
        <v>38</v>
      </c>
      <c r="F111" s="62" t="str">
        <f t="shared" si="22"/>
        <v/>
      </c>
      <c r="J111" s="62" t="str">
        <f t="shared" si="23"/>
        <v/>
      </c>
      <c r="N111" s="62" t="str">
        <f t="shared" si="24"/>
        <v/>
      </c>
      <c r="R111" s="62" t="str">
        <f t="shared" si="25"/>
        <v/>
      </c>
      <c r="V111" s="62" t="str">
        <f t="shared" si="26"/>
        <v/>
      </c>
      <c r="Y111" s="62" t="str">
        <f t="shared" si="27"/>
        <v/>
      </c>
      <c r="AB111" s="62" t="str">
        <f t="shared" si="28"/>
        <v/>
      </c>
      <c r="AF111" s="62" t="str">
        <f t="shared" si="29"/>
        <v/>
      </c>
      <c r="AI111" s="62" t="str">
        <f t="shared" si="30"/>
        <v/>
      </c>
      <c r="AJ111" s="44" t="s">
        <v>38</v>
      </c>
      <c r="AK111" s="44">
        <v>500</v>
      </c>
      <c r="AL111" s="44">
        <v>706</v>
      </c>
      <c r="AM111" s="62">
        <f t="shared" si="31"/>
        <v>1.4119999999999999</v>
      </c>
      <c r="AN111" s="44" t="s">
        <v>38</v>
      </c>
      <c r="AO111" s="44">
        <v>400</v>
      </c>
      <c r="AP111" s="44">
        <v>625</v>
      </c>
      <c r="AQ111" s="62">
        <f t="shared" si="32"/>
        <v>1.5625</v>
      </c>
      <c r="AU111" s="62" t="str">
        <f t="shared" si="33"/>
        <v/>
      </c>
      <c r="AY111" s="62" t="str">
        <f t="shared" si="34"/>
        <v/>
      </c>
      <c r="BC111" s="62" t="str">
        <f t="shared" si="35"/>
        <v/>
      </c>
      <c r="BF111" s="62" t="str">
        <f t="shared" si="36"/>
        <v/>
      </c>
      <c r="BJ111" s="62" t="str">
        <f t="shared" si="37"/>
        <v/>
      </c>
      <c r="BM111" s="62" t="str">
        <f t="shared" si="38"/>
        <v/>
      </c>
      <c r="BQ111" s="62" t="str">
        <f t="shared" si="39"/>
        <v/>
      </c>
      <c r="BT111" s="62" t="str">
        <f t="shared" si="40"/>
        <v/>
      </c>
      <c r="BW111" s="62" t="str">
        <f t="shared" si="41"/>
        <v/>
      </c>
      <c r="CA111" s="62" t="str">
        <f t="shared" si="42"/>
        <v/>
      </c>
      <c r="CD111" s="62" t="str">
        <f t="shared" si="43"/>
        <v/>
      </c>
    </row>
    <row r="112" spans="1:82" x14ac:dyDescent="0.3">
      <c r="A112" s="49" t="s">
        <v>120</v>
      </c>
      <c r="B112" s="49" t="s">
        <v>104</v>
      </c>
      <c r="C112" s="44" t="s">
        <v>38</v>
      </c>
      <c r="F112" s="62" t="str">
        <f t="shared" si="22"/>
        <v/>
      </c>
      <c r="J112" s="62" t="str">
        <f t="shared" si="23"/>
        <v/>
      </c>
      <c r="N112" s="62" t="str">
        <f t="shared" si="24"/>
        <v/>
      </c>
      <c r="R112" s="62" t="str">
        <f t="shared" si="25"/>
        <v/>
      </c>
      <c r="V112" s="62" t="str">
        <f t="shared" si="26"/>
        <v/>
      </c>
      <c r="Y112" s="62" t="str">
        <f t="shared" si="27"/>
        <v/>
      </c>
      <c r="AB112" s="62" t="str">
        <f t="shared" si="28"/>
        <v/>
      </c>
      <c r="AF112" s="62" t="str">
        <f t="shared" si="29"/>
        <v/>
      </c>
      <c r="AI112" s="62" t="str">
        <f t="shared" si="30"/>
        <v/>
      </c>
      <c r="AJ112" s="44" t="s">
        <v>38</v>
      </c>
      <c r="AK112" s="44">
        <v>580</v>
      </c>
      <c r="AL112" s="44">
        <v>853</v>
      </c>
      <c r="AM112" s="62">
        <f t="shared" si="31"/>
        <v>1.4706896551724138</v>
      </c>
      <c r="AN112" s="44" t="s">
        <v>38</v>
      </c>
      <c r="AO112" s="44">
        <v>135</v>
      </c>
      <c r="AP112" s="44">
        <v>125</v>
      </c>
      <c r="AQ112" s="62">
        <f t="shared" si="32"/>
        <v>0.92592592592592593</v>
      </c>
      <c r="AU112" s="62" t="str">
        <f t="shared" si="33"/>
        <v/>
      </c>
      <c r="AY112" s="62" t="str">
        <f t="shared" si="34"/>
        <v/>
      </c>
      <c r="BC112" s="62" t="str">
        <f t="shared" si="35"/>
        <v/>
      </c>
      <c r="BF112" s="62" t="str">
        <f t="shared" si="36"/>
        <v/>
      </c>
      <c r="BJ112" s="62" t="str">
        <f t="shared" si="37"/>
        <v/>
      </c>
      <c r="BM112" s="62" t="str">
        <f t="shared" si="38"/>
        <v/>
      </c>
      <c r="BN112" s="44" t="s">
        <v>38</v>
      </c>
      <c r="BQ112" s="62" t="str">
        <f t="shared" si="39"/>
        <v/>
      </c>
      <c r="BR112" s="44">
        <v>148.75</v>
      </c>
      <c r="BS112" s="44">
        <v>247</v>
      </c>
      <c r="BT112" s="62">
        <f t="shared" si="40"/>
        <v>1.6605042016806724</v>
      </c>
      <c r="BU112" s="44">
        <v>191</v>
      </c>
      <c r="BV112" s="44">
        <v>409</v>
      </c>
      <c r="BW112" s="62">
        <f t="shared" si="41"/>
        <v>2.1413612565445028</v>
      </c>
      <c r="BX112" s="44" t="s">
        <v>38</v>
      </c>
      <c r="BY112" s="44">
        <v>196.25</v>
      </c>
      <c r="BZ112" s="44">
        <v>548</v>
      </c>
      <c r="CA112" s="62">
        <f t="shared" si="42"/>
        <v>2.792356687898089</v>
      </c>
      <c r="CB112" s="44">
        <v>125</v>
      </c>
      <c r="CC112" s="44">
        <v>305</v>
      </c>
      <c r="CD112" s="62">
        <f t="shared" si="43"/>
        <v>2.44</v>
      </c>
    </row>
    <row r="113" spans="1:82" x14ac:dyDescent="0.3">
      <c r="A113" s="49" t="s">
        <v>265</v>
      </c>
      <c r="B113" s="49" t="s">
        <v>104</v>
      </c>
      <c r="C113" s="44" t="s">
        <v>38</v>
      </c>
      <c r="F113" s="62" t="str">
        <f t="shared" si="22"/>
        <v/>
      </c>
      <c r="J113" s="62" t="str">
        <f t="shared" si="23"/>
        <v/>
      </c>
      <c r="N113" s="62" t="str">
        <f t="shared" si="24"/>
        <v/>
      </c>
      <c r="R113" s="62" t="str">
        <f t="shared" si="25"/>
        <v/>
      </c>
      <c r="V113" s="62" t="str">
        <f t="shared" si="26"/>
        <v/>
      </c>
      <c r="Y113" s="62" t="str">
        <f t="shared" si="27"/>
        <v/>
      </c>
      <c r="AB113" s="62" t="str">
        <f t="shared" si="28"/>
        <v/>
      </c>
      <c r="AF113" s="62" t="str">
        <f t="shared" si="29"/>
        <v/>
      </c>
      <c r="AI113" s="62" t="str">
        <f t="shared" si="30"/>
        <v/>
      </c>
      <c r="AJ113" s="44" t="s">
        <v>38</v>
      </c>
      <c r="AK113" s="44">
        <v>280</v>
      </c>
      <c r="AL113" s="44">
        <v>470</v>
      </c>
      <c r="AM113" s="62">
        <f t="shared" si="31"/>
        <v>1.6785714285714286</v>
      </c>
      <c r="AN113" s="44" t="s">
        <v>38</v>
      </c>
      <c r="AO113" s="44">
        <v>350</v>
      </c>
      <c r="AP113" s="44">
        <v>1093</v>
      </c>
      <c r="AQ113" s="62">
        <f t="shared" si="32"/>
        <v>3.1228571428571428</v>
      </c>
      <c r="AU113" s="62" t="str">
        <f t="shared" si="33"/>
        <v/>
      </c>
      <c r="AY113" s="62" t="str">
        <f t="shared" si="34"/>
        <v/>
      </c>
      <c r="BC113" s="62" t="str">
        <f t="shared" si="35"/>
        <v/>
      </c>
      <c r="BF113" s="62" t="str">
        <f t="shared" si="36"/>
        <v/>
      </c>
      <c r="BJ113" s="62" t="str">
        <f t="shared" si="37"/>
        <v/>
      </c>
      <c r="BM113" s="62" t="str">
        <f t="shared" si="38"/>
        <v/>
      </c>
      <c r="BN113" s="44" t="s">
        <v>38</v>
      </c>
      <c r="BO113" s="44">
        <v>334</v>
      </c>
      <c r="BP113" s="44">
        <v>695</v>
      </c>
      <c r="BQ113" s="62">
        <f t="shared" si="39"/>
        <v>2.0808383233532934</v>
      </c>
      <c r="BR113" s="44">
        <v>40.75</v>
      </c>
      <c r="BS113" s="44">
        <v>118</v>
      </c>
      <c r="BT113" s="62">
        <f t="shared" si="40"/>
        <v>2.8957055214723928</v>
      </c>
      <c r="BU113" s="44">
        <v>222</v>
      </c>
      <c r="BV113" s="44">
        <v>332</v>
      </c>
      <c r="BW113" s="62">
        <f t="shared" si="41"/>
        <v>1.4954954954954955</v>
      </c>
      <c r="BX113" s="44" t="s">
        <v>38</v>
      </c>
      <c r="BY113" s="44">
        <v>171.75</v>
      </c>
      <c r="BZ113" s="44">
        <v>225</v>
      </c>
      <c r="CA113" s="62">
        <f t="shared" si="42"/>
        <v>1.3100436681222707</v>
      </c>
      <c r="CB113" s="44">
        <v>174</v>
      </c>
      <c r="CC113" s="44">
        <v>283</v>
      </c>
      <c r="CD113" s="62">
        <f t="shared" si="43"/>
        <v>1.6264367816091954</v>
      </c>
    </row>
    <row r="114" spans="1:82" x14ac:dyDescent="0.3">
      <c r="A114" s="49" t="s">
        <v>51</v>
      </c>
      <c r="B114" s="49" t="s">
        <v>104</v>
      </c>
      <c r="C114" s="44" t="s">
        <v>38</v>
      </c>
      <c r="F114" s="62" t="str">
        <f t="shared" si="22"/>
        <v/>
      </c>
      <c r="J114" s="62" t="str">
        <f t="shared" si="23"/>
        <v/>
      </c>
      <c r="N114" s="62" t="str">
        <f t="shared" si="24"/>
        <v/>
      </c>
      <c r="R114" s="62" t="str">
        <f t="shared" si="25"/>
        <v/>
      </c>
      <c r="V114" s="62" t="str">
        <f t="shared" si="26"/>
        <v/>
      </c>
      <c r="Y114" s="62" t="str">
        <f t="shared" si="27"/>
        <v/>
      </c>
      <c r="AB114" s="62" t="str">
        <f t="shared" si="28"/>
        <v/>
      </c>
      <c r="AF114" s="62" t="str">
        <f t="shared" si="29"/>
        <v/>
      </c>
      <c r="AI114" s="62" t="str">
        <f t="shared" si="30"/>
        <v/>
      </c>
      <c r="AM114" s="62" t="str">
        <f t="shared" si="31"/>
        <v/>
      </c>
      <c r="AQ114" s="62" t="str">
        <f t="shared" si="32"/>
        <v/>
      </c>
      <c r="AU114" s="62" t="str">
        <f t="shared" si="33"/>
        <v/>
      </c>
      <c r="AY114" s="62" t="str">
        <f t="shared" si="34"/>
        <v/>
      </c>
      <c r="BC114" s="62" t="str">
        <f t="shared" si="35"/>
        <v/>
      </c>
      <c r="BF114" s="62" t="str">
        <f t="shared" si="36"/>
        <v/>
      </c>
      <c r="BG114" s="44" t="s">
        <v>38</v>
      </c>
      <c r="BH114" s="44">
        <v>80</v>
      </c>
      <c r="BI114" s="44">
        <v>90</v>
      </c>
      <c r="BJ114" s="62">
        <f t="shared" si="37"/>
        <v>1.125</v>
      </c>
      <c r="BK114" s="44">
        <v>66</v>
      </c>
      <c r="BL114" s="44">
        <v>184</v>
      </c>
      <c r="BM114" s="62">
        <f t="shared" si="38"/>
        <v>2.7878787878787881</v>
      </c>
      <c r="BN114" s="44" t="s">
        <v>38</v>
      </c>
      <c r="BO114" s="44">
        <v>40</v>
      </c>
      <c r="BP114" s="44">
        <v>86</v>
      </c>
      <c r="BQ114" s="62">
        <f t="shared" si="39"/>
        <v>2.15</v>
      </c>
      <c r="BR114" s="44">
        <v>29.5</v>
      </c>
      <c r="BS114" s="44">
        <v>72</v>
      </c>
      <c r="BT114" s="62">
        <f t="shared" si="40"/>
        <v>2.4406779661016951</v>
      </c>
      <c r="BU114" s="44">
        <v>21.5</v>
      </c>
      <c r="BV114" s="44">
        <v>44.5</v>
      </c>
      <c r="BW114" s="62">
        <f t="shared" si="41"/>
        <v>2.0697674418604652</v>
      </c>
      <c r="BX114" s="44" t="s">
        <v>38</v>
      </c>
      <c r="BY114" s="44">
        <v>38.25</v>
      </c>
      <c r="BZ114" s="44">
        <v>80.75</v>
      </c>
      <c r="CA114" s="62">
        <f t="shared" si="42"/>
        <v>2.1111111111111112</v>
      </c>
      <c r="CB114" s="44">
        <v>40.5</v>
      </c>
      <c r="CC114" s="44">
        <v>140</v>
      </c>
      <c r="CD114" s="62">
        <f t="shared" si="43"/>
        <v>3.4567901234567899</v>
      </c>
    </row>
    <row r="115" spans="1:82" x14ac:dyDescent="0.3">
      <c r="A115" s="49" t="s">
        <v>266</v>
      </c>
      <c r="B115" s="49" t="s">
        <v>104</v>
      </c>
      <c r="C115" s="44" t="s">
        <v>38</v>
      </c>
      <c r="D115" s="44">
        <v>2962</v>
      </c>
      <c r="E115" s="44">
        <v>3071</v>
      </c>
      <c r="F115" s="62">
        <f t="shared" si="22"/>
        <v>1.036799459824443</v>
      </c>
      <c r="G115" s="44" t="s">
        <v>38</v>
      </c>
      <c r="H115" s="44">
        <v>783</v>
      </c>
      <c r="I115" s="44">
        <v>1060</v>
      </c>
      <c r="J115" s="62">
        <f t="shared" si="23"/>
        <v>1.3537675606641124</v>
      </c>
      <c r="K115" s="44" t="s">
        <v>38</v>
      </c>
      <c r="L115" s="44">
        <v>3200</v>
      </c>
      <c r="M115" s="44">
        <v>3939</v>
      </c>
      <c r="N115" s="62">
        <f t="shared" si="24"/>
        <v>1.2309375</v>
      </c>
      <c r="O115" s="44" t="s">
        <v>38</v>
      </c>
      <c r="P115" s="44">
        <v>9567</v>
      </c>
      <c r="Q115" s="44">
        <v>11038</v>
      </c>
      <c r="R115" s="62">
        <f t="shared" si="25"/>
        <v>1.1537577087906346</v>
      </c>
      <c r="S115" s="44" t="s">
        <v>38</v>
      </c>
      <c r="T115" s="44">
        <v>1800</v>
      </c>
      <c r="U115" s="44">
        <v>1929</v>
      </c>
      <c r="V115" s="62">
        <f t="shared" si="26"/>
        <v>1.0716666666666668</v>
      </c>
      <c r="W115" s="44">
        <v>500</v>
      </c>
      <c r="X115" s="44">
        <v>656</v>
      </c>
      <c r="Y115" s="62">
        <f t="shared" si="27"/>
        <v>1.3120000000000001</v>
      </c>
      <c r="Z115" s="44">
        <v>800</v>
      </c>
      <c r="AA115" s="44">
        <v>1034</v>
      </c>
      <c r="AB115" s="62">
        <f t="shared" si="28"/>
        <v>1.2925</v>
      </c>
      <c r="AC115" s="44" t="s">
        <v>38</v>
      </c>
      <c r="AD115" s="44">
        <v>1500</v>
      </c>
      <c r="AE115" s="44">
        <v>1750</v>
      </c>
      <c r="AF115" s="62">
        <f t="shared" si="29"/>
        <v>1.1666666666666667</v>
      </c>
      <c r="AG115" s="44">
        <v>1830</v>
      </c>
      <c r="AH115" s="44">
        <v>1833</v>
      </c>
      <c r="AI115" s="62">
        <f t="shared" si="30"/>
        <v>1.0016393442622951</v>
      </c>
      <c r="AJ115" s="44" t="s">
        <v>38</v>
      </c>
      <c r="AK115" s="44">
        <v>1311</v>
      </c>
      <c r="AL115" s="44">
        <v>1388</v>
      </c>
      <c r="AM115" s="62">
        <f t="shared" si="31"/>
        <v>1.0587337909992371</v>
      </c>
      <c r="AN115" s="44" t="s">
        <v>38</v>
      </c>
      <c r="AO115" s="44">
        <v>2125</v>
      </c>
      <c r="AP115" s="44">
        <v>1990</v>
      </c>
      <c r="AQ115" s="62">
        <f t="shared" si="32"/>
        <v>0.93647058823529417</v>
      </c>
      <c r="AR115" s="44" t="s">
        <v>38</v>
      </c>
      <c r="AS115" s="44">
        <v>1037</v>
      </c>
      <c r="AT115" s="44">
        <v>973</v>
      </c>
      <c r="AU115" s="62">
        <f t="shared" si="33"/>
        <v>0.9382835101253616</v>
      </c>
      <c r="AV115" s="44" t="s">
        <v>38</v>
      </c>
      <c r="AW115" s="44">
        <v>1000</v>
      </c>
      <c r="AX115" s="44">
        <v>1000</v>
      </c>
      <c r="AY115" s="62">
        <f t="shared" si="34"/>
        <v>1</v>
      </c>
      <c r="AZ115" s="44" t="s">
        <v>38</v>
      </c>
      <c r="BA115" s="44">
        <v>3000</v>
      </c>
      <c r="BB115" s="44">
        <v>3000</v>
      </c>
      <c r="BC115" s="62">
        <f t="shared" si="35"/>
        <v>1</v>
      </c>
      <c r="BD115" s="44">
        <v>5550</v>
      </c>
      <c r="BE115" s="44">
        <v>5550</v>
      </c>
      <c r="BF115" s="62">
        <f t="shared" si="36"/>
        <v>1</v>
      </c>
      <c r="BG115" s="44" t="s">
        <v>38</v>
      </c>
      <c r="BH115" s="44">
        <v>9649</v>
      </c>
      <c r="BI115" s="44">
        <v>8078</v>
      </c>
      <c r="BJ115" s="62">
        <f t="shared" si="37"/>
        <v>0.83718520053891599</v>
      </c>
      <c r="BK115" s="44">
        <v>7233</v>
      </c>
      <c r="BL115" s="44">
        <v>7019</v>
      </c>
      <c r="BM115" s="62">
        <f t="shared" si="38"/>
        <v>0.97041338310521219</v>
      </c>
      <c r="BN115" s="44" t="s">
        <v>38</v>
      </c>
      <c r="BO115" s="44">
        <v>1081</v>
      </c>
      <c r="BP115" s="44">
        <v>1075</v>
      </c>
      <c r="BQ115" s="62">
        <f t="shared" si="39"/>
        <v>0.9944495837187789</v>
      </c>
      <c r="BR115" s="44">
        <v>5035.75</v>
      </c>
      <c r="BS115" s="44">
        <v>4673</v>
      </c>
      <c r="BT115" s="62">
        <f t="shared" si="40"/>
        <v>0.92796504989326312</v>
      </c>
      <c r="BU115" s="44">
        <v>3338</v>
      </c>
      <c r="BV115" s="44">
        <v>3188</v>
      </c>
      <c r="BW115" s="62">
        <f t="shared" si="41"/>
        <v>0.95506291192330739</v>
      </c>
      <c r="BX115" s="44" t="s">
        <v>38</v>
      </c>
      <c r="BY115" s="44">
        <v>5590.5</v>
      </c>
      <c r="BZ115" s="44">
        <v>5897</v>
      </c>
      <c r="CA115" s="62">
        <f t="shared" si="42"/>
        <v>1.0548251498077095</v>
      </c>
      <c r="CB115" s="44">
        <v>4874</v>
      </c>
      <c r="CC115" s="44">
        <v>5703</v>
      </c>
      <c r="CD115" s="62">
        <f t="shared" si="43"/>
        <v>1.1700861715223636</v>
      </c>
    </row>
    <row r="116" spans="1:82" x14ac:dyDescent="0.3">
      <c r="A116" s="49" t="s">
        <v>267</v>
      </c>
      <c r="B116" s="49" t="s">
        <v>104</v>
      </c>
      <c r="C116" s="44" t="s">
        <v>38</v>
      </c>
      <c r="D116" s="44">
        <v>5000</v>
      </c>
      <c r="E116" s="44">
        <v>5429</v>
      </c>
      <c r="F116" s="62">
        <f t="shared" si="22"/>
        <v>1.0858000000000001</v>
      </c>
      <c r="G116" s="44" t="s">
        <v>38</v>
      </c>
      <c r="H116" s="44">
        <v>5786</v>
      </c>
      <c r="I116" s="44">
        <v>5401</v>
      </c>
      <c r="J116" s="62">
        <f t="shared" si="23"/>
        <v>0.93346007604562742</v>
      </c>
      <c r="K116" s="44" t="s">
        <v>38</v>
      </c>
      <c r="L116" s="44">
        <v>5000</v>
      </c>
      <c r="M116" s="44">
        <v>6154</v>
      </c>
      <c r="N116" s="62">
        <f t="shared" si="24"/>
        <v>1.2307999999999999</v>
      </c>
      <c r="O116" s="44" t="s">
        <v>38</v>
      </c>
      <c r="P116" s="44">
        <v>7000</v>
      </c>
      <c r="Q116" s="44">
        <v>7538</v>
      </c>
      <c r="R116" s="62">
        <f t="shared" si="25"/>
        <v>1.076857142857143</v>
      </c>
      <c r="S116" s="44" t="s">
        <v>38</v>
      </c>
      <c r="T116" s="44">
        <v>6000</v>
      </c>
      <c r="U116" s="44">
        <v>5786</v>
      </c>
      <c r="V116" s="62">
        <f t="shared" si="26"/>
        <v>0.96433333333333338</v>
      </c>
      <c r="W116" s="44">
        <v>5250</v>
      </c>
      <c r="X116" s="44">
        <v>5578</v>
      </c>
      <c r="Y116" s="62">
        <f t="shared" si="27"/>
        <v>1.0624761904761906</v>
      </c>
      <c r="Z116" s="44">
        <v>4800</v>
      </c>
      <c r="AA116" s="44">
        <v>5317</v>
      </c>
      <c r="AB116" s="62">
        <f t="shared" si="28"/>
        <v>1.1077083333333333</v>
      </c>
      <c r="AC116" s="44" t="s">
        <v>38</v>
      </c>
      <c r="AD116" s="44">
        <v>5000</v>
      </c>
      <c r="AE116" s="44">
        <v>4166</v>
      </c>
      <c r="AF116" s="62">
        <f t="shared" si="29"/>
        <v>0.83320000000000005</v>
      </c>
      <c r="AG116" s="44">
        <v>4000</v>
      </c>
      <c r="AH116" s="44">
        <v>2889</v>
      </c>
      <c r="AI116" s="62">
        <f t="shared" si="30"/>
        <v>0.72224999999999995</v>
      </c>
      <c r="AJ116" s="44" t="s">
        <v>38</v>
      </c>
      <c r="AK116" s="44">
        <v>3000</v>
      </c>
      <c r="AL116" s="44">
        <v>2294</v>
      </c>
      <c r="AM116" s="62">
        <f t="shared" si="31"/>
        <v>0.76466666666666672</v>
      </c>
      <c r="AN116" s="44" t="s">
        <v>38</v>
      </c>
      <c r="AO116" s="44">
        <v>4500</v>
      </c>
      <c r="AP116" s="44">
        <v>3656</v>
      </c>
      <c r="AQ116" s="62">
        <f t="shared" si="32"/>
        <v>0.81244444444444441</v>
      </c>
      <c r="AR116" s="44" t="s">
        <v>38</v>
      </c>
      <c r="AS116" s="44">
        <v>4400</v>
      </c>
      <c r="AT116" s="44">
        <v>3300</v>
      </c>
      <c r="AU116" s="62">
        <f t="shared" si="33"/>
        <v>0.75</v>
      </c>
      <c r="AV116" s="44" t="s">
        <v>38</v>
      </c>
      <c r="AW116" s="44">
        <v>6000</v>
      </c>
      <c r="AX116" s="44">
        <v>4800</v>
      </c>
      <c r="AY116" s="62">
        <f t="shared" si="34"/>
        <v>0.8</v>
      </c>
      <c r="AZ116" s="44" t="s">
        <v>38</v>
      </c>
      <c r="BA116" s="44">
        <v>7900</v>
      </c>
      <c r="BB116" s="44">
        <v>6320</v>
      </c>
      <c r="BC116" s="62">
        <f t="shared" si="35"/>
        <v>0.8</v>
      </c>
      <c r="BD116" s="44">
        <v>12500</v>
      </c>
      <c r="BE116" s="44">
        <v>8334</v>
      </c>
      <c r="BF116" s="62">
        <f t="shared" si="36"/>
        <v>0.66671999999999998</v>
      </c>
      <c r="BG116" s="44" t="s">
        <v>38</v>
      </c>
      <c r="BH116" s="44">
        <v>18906</v>
      </c>
      <c r="BI116" s="44">
        <v>13671</v>
      </c>
      <c r="BJ116" s="62">
        <f t="shared" si="37"/>
        <v>0.72310377657886382</v>
      </c>
      <c r="BK116" s="44">
        <v>12829</v>
      </c>
      <c r="BL116" s="44">
        <v>9002</v>
      </c>
      <c r="BM116" s="62">
        <f t="shared" si="38"/>
        <v>0.7016914802400811</v>
      </c>
      <c r="BN116" s="44" t="s">
        <v>38</v>
      </c>
      <c r="BO116" s="44">
        <v>10006</v>
      </c>
      <c r="BP116" s="44">
        <v>7181</v>
      </c>
      <c r="BQ116" s="62">
        <f t="shared" si="39"/>
        <v>0.71766939836098342</v>
      </c>
      <c r="BR116" s="44">
        <v>9700.5</v>
      </c>
      <c r="BS116" s="44">
        <v>7212</v>
      </c>
      <c r="BT116" s="62">
        <f t="shared" si="40"/>
        <v>0.74346683160661819</v>
      </c>
      <c r="BU116" s="44">
        <v>9144</v>
      </c>
      <c r="BV116" s="44">
        <v>7222.5</v>
      </c>
      <c r="BW116" s="62">
        <f t="shared" si="41"/>
        <v>0.78986220472440949</v>
      </c>
      <c r="BX116" s="44" t="s">
        <v>38</v>
      </c>
      <c r="BY116" s="44">
        <v>11174.5</v>
      </c>
      <c r="BZ116" s="44">
        <v>9080.5</v>
      </c>
      <c r="CA116" s="62">
        <f t="shared" si="42"/>
        <v>0.81260906528256294</v>
      </c>
      <c r="CB116" s="44">
        <v>18332</v>
      </c>
      <c r="CC116" s="44">
        <v>15627</v>
      </c>
      <c r="CD116" s="62">
        <f t="shared" si="43"/>
        <v>0.85244381409557057</v>
      </c>
    </row>
    <row r="117" spans="1:82" x14ac:dyDescent="0.3">
      <c r="A117" s="49" t="s">
        <v>268</v>
      </c>
      <c r="B117" s="49" t="s">
        <v>104</v>
      </c>
      <c r="C117" s="44" t="s">
        <v>38</v>
      </c>
      <c r="D117" s="44">
        <v>820</v>
      </c>
      <c r="E117" s="44">
        <v>1214</v>
      </c>
      <c r="F117" s="62">
        <f t="shared" si="22"/>
        <v>1.4804878048780488</v>
      </c>
      <c r="G117" s="44" t="s">
        <v>38</v>
      </c>
      <c r="H117" s="44">
        <v>700</v>
      </c>
      <c r="I117" s="44">
        <v>1013</v>
      </c>
      <c r="J117" s="62">
        <f t="shared" si="23"/>
        <v>1.4471428571428571</v>
      </c>
      <c r="K117" s="44" t="s">
        <v>38</v>
      </c>
      <c r="L117" s="44">
        <v>550</v>
      </c>
      <c r="M117" s="44">
        <v>903</v>
      </c>
      <c r="N117" s="62">
        <f t="shared" si="24"/>
        <v>1.6418181818181818</v>
      </c>
      <c r="O117" s="44" t="s">
        <v>38</v>
      </c>
      <c r="P117" s="44">
        <v>850</v>
      </c>
      <c r="Q117" s="44">
        <v>1308</v>
      </c>
      <c r="R117" s="62">
        <f t="shared" si="25"/>
        <v>1.5388235294117647</v>
      </c>
      <c r="S117" s="44" t="s">
        <v>38</v>
      </c>
      <c r="T117" s="44">
        <v>1050</v>
      </c>
      <c r="U117" s="44">
        <v>1125</v>
      </c>
      <c r="V117" s="62">
        <f t="shared" si="26"/>
        <v>1.0714285714285714</v>
      </c>
      <c r="W117" s="44">
        <v>800</v>
      </c>
      <c r="X117" s="44">
        <v>900</v>
      </c>
      <c r="Y117" s="62">
        <f t="shared" si="27"/>
        <v>1.125</v>
      </c>
      <c r="Z117" s="44">
        <v>600</v>
      </c>
      <c r="AA117" s="44">
        <v>738</v>
      </c>
      <c r="AB117" s="62">
        <f t="shared" si="28"/>
        <v>1.23</v>
      </c>
      <c r="AC117" s="44" t="s">
        <v>38</v>
      </c>
      <c r="AD117" s="44">
        <v>650</v>
      </c>
      <c r="AE117" s="44">
        <v>722</v>
      </c>
      <c r="AF117" s="62">
        <f t="shared" si="29"/>
        <v>1.1107692307692307</v>
      </c>
      <c r="AG117" s="44">
        <v>500</v>
      </c>
      <c r="AH117" s="44">
        <v>556</v>
      </c>
      <c r="AI117" s="62">
        <f t="shared" si="30"/>
        <v>1.1120000000000001</v>
      </c>
      <c r="AJ117" s="44" t="s">
        <v>38</v>
      </c>
      <c r="AK117" s="44">
        <v>400</v>
      </c>
      <c r="AL117" s="44">
        <v>471</v>
      </c>
      <c r="AM117" s="62">
        <f t="shared" si="31"/>
        <v>1.1775</v>
      </c>
      <c r="AN117" s="44" t="s">
        <v>38</v>
      </c>
      <c r="AO117" s="44">
        <v>350</v>
      </c>
      <c r="AP117" s="44">
        <v>437</v>
      </c>
      <c r="AQ117" s="62">
        <f t="shared" si="32"/>
        <v>1.2485714285714287</v>
      </c>
      <c r="AR117" s="44" t="s">
        <v>38</v>
      </c>
      <c r="AS117" s="44">
        <v>300</v>
      </c>
      <c r="AT117" s="44">
        <v>375</v>
      </c>
      <c r="AU117" s="62">
        <f t="shared" si="33"/>
        <v>1.25</v>
      </c>
      <c r="AV117" s="44" t="s">
        <v>38</v>
      </c>
      <c r="AW117" s="44">
        <v>150</v>
      </c>
      <c r="AX117" s="44">
        <v>200</v>
      </c>
      <c r="AY117" s="62">
        <f t="shared" si="34"/>
        <v>1.3333333333333333</v>
      </c>
      <c r="AZ117" s="44" t="s">
        <v>38</v>
      </c>
      <c r="BA117" s="44">
        <v>200</v>
      </c>
      <c r="BB117" s="44">
        <v>267</v>
      </c>
      <c r="BC117" s="62">
        <f t="shared" si="35"/>
        <v>1.335</v>
      </c>
      <c r="BD117" s="44">
        <v>250</v>
      </c>
      <c r="BE117" s="44">
        <v>250</v>
      </c>
      <c r="BF117" s="62">
        <f t="shared" si="36"/>
        <v>1</v>
      </c>
      <c r="BJ117" s="62" t="str">
        <f t="shared" si="37"/>
        <v/>
      </c>
      <c r="BM117" s="62" t="str">
        <f t="shared" si="38"/>
        <v/>
      </c>
      <c r="BQ117" s="62" t="str">
        <f t="shared" si="39"/>
        <v/>
      </c>
      <c r="BT117" s="62" t="str">
        <f t="shared" si="40"/>
        <v/>
      </c>
      <c r="BW117" s="62" t="str">
        <f t="shared" si="41"/>
        <v/>
      </c>
      <c r="CA117" s="62" t="str">
        <f t="shared" si="42"/>
        <v/>
      </c>
      <c r="CD117" s="62" t="str">
        <f t="shared" si="43"/>
        <v/>
      </c>
    </row>
    <row r="118" spans="1:82" x14ac:dyDescent="0.3">
      <c r="A118" s="49" t="s">
        <v>52</v>
      </c>
      <c r="B118" s="49" t="s">
        <v>104</v>
      </c>
      <c r="C118" s="44" t="s">
        <v>38</v>
      </c>
      <c r="F118" s="62" t="str">
        <f t="shared" si="22"/>
        <v/>
      </c>
      <c r="J118" s="62" t="str">
        <f t="shared" si="23"/>
        <v/>
      </c>
      <c r="N118" s="62" t="str">
        <f t="shared" si="24"/>
        <v/>
      </c>
      <c r="R118" s="62" t="str">
        <f t="shared" si="25"/>
        <v/>
      </c>
      <c r="V118" s="62" t="str">
        <f t="shared" si="26"/>
        <v/>
      </c>
      <c r="Y118" s="62" t="str">
        <f t="shared" si="27"/>
        <v/>
      </c>
      <c r="AB118" s="62" t="str">
        <f t="shared" si="28"/>
        <v/>
      </c>
      <c r="AF118" s="62" t="str">
        <f t="shared" si="29"/>
        <v/>
      </c>
      <c r="AI118" s="62" t="str">
        <f t="shared" si="30"/>
        <v/>
      </c>
      <c r="AM118" s="62" t="str">
        <f t="shared" si="31"/>
        <v/>
      </c>
      <c r="AQ118" s="62" t="str">
        <f t="shared" si="32"/>
        <v/>
      </c>
      <c r="AU118" s="62" t="str">
        <f t="shared" si="33"/>
        <v/>
      </c>
      <c r="AY118" s="62" t="str">
        <f t="shared" si="34"/>
        <v/>
      </c>
      <c r="BC118" s="62" t="str">
        <f t="shared" si="35"/>
        <v/>
      </c>
      <c r="BF118" s="62" t="str">
        <f t="shared" si="36"/>
        <v/>
      </c>
      <c r="BG118" s="44" t="s">
        <v>38</v>
      </c>
      <c r="BH118" s="44">
        <v>43</v>
      </c>
      <c r="BI118" s="44">
        <v>92</v>
      </c>
      <c r="BJ118" s="62">
        <f t="shared" si="37"/>
        <v>2.13953488372093</v>
      </c>
      <c r="BK118" s="44">
        <v>39</v>
      </c>
      <c r="BL118" s="44">
        <v>97</v>
      </c>
      <c r="BM118" s="62">
        <f t="shared" si="38"/>
        <v>2.4871794871794872</v>
      </c>
      <c r="BN118" s="44" t="s">
        <v>38</v>
      </c>
      <c r="BO118" s="44">
        <v>22</v>
      </c>
      <c r="BP118" s="44">
        <v>45</v>
      </c>
      <c r="BQ118" s="62">
        <f t="shared" si="39"/>
        <v>2.0454545454545454</v>
      </c>
      <c r="BR118" s="44">
        <v>29.5</v>
      </c>
      <c r="BS118" s="44">
        <v>76</v>
      </c>
      <c r="BT118" s="62">
        <f t="shared" si="40"/>
        <v>2.5762711864406778</v>
      </c>
      <c r="BU118" s="44">
        <v>18</v>
      </c>
      <c r="BV118" s="44">
        <v>28</v>
      </c>
      <c r="BW118" s="62">
        <f t="shared" si="41"/>
        <v>1.5555555555555556</v>
      </c>
      <c r="BX118" s="44" t="s">
        <v>38</v>
      </c>
      <c r="BY118" s="44">
        <v>45.25</v>
      </c>
      <c r="BZ118" s="44">
        <v>74</v>
      </c>
      <c r="CA118" s="62">
        <f t="shared" si="42"/>
        <v>1.6353591160220995</v>
      </c>
      <c r="CB118" s="44">
        <v>52</v>
      </c>
      <c r="CC118" s="44">
        <v>91</v>
      </c>
      <c r="CD118" s="62">
        <f t="shared" si="43"/>
        <v>1.75</v>
      </c>
    </row>
    <row r="119" spans="1:82" x14ac:dyDescent="0.3">
      <c r="A119" s="49" t="s">
        <v>31</v>
      </c>
      <c r="B119" s="49" t="s">
        <v>104</v>
      </c>
      <c r="C119" s="44" t="s">
        <v>38</v>
      </c>
      <c r="D119" s="44">
        <v>421</v>
      </c>
      <c r="E119" s="44">
        <v>750</v>
      </c>
      <c r="F119" s="62">
        <f t="shared" si="22"/>
        <v>1.7814726840855106</v>
      </c>
      <c r="G119" s="44" t="s">
        <v>38</v>
      </c>
      <c r="H119" s="44">
        <v>587</v>
      </c>
      <c r="I119" s="44">
        <v>743</v>
      </c>
      <c r="J119" s="62">
        <f t="shared" si="23"/>
        <v>1.2657580919931857</v>
      </c>
      <c r="K119" s="44" t="s">
        <v>38</v>
      </c>
      <c r="L119" s="44">
        <v>521</v>
      </c>
      <c r="M119" s="44">
        <v>855</v>
      </c>
      <c r="N119" s="62">
        <f t="shared" si="24"/>
        <v>1.6410748560460653</v>
      </c>
      <c r="O119" s="44" t="s">
        <v>38</v>
      </c>
      <c r="P119" s="44">
        <v>896</v>
      </c>
      <c r="Q119" s="44">
        <v>1654</v>
      </c>
      <c r="R119" s="62">
        <f t="shared" si="25"/>
        <v>1.8459821428571428</v>
      </c>
      <c r="S119" s="44" t="s">
        <v>38</v>
      </c>
      <c r="T119" s="44">
        <v>833</v>
      </c>
      <c r="U119" s="44">
        <v>1071</v>
      </c>
      <c r="V119" s="62">
        <f t="shared" si="26"/>
        <v>1.2857142857142858</v>
      </c>
      <c r="W119" s="44">
        <v>1000</v>
      </c>
      <c r="X119" s="44">
        <v>1500</v>
      </c>
      <c r="Y119" s="62">
        <f t="shared" si="27"/>
        <v>1.5</v>
      </c>
      <c r="Z119" s="44">
        <v>800</v>
      </c>
      <c r="AA119" s="44">
        <v>1182</v>
      </c>
      <c r="AB119" s="62">
        <f t="shared" si="28"/>
        <v>1.4775</v>
      </c>
      <c r="AC119" s="44" t="s">
        <v>38</v>
      </c>
      <c r="AD119" s="44">
        <v>600</v>
      </c>
      <c r="AE119" s="44">
        <v>800</v>
      </c>
      <c r="AF119" s="62">
        <f t="shared" si="29"/>
        <v>1.3333333333333333</v>
      </c>
      <c r="AG119" s="44">
        <v>458</v>
      </c>
      <c r="AH119" s="44">
        <v>611</v>
      </c>
      <c r="AI119" s="62">
        <f t="shared" si="30"/>
        <v>1.3340611353711791</v>
      </c>
      <c r="AJ119" s="44" t="s">
        <v>38</v>
      </c>
      <c r="AK119" s="44">
        <v>375</v>
      </c>
      <c r="AL119" s="44">
        <v>529</v>
      </c>
      <c r="AM119" s="62">
        <f t="shared" si="31"/>
        <v>1.4106666666666667</v>
      </c>
      <c r="AN119" s="44" t="s">
        <v>38</v>
      </c>
      <c r="AO119" s="44">
        <v>400</v>
      </c>
      <c r="AP119" s="44">
        <v>375</v>
      </c>
      <c r="AQ119" s="62">
        <f t="shared" si="32"/>
        <v>0.9375</v>
      </c>
      <c r="AR119" s="44" t="s">
        <v>38</v>
      </c>
      <c r="AS119" s="44">
        <v>600</v>
      </c>
      <c r="AT119" s="44">
        <v>562</v>
      </c>
      <c r="AU119" s="62">
        <f t="shared" si="33"/>
        <v>0.93666666666666665</v>
      </c>
      <c r="AV119" s="44" t="s">
        <v>38</v>
      </c>
      <c r="AW119" s="44">
        <v>400</v>
      </c>
      <c r="AX119" s="44">
        <v>400</v>
      </c>
      <c r="AY119" s="62">
        <f t="shared" si="34"/>
        <v>1</v>
      </c>
      <c r="AZ119" s="44" t="s">
        <v>38</v>
      </c>
      <c r="BA119" s="44">
        <v>300</v>
      </c>
      <c r="BB119" s="44">
        <v>300</v>
      </c>
      <c r="BC119" s="62">
        <f t="shared" si="35"/>
        <v>1</v>
      </c>
      <c r="BD119" s="44">
        <v>480</v>
      </c>
      <c r="BE119" s="44">
        <v>480</v>
      </c>
      <c r="BF119" s="62">
        <f t="shared" si="36"/>
        <v>1</v>
      </c>
      <c r="BJ119" s="62" t="str">
        <f t="shared" si="37"/>
        <v/>
      </c>
      <c r="BM119" s="62" t="str">
        <f t="shared" si="38"/>
        <v/>
      </c>
      <c r="BQ119" s="62" t="str">
        <f t="shared" si="39"/>
        <v/>
      </c>
      <c r="BT119" s="62" t="str">
        <f t="shared" si="40"/>
        <v/>
      </c>
      <c r="BW119" s="62" t="str">
        <f t="shared" si="41"/>
        <v/>
      </c>
      <c r="CA119" s="62" t="str">
        <f t="shared" si="42"/>
        <v/>
      </c>
      <c r="CD119" s="62" t="str">
        <f t="shared" si="43"/>
        <v/>
      </c>
    </row>
    <row r="120" spans="1:82" x14ac:dyDescent="0.3">
      <c r="A120" s="49" t="s">
        <v>32</v>
      </c>
      <c r="B120" s="49" t="s">
        <v>293</v>
      </c>
      <c r="C120" s="44" t="s">
        <v>37</v>
      </c>
      <c r="D120" s="44">
        <v>118</v>
      </c>
      <c r="E120" s="44">
        <v>1057</v>
      </c>
      <c r="F120" s="62">
        <f t="shared" si="22"/>
        <v>8.9576271186440675</v>
      </c>
      <c r="G120" s="44" t="s">
        <v>41</v>
      </c>
      <c r="H120" s="32">
        <v>329</v>
      </c>
      <c r="I120" s="32">
        <v>770</v>
      </c>
      <c r="J120" s="62">
        <f t="shared" si="23"/>
        <v>2.3404255319148937</v>
      </c>
      <c r="K120" s="44" t="s">
        <v>37</v>
      </c>
      <c r="L120" s="32">
        <v>430</v>
      </c>
      <c r="M120" s="32">
        <v>1029</v>
      </c>
      <c r="N120" s="62">
        <f t="shared" si="24"/>
        <v>2.3930232558139535</v>
      </c>
      <c r="O120" s="44" t="s">
        <v>37</v>
      </c>
      <c r="P120" s="44">
        <v>671</v>
      </c>
      <c r="Q120" s="44">
        <v>1731</v>
      </c>
      <c r="R120" s="62">
        <f t="shared" si="25"/>
        <v>2.5797317436661698</v>
      </c>
      <c r="S120" s="44" t="s">
        <v>37</v>
      </c>
      <c r="T120" s="44">
        <v>300</v>
      </c>
      <c r="U120" s="44">
        <v>1071</v>
      </c>
      <c r="V120" s="62">
        <f t="shared" si="26"/>
        <v>3.57</v>
      </c>
      <c r="W120" s="44">
        <v>250</v>
      </c>
      <c r="X120" s="44">
        <v>986</v>
      </c>
      <c r="Y120" s="62">
        <f t="shared" si="27"/>
        <v>3.944</v>
      </c>
      <c r="Z120" s="44">
        <v>227</v>
      </c>
      <c r="AA120" s="44">
        <v>831</v>
      </c>
      <c r="AB120" s="62">
        <f t="shared" si="28"/>
        <v>3.66079295154185</v>
      </c>
      <c r="AC120" s="44" t="s">
        <v>37</v>
      </c>
      <c r="AD120" s="44">
        <v>250</v>
      </c>
      <c r="AE120" s="44">
        <v>778</v>
      </c>
      <c r="AF120" s="62">
        <f t="shared" si="29"/>
        <v>3.1120000000000001</v>
      </c>
      <c r="AG120" s="44">
        <v>200</v>
      </c>
      <c r="AH120" s="44">
        <v>667</v>
      </c>
      <c r="AI120" s="62">
        <f t="shared" si="30"/>
        <v>3.335</v>
      </c>
      <c r="AJ120" s="44" t="s">
        <v>37</v>
      </c>
      <c r="AK120" s="44">
        <v>160</v>
      </c>
      <c r="AL120" s="44">
        <v>612</v>
      </c>
      <c r="AM120" s="62">
        <f t="shared" si="31"/>
        <v>3.8250000000000002</v>
      </c>
      <c r="AN120" s="44" t="s">
        <v>37</v>
      </c>
      <c r="AO120" s="44">
        <v>150</v>
      </c>
      <c r="AP120" s="44">
        <v>562</v>
      </c>
      <c r="AQ120" s="62">
        <f t="shared" si="32"/>
        <v>3.7466666666666666</v>
      </c>
      <c r="AR120" s="44" t="s">
        <v>37</v>
      </c>
      <c r="AS120" s="44">
        <v>200</v>
      </c>
      <c r="AT120" s="44">
        <v>750</v>
      </c>
      <c r="AU120" s="62">
        <f t="shared" si="33"/>
        <v>3.75</v>
      </c>
      <c r="AV120" s="44" t="s">
        <v>37</v>
      </c>
      <c r="AW120" s="44">
        <v>100</v>
      </c>
      <c r="AX120" s="44">
        <v>640</v>
      </c>
      <c r="AY120" s="62">
        <f t="shared" si="34"/>
        <v>6.4</v>
      </c>
      <c r="AZ120" s="44" t="s">
        <v>37</v>
      </c>
      <c r="BA120" s="44">
        <v>220</v>
      </c>
      <c r="BB120" s="44">
        <v>880</v>
      </c>
      <c r="BC120" s="62">
        <f t="shared" si="35"/>
        <v>4</v>
      </c>
      <c r="BD120" s="44">
        <v>1036</v>
      </c>
      <c r="BE120" s="44">
        <v>4144</v>
      </c>
      <c r="BF120" s="62">
        <f t="shared" si="36"/>
        <v>4</v>
      </c>
      <c r="BG120" s="44" t="s">
        <v>38</v>
      </c>
      <c r="BH120" s="44">
        <v>160</v>
      </c>
      <c r="BI120" s="44">
        <v>706</v>
      </c>
      <c r="BJ120" s="62">
        <f t="shared" si="37"/>
        <v>4.4124999999999996</v>
      </c>
      <c r="BK120" s="44">
        <v>84</v>
      </c>
      <c r="BL120" s="44">
        <v>462</v>
      </c>
      <c r="BM120" s="62">
        <f t="shared" si="38"/>
        <v>5.5</v>
      </c>
      <c r="BN120" s="44" t="s">
        <v>38</v>
      </c>
      <c r="BO120" s="44">
        <v>20</v>
      </c>
      <c r="BP120" s="44">
        <v>133</v>
      </c>
      <c r="BQ120" s="62">
        <f t="shared" si="39"/>
        <v>6.65</v>
      </c>
      <c r="BR120" s="44">
        <v>37.5</v>
      </c>
      <c r="BS120" s="44">
        <v>251</v>
      </c>
      <c r="BT120" s="62">
        <f t="shared" si="40"/>
        <v>6.6933333333333334</v>
      </c>
      <c r="BU120" s="44">
        <v>11.5</v>
      </c>
      <c r="BV120" s="44">
        <v>89</v>
      </c>
      <c r="BW120" s="62">
        <f t="shared" si="41"/>
        <v>7.7391304347826084</v>
      </c>
      <c r="BX120" s="44" t="s">
        <v>38</v>
      </c>
      <c r="BY120" s="44">
        <v>13.75</v>
      </c>
      <c r="BZ120" s="44">
        <v>99.5</v>
      </c>
      <c r="CA120" s="62">
        <f t="shared" si="42"/>
        <v>7.2363636363636363</v>
      </c>
      <c r="CB120" s="44">
        <v>22.75</v>
      </c>
      <c r="CC120" s="44">
        <v>151</v>
      </c>
      <c r="CD120" s="62">
        <f t="shared" si="43"/>
        <v>6.6373626373626378</v>
      </c>
    </row>
    <row r="121" spans="1:82" x14ac:dyDescent="0.3">
      <c r="A121" s="49" t="s">
        <v>33</v>
      </c>
      <c r="B121" s="49" t="s">
        <v>104</v>
      </c>
      <c r="C121" s="44" t="s">
        <v>38</v>
      </c>
      <c r="F121" s="62" t="str">
        <f t="shared" si="22"/>
        <v/>
      </c>
      <c r="H121" s="32"/>
      <c r="I121" s="32"/>
      <c r="J121" s="62" t="str">
        <f t="shared" si="23"/>
        <v/>
      </c>
      <c r="N121" s="62" t="str">
        <f t="shared" si="24"/>
        <v/>
      </c>
      <c r="R121" s="62" t="str">
        <f t="shared" si="25"/>
        <v/>
      </c>
      <c r="V121" s="62" t="str">
        <f t="shared" si="26"/>
        <v/>
      </c>
      <c r="Y121" s="62" t="str">
        <f t="shared" si="27"/>
        <v/>
      </c>
      <c r="AB121" s="62" t="str">
        <f t="shared" si="28"/>
        <v/>
      </c>
      <c r="AF121" s="62" t="str">
        <f t="shared" si="29"/>
        <v/>
      </c>
      <c r="AI121" s="62" t="str">
        <f t="shared" si="30"/>
        <v/>
      </c>
      <c r="AM121" s="62" t="str">
        <f t="shared" si="31"/>
        <v/>
      </c>
      <c r="AQ121" s="62" t="str">
        <f t="shared" si="32"/>
        <v/>
      </c>
      <c r="AU121" s="62" t="str">
        <f t="shared" si="33"/>
        <v/>
      </c>
      <c r="AY121" s="62" t="str">
        <f t="shared" si="34"/>
        <v/>
      </c>
      <c r="BC121" s="62" t="str">
        <f t="shared" si="35"/>
        <v/>
      </c>
      <c r="BF121" s="62" t="str">
        <f t="shared" si="36"/>
        <v/>
      </c>
      <c r="BG121" s="44" t="s">
        <v>38</v>
      </c>
      <c r="BH121" s="44">
        <v>15</v>
      </c>
      <c r="BI121" s="44">
        <v>12</v>
      </c>
      <c r="BJ121" s="62">
        <f t="shared" si="37"/>
        <v>0.8</v>
      </c>
      <c r="BM121" s="62" t="str">
        <f t="shared" si="38"/>
        <v/>
      </c>
      <c r="BQ121" s="62" t="str">
        <f t="shared" si="39"/>
        <v/>
      </c>
      <c r="BT121" s="62" t="str">
        <f t="shared" si="40"/>
        <v/>
      </c>
      <c r="BW121" s="62" t="str">
        <f t="shared" si="41"/>
        <v/>
      </c>
      <c r="CA121" s="62" t="str">
        <f t="shared" si="42"/>
        <v/>
      </c>
      <c r="CD121" s="62" t="str">
        <f t="shared" si="43"/>
        <v/>
      </c>
    </row>
    <row r="122" spans="1:82" x14ac:dyDescent="0.3">
      <c r="A122" s="49" t="s">
        <v>2</v>
      </c>
      <c r="B122" s="49" t="s">
        <v>104</v>
      </c>
      <c r="C122" s="44" t="s">
        <v>38</v>
      </c>
      <c r="D122" s="44">
        <v>20714</v>
      </c>
      <c r="E122" s="44">
        <v>17143</v>
      </c>
      <c r="F122" s="62">
        <f t="shared" si="22"/>
        <v>0.82760451868301632</v>
      </c>
      <c r="G122" s="44" t="s">
        <v>38</v>
      </c>
      <c r="H122" s="32">
        <v>24643</v>
      </c>
      <c r="I122" s="32">
        <v>16607</v>
      </c>
      <c r="J122" s="62">
        <f t="shared" si="23"/>
        <v>0.67390333969078442</v>
      </c>
      <c r="K122" s="44" t="s">
        <v>38</v>
      </c>
      <c r="L122" s="32">
        <v>18000</v>
      </c>
      <c r="M122" s="32">
        <v>14769</v>
      </c>
      <c r="N122" s="62">
        <f t="shared" si="24"/>
        <v>0.82050000000000001</v>
      </c>
      <c r="O122" s="44" t="s">
        <v>38</v>
      </c>
      <c r="P122" s="44">
        <v>19000</v>
      </c>
      <c r="Q122" s="44">
        <v>14615</v>
      </c>
      <c r="R122" s="62">
        <f t="shared" si="25"/>
        <v>0.76921052631578946</v>
      </c>
      <c r="S122" s="44" t="s">
        <v>38</v>
      </c>
      <c r="T122" s="44">
        <v>15700</v>
      </c>
      <c r="U122" s="44">
        <v>11357</v>
      </c>
      <c r="V122" s="62">
        <f t="shared" si="26"/>
        <v>0.72337579617834391</v>
      </c>
      <c r="W122" s="44">
        <v>2700</v>
      </c>
      <c r="X122" s="44">
        <v>1750</v>
      </c>
      <c r="Y122" s="62">
        <f t="shared" si="27"/>
        <v>0.64814814814814814</v>
      </c>
      <c r="Z122" s="44">
        <v>6800</v>
      </c>
      <c r="AA122" s="44">
        <v>4369</v>
      </c>
      <c r="AB122" s="62">
        <f t="shared" si="28"/>
        <v>0.64249999999999996</v>
      </c>
      <c r="AC122" s="44" t="s">
        <v>38</v>
      </c>
      <c r="AD122" s="44">
        <v>6900</v>
      </c>
      <c r="AE122" s="44">
        <v>4721</v>
      </c>
      <c r="AF122" s="62">
        <f t="shared" si="29"/>
        <v>0.68420289855072469</v>
      </c>
      <c r="AG122" s="44">
        <v>7050</v>
      </c>
      <c r="AH122" s="44">
        <v>5000</v>
      </c>
      <c r="AI122" s="62">
        <f t="shared" si="30"/>
        <v>0.70921985815602839</v>
      </c>
      <c r="AM122" s="62" t="str">
        <f t="shared" si="31"/>
        <v/>
      </c>
      <c r="AN122" s="44" t="s">
        <v>38</v>
      </c>
      <c r="AO122" s="44">
        <v>2300</v>
      </c>
      <c r="AP122" s="44">
        <v>2944</v>
      </c>
      <c r="AQ122" s="62">
        <f t="shared" si="32"/>
        <v>1.28</v>
      </c>
      <c r="AR122" s="44" t="s">
        <v>38</v>
      </c>
      <c r="AS122" s="44">
        <v>1300</v>
      </c>
      <c r="AT122" s="44">
        <v>1706</v>
      </c>
      <c r="AU122" s="62">
        <f t="shared" si="33"/>
        <v>1.3123076923076924</v>
      </c>
      <c r="AV122" s="44" t="s">
        <v>38</v>
      </c>
      <c r="AW122" s="44">
        <v>1552</v>
      </c>
      <c r="AX122" s="44">
        <v>1900</v>
      </c>
      <c r="AY122" s="62">
        <f t="shared" si="34"/>
        <v>1.2242268041237114</v>
      </c>
      <c r="AZ122" s="44" t="s">
        <v>38</v>
      </c>
      <c r="BA122" s="54">
        <v>3750</v>
      </c>
      <c r="BB122" s="44">
        <v>3450</v>
      </c>
      <c r="BC122" s="62">
        <f t="shared" si="35"/>
        <v>0.92</v>
      </c>
      <c r="BF122" s="62" t="str">
        <f t="shared" si="36"/>
        <v/>
      </c>
      <c r="BG122" s="44" t="s">
        <v>38</v>
      </c>
      <c r="BH122" s="44">
        <v>668</v>
      </c>
      <c r="BI122" s="44">
        <v>1981</v>
      </c>
      <c r="BJ122" s="62">
        <f t="shared" si="37"/>
        <v>2.965568862275449</v>
      </c>
      <c r="BK122" s="44">
        <v>752</v>
      </c>
      <c r="BL122" s="44">
        <v>1549</v>
      </c>
      <c r="BM122" s="62">
        <f t="shared" si="38"/>
        <v>2.0598404255319149</v>
      </c>
      <c r="BQ122" s="62" t="str">
        <f t="shared" si="39"/>
        <v/>
      </c>
      <c r="BT122" s="62" t="str">
        <f t="shared" si="40"/>
        <v/>
      </c>
      <c r="BW122" s="62" t="str">
        <f t="shared" si="41"/>
        <v/>
      </c>
      <c r="CA122" s="62" t="str">
        <f t="shared" si="42"/>
        <v/>
      </c>
      <c r="CD122" s="62" t="str">
        <f t="shared" si="43"/>
        <v/>
      </c>
    </row>
    <row r="123" spans="1:82" x14ac:dyDescent="0.3">
      <c r="A123" s="49" t="s">
        <v>269</v>
      </c>
      <c r="B123" s="49" t="s">
        <v>104</v>
      </c>
      <c r="C123" s="44" t="s">
        <v>38</v>
      </c>
      <c r="F123" s="62" t="str">
        <f t="shared" si="22"/>
        <v/>
      </c>
      <c r="H123" s="32"/>
      <c r="I123" s="32"/>
      <c r="J123" s="62" t="str">
        <f t="shared" si="23"/>
        <v/>
      </c>
      <c r="L123" s="32"/>
      <c r="M123" s="32"/>
      <c r="N123" s="62" t="str">
        <f t="shared" si="24"/>
        <v/>
      </c>
      <c r="R123" s="62" t="str">
        <f t="shared" si="25"/>
        <v/>
      </c>
      <c r="V123" s="62" t="str">
        <f t="shared" si="26"/>
        <v/>
      </c>
      <c r="Y123" s="62" t="str">
        <f t="shared" si="27"/>
        <v/>
      </c>
      <c r="AB123" s="62" t="str">
        <f t="shared" si="28"/>
        <v/>
      </c>
      <c r="AF123" s="62" t="str">
        <f t="shared" si="29"/>
        <v/>
      </c>
      <c r="AI123" s="62" t="str">
        <f t="shared" si="30"/>
        <v/>
      </c>
      <c r="AM123" s="62" t="str">
        <f t="shared" si="31"/>
        <v/>
      </c>
      <c r="AQ123" s="62" t="str">
        <f t="shared" si="32"/>
        <v/>
      </c>
      <c r="AU123" s="62" t="str">
        <f t="shared" si="33"/>
        <v/>
      </c>
      <c r="AY123" s="62" t="str">
        <f t="shared" si="34"/>
        <v/>
      </c>
      <c r="BA123" s="32"/>
      <c r="BC123" s="62" t="str">
        <f t="shared" si="35"/>
        <v/>
      </c>
      <c r="BF123" s="62" t="str">
        <f t="shared" si="36"/>
        <v/>
      </c>
      <c r="BG123" s="44" t="s">
        <v>38</v>
      </c>
      <c r="BH123" s="44">
        <v>5</v>
      </c>
      <c r="BI123" s="44">
        <v>37</v>
      </c>
      <c r="BJ123" s="62">
        <f t="shared" si="37"/>
        <v>7.4</v>
      </c>
      <c r="BK123" s="44">
        <v>44</v>
      </c>
      <c r="BL123" s="44">
        <v>214</v>
      </c>
      <c r="BM123" s="62">
        <f t="shared" si="38"/>
        <v>4.8636363636363633</v>
      </c>
      <c r="BN123" s="44" t="s">
        <v>38</v>
      </c>
      <c r="BO123" s="44">
        <v>121</v>
      </c>
      <c r="BP123" s="44">
        <v>503</v>
      </c>
      <c r="BQ123" s="62">
        <f t="shared" si="39"/>
        <v>4.1570247933884295</v>
      </c>
      <c r="BR123" s="44">
        <v>1.5</v>
      </c>
      <c r="BS123" s="44">
        <v>25</v>
      </c>
      <c r="BT123" s="62">
        <f t="shared" si="40"/>
        <v>16.666666666666668</v>
      </c>
      <c r="BU123" s="44">
        <v>2</v>
      </c>
      <c r="BV123" s="44">
        <v>68</v>
      </c>
      <c r="BW123" s="62">
        <f t="shared" si="41"/>
        <v>34</v>
      </c>
      <c r="BX123" s="44" t="s">
        <v>38</v>
      </c>
      <c r="BY123" s="44">
        <v>0.25</v>
      </c>
      <c r="BZ123" s="44">
        <v>7</v>
      </c>
      <c r="CA123" s="62">
        <f t="shared" si="42"/>
        <v>28</v>
      </c>
      <c r="CB123" s="44">
        <v>1.25</v>
      </c>
      <c r="CC123" s="44">
        <v>15</v>
      </c>
      <c r="CD123" s="62">
        <f t="shared" si="43"/>
        <v>12</v>
      </c>
    </row>
    <row r="124" spans="1:82" x14ac:dyDescent="0.3">
      <c r="A124" s="49" t="s">
        <v>274</v>
      </c>
      <c r="B124" s="49" t="s">
        <v>104</v>
      </c>
      <c r="C124" s="44" t="s">
        <v>38</v>
      </c>
      <c r="F124" s="62" t="str">
        <f t="shared" si="22"/>
        <v/>
      </c>
      <c r="H124" s="32"/>
      <c r="I124" s="32"/>
      <c r="J124" s="62" t="str">
        <f t="shared" si="23"/>
        <v/>
      </c>
      <c r="L124" s="32"/>
      <c r="M124" s="32"/>
      <c r="N124" s="62" t="str">
        <f t="shared" si="24"/>
        <v/>
      </c>
      <c r="R124" s="62" t="str">
        <f t="shared" si="25"/>
        <v/>
      </c>
      <c r="V124" s="62" t="str">
        <f t="shared" si="26"/>
        <v/>
      </c>
      <c r="Y124" s="62" t="str">
        <f t="shared" si="27"/>
        <v/>
      </c>
      <c r="AB124" s="62" t="str">
        <f t="shared" si="28"/>
        <v/>
      </c>
      <c r="AF124" s="62" t="str">
        <f t="shared" si="29"/>
        <v/>
      </c>
      <c r="AI124" s="62" t="str">
        <f t="shared" si="30"/>
        <v/>
      </c>
      <c r="AM124" s="62" t="str">
        <f t="shared" si="31"/>
        <v/>
      </c>
      <c r="AQ124" s="62" t="str">
        <f t="shared" si="32"/>
        <v/>
      </c>
      <c r="AU124" s="62" t="str">
        <f t="shared" si="33"/>
        <v/>
      </c>
      <c r="AY124" s="62" t="str">
        <f t="shared" si="34"/>
        <v/>
      </c>
      <c r="BA124" s="32"/>
      <c r="BC124" s="62" t="str">
        <f t="shared" si="35"/>
        <v/>
      </c>
      <c r="BF124" s="62" t="str">
        <f t="shared" si="36"/>
        <v/>
      </c>
      <c r="BJ124" s="62" t="str">
        <f t="shared" si="37"/>
        <v/>
      </c>
      <c r="BM124" s="62" t="str">
        <f t="shared" si="38"/>
        <v/>
      </c>
      <c r="BN124" s="44" t="s">
        <v>38</v>
      </c>
      <c r="BO124" s="44">
        <v>748</v>
      </c>
      <c r="BP124" s="44">
        <v>2444</v>
      </c>
      <c r="BQ124" s="62">
        <f t="shared" si="39"/>
        <v>3.2673796791443852</v>
      </c>
      <c r="BR124" s="44">
        <v>332</v>
      </c>
      <c r="BS124" s="44">
        <v>1007</v>
      </c>
      <c r="BT124" s="62">
        <f t="shared" si="40"/>
        <v>3.0331325301204819</v>
      </c>
      <c r="BU124" s="44">
        <v>838</v>
      </c>
      <c r="BV124" s="44">
        <v>2476</v>
      </c>
      <c r="BW124" s="62">
        <f t="shared" si="41"/>
        <v>2.9546539379474939</v>
      </c>
      <c r="BX124" s="44" t="s">
        <v>38</v>
      </c>
      <c r="BY124" s="44">
        <v>846.25</v>
      </c>
      <c r="BZ124" s="44">
        <v>2841</v>
      </c>
      <c r="CA124" s="62">
        <f t="shared" si="42"/>
        <v>3.3571639586410633</v>
      </c>
      <c r="CB124" s="44">
        <v>618</v>
      </c>
      <c r="CC124" s="44">
        <v>1923.5</v>
      </c>
      <c r="CD124" s="62">
        <f t="shared" si="43"/>
        <v>3.1124595469255665</v>
      </c>
    </row>
    <row r="125" spans="1:82" x14ac:dyDescent="0.3">
      <c r="A125" s="49" t="s">
        <v>273</v>
      </c>
      <c r="B125" s="49" t="s">
        <v>104</v>
      </c>
      <c r="C125" s="44" t="s">
        <v>38</v>
      </c>
      <c r="F125" s="62" t="str">
        <f>IFERROR(E125/D125,"")</f>
        <v/>
      </c>
      <c r="H125" s="32"/>
      <c r="I125" s="32"/>
      <c r="J125" s="62" t="str">
        <f>IFERROR(I125/H125,"")</f>
        <v/>
      </c>
      <c r="L125" s="32"/>
      <c r="M125" s="32"/>
      <c r="N125" s="62" t="str">
        <f>IFERROR(M125/L125,"")</f>
        <v/>
      </c>
      <c r="R125" s="62" t="str">
        <f>IFERROR(Q125/P125,"")</f>
        <v/>
      </c>
      <c r="V125" s="62" t="str">
        <f>IFERROR(U125/T125,"")</f>
        <v/>
      </c>
      <c r="Y125" s="62" t="str">
        <f>IFERROR(X125/W125,"")</f>
        <v/>
      </c>
      <c r="AB125" s="62" t="str">
        <f>IFERROR(AA125/Z125,"")</f>
        <v/>
      </c>
      <c r="AF125" s="62" t="str">
        <f>IFERROR(AE125/AD125,"")</f>
        <v/>
      </c>
      <c r="AI125" s="62" t="str">
        <f>IFERROR(AH125/AG125,"")</f>
        <v/>
      </c>
      <c r="AJ125" s="44" t="s">
        <v>38</v>
      </c>
      <c r="AK125" s="44">
        <v>2980</v>
      </c>
      <c r="AL125" s="44">
        <v>3139</v>
      </c>
      <c r="AM125" s="62">
        <f>IFERROR(AL125/AK125,"")</f>
        <v>1.0533557046979867</v>
      </c>
      <c r="AQ125" s="62" t="str">
        <f>IFERROR(AP125/AO125,"")</f>
        <v/>
      </c>
      <c r="AU125" s="62" t="str">
        <f>IFERROR(AT125/AS125,"")</f>
        <v/>
      </c>
      <c r="AY125" s="62" t="str">
        <f>IFERROR(AX125/AW125,"")</f>
        <v/>
      </c>
      <c r="BC125" s="62" t="str">
        <f>IFERROR(BB125/BA125,"")</f>
        <v/>
      </c>
      <c r="BF125" s="62" t="str">
        <f>IFERROR(BE125/BD125,"")</f>
        <v/>
      </c>
      <c r="BJ125" s="62" t="str">
        <f>IFERROR(BI125/BH125,"")</f>
        <v/>
      </c>
      <c r="BM125" s="62" t="str">
        <f>IFERROR(BL125/BK125,"")</f>
        <v/>
      </c>
      <c r="BQ125" s="62" t="str">
        <f>IFERROR(BP125/BO125,"")</f>
        <v/>
      </c>
      <c r="BT125" s="62" t="str">
        <f>IFERROR(BS125/BR125,"")</f>
        <v/>
      </c>
      <c r="BW125" s="62" t="str">
        <f>IFERROR(BV125/BU125,"")</f>
        <v/>
      </c>
      <c r="CA125" s="62" t="str">
        <f>IFERROR(BZ125/BY125,"")</f>
        <v/>
      </c>
      <c r="CD125" s="62" t="str">
        <f>IFERROR(CC125/CB125,"")</f>
        <v/>
      </c>
    </row>
    <row r="126" spans="1:82" x14ac:dyDescent="0.3">
      <c r="A126" s="49" t="s">
        <v>55</v>
      </c>
      <c r="B126" s="49" t="s">
        <v>104</v>
      </c>
      <c r="C126" s="44" t="s">
        <v>38</v>
      </c>
      <c r="F126" s="62" t="str">
        <f t="shared" ref="F126:F132" si="44">IFERROR(E126/D126,"")</f>
        <v/>
      </c>
      <c r="J126" s="62" t="str">
        <f t="shared" ref="J126:J132" si="45">IFERROR(I126/H126,"")</f>
        <v/>
      </c>
      <c r="N126" s="62" t="str">
        <f t="shared" ref="N126:N132" si="46">IFERROR(M126/L126,"")</f>
        <v/>
      </c>
      <c r="R126" s="62" t="str">
        <f t="shared" ref="R126:R132" si="47">IFERROR(Q126/P126,"")</f>
        <v/>
      </c>
      <c r="V126" s="62" t="str">
        <f t="shared" ref="V126:V132" si="48">IFERROR(U126/T126,"")</f>
        <v/>
      </c>
      <c r="Y126" s="62" t="str">
        <f t="shared" ref="Y126:Y132" si="49">IFERROR(X126/W126,"")</f>
        <v/>
      </c>
      <c r="AB126" s="62" t="str">
        <f t="shared" ref="AB126:AB132" si="50">IFERROR(AA126/Z126,"")</f>
        <v/>
      </c>
      <c r="AF126" s="62" t="str">
        <f t="shared" ref="AF126:AF132" si="51">IFERROR(AE126/AD126,"")</f>
        <v/>
      </c>
      <c r="AI126" s="62" t="str">
        <f t="shared" ref="AI126:AI132" si="52">IFERROR(AH126/AG126,"")</f>
        <v/>
      </c>
      <c r="AM126" s="62" t="str">
        <f t="shared" ref="AM126:AM132" si="53">IFERROR(AL126/AK126,"")</f>
        <v/>
      </c>
      <c r="AQ126" s="62" t="str">
        <f t="shared" ref="AQ126:AQ132" si="54">IFERROR(AP126/AO126,"")</f>
        <v/>
      </c>
      <c r="AU126" s="62" t="str">
        <f t="shared" ref="AU126:AU132" si="55">IFERROR(AT126/AS126,"")</f>
        <v/>
      </c>
      <c r="AY126" s="62" t="str">
        <f t="shared" ref="AY126:AY132" si="56">IFERROR(AX126/AW126,"")</f>
        <v/>
      </c>
      <c r="BC126" s="62" t="str">
        <f t="shared" ref="BC126:BC132" si="57">IFERROR(BB126/BA126,"")</f>
        <v/>
      </c>
      <c r="BF126" s="62" t="str">
        <f t="shared" ref="BF126:BF132" si="58">IFERROR(BE126/BD126,"")</f>
        <v/>
      </c>
      <c r="BG126" s="44" t="s">
        <v>38</v>
      </c>
      <c r="BJ126" s="62" t="str">
        <f t="shared" ref="BJ126:BJ132" si="59">IFERROR(BI126/BH126,"")</f>
        <v/>
      </c>
      <c r="BK126" s="44">
        <v>604</v>
      </c>
      <c r="BL126" s="44">
        <v>448</v>
      </c>
      <c r="BM126" s="62">
        <f t="shared" ref="BM126:BM132" si="60">IFERROR(BL126/BK126,"")</f>
        <v>0.74172185430463577</v>
      </c>
      <c r="BN126" s="44" t="s">
        <v>38</v>
      </c>
      <c r="BQ126" s="62" t="str">
        <f t="shared" ref="BQ126:BQ132" si="61">IFERROR(BP126/BO126,"")</f>
        <v/>
      </c>
      <c r="BR126" s="44">
        <v>148.75</v>
      </c>
      <c r="BS126" s="44">
        <v>24</v>
      </c>
      <c r="BT126" s="62">
        <f t="shared" ref="BT126:BT132" si="62">IFERROR(BS126/BR126,"")</f>
        <v>0.16134453781512606</v>
      </c>
      <c r="BU126" s="44">
        <v>112</v>
      </c>
      <c r="BV126" s="44">
        <v>53</v>
      </c>
      <c r="BW126" s="62">
        <f t="shared" ref="BW126:BW132" si="63">IFERROR(BV126/BU126,"")</f>
        <v>0.4732142857142857</v>
      </c>
      <c r="BX126" s="44" t="s">
        <v>38</v>
      </c>
      <c r="BY126" s="44">
        <v>569</v>
      </c>
      <c r="BZ126" s="44">
        <v>201</v>
      </c>
      <c r="CA126" s="62">
        <f t="shared" ref="CA126:CA132" si="64">IFERROR(BZ126/BY126,"")</f>
        <v>0.35325131810193322</v>
      </c>
      <c r="CB126" s="44">
        <v>1060.5</v>
      </c>
      <c r="CC126" s="44">
        <v>405</v>
      </c>
      <c r="CD126" s="62">
        <f t="shared" ref="CD126:CD132" si="65">IFERROR(CC126/CB126,"")</f>
        <v>0.38189533239038187</v>
      </c>
    </row>
    <row r="127" spans="1:82" x14ac:dyDescent="0.3">
      <c r="A127" s="49" t="s">
        <v>53</v>
      </c>
      <c r="B127" s="49" t="s">
        <v>112</v>
      </c>
      <c r="C127" s="44" t="s">
        <v>34</v>
      </c>
      <c r="F127" s="62" t="str">
        <f t="shared" si="44"/>
        <v/>
      </c>
      <c r="H127" s="32"/>
      <c r="I127" s="32"/>
      <c r="J127" s="62" t="str">
        <f t="shared" si="45"/>
        <v/>
      </c>
      <c r="L127" s="32"/>
      <c r="M127" s="32"/>
      <c r="N127" s="62" t="str">
        <f t="shared" si="46"/>
        <v/>
      </c>
      <c r="R127" s="62" t="str">
        <f t="shared" si="47"/>
        <v/>
      </c>
      <c r="V127" s="62" t="str">
        <f t="shared" si="48"/>
        <v/>
      </c>
      <c r="Y127" s="62" t="str">
        <f t="shared" si="49"/>
        <v/>
      </c>
      <c r="AB127" s="62" t="str">
        <f t="shared" si="50"/>
        <v/>
      </c>
      <c r="AF127" s="62" t="str">
        <f t="shared" si="51"/>
        <v/>
      </c>
      <c r="AI127" s="62" t="str">
        <f t="shared" si="52"/>
        <v/>
      </c>
      <c r="AM127" s="62" t="str">
        <f t="shared" si="53"/>
        <v/>
      </c>
      <c r="AQ127" s="62" t="str">
        <f t="shared" si="54"/>
        <v/>
      </c>
      <c r="AU127" s="62" t="str">
        <f t="shared" si="55"/>
        <v/>
      </c>
      <c r="AY127" s="62" t="str">
        <f t="shared" si="56"/>
        <v/>
      </c>
      <c r="BC127" s="62" t="str">
        <f t="shared" si="57"/>
        <v/>
      </c>
      <c r="BF127" s="62" t="str">
        <f t="shared" si="58"/>
        <v/>
      </c>
      <c r="BG127" s="44" t="s">
        <v>34</v>
      </c>
      <c r="BH127" s="44">
        <v>5</v>
      </c>
      <c r="BI127" s="44">
        <v>4</v>
      </c>
      <c r="BJ127" s="62">
        <f t="shared" si="59"/>
        <v>0.8</v>
      </c>
      <c r="BK127" s="44">
        <v>8</v>
      </c>
      <c r="BL127" s="44">
        <v>8</v>
      </c>
      <c r="BM127" s="62">
        <f t="shared" si="60"/>
        <v>1</v>
      </c>
      <c r="BN127" s="44" t="s">
        <v>34</v>
      </c>
      <c r="BO127" s="44">
        <v>16</v>
      </c>
      <c r="BP127" s="44">
        <v>11</v>
      </c>
      <c r="BQ127" s="62">
        <f t="shared" si="61"/>
        <v>0.6875</v>
      </c>
      <c r="BR127" s="44">
        <v>4</v>
      </c>
      <c r="BS127" s="44">
        <v>2</v>
      </c>
      <c r="BT127" s="62">
        <f t="shared" si="62"/>
        <v>0.5</v>
      </c>
      <c r="BU127" s="44">
        <v>6</v>
      </c>
      <c r="BV127" s="44">
        <v>8</v>
      </c>
      <c r="BW127" s="62">
        <f t="shared" si="63"/>
        <v>1.3333333333333333</v>
      </c>
      <c r="BX127" s="44" t="s">
        <v>34</v>
      </c>
      <c r="BY127" s="44">
        <v>21</v>
      </c>
      <c r="BZ127" s="44">
        <v>15</v>
      </c>
      <c r="CA127" s="62">
        <f t="shared" si="64"/>
        <v>0.7142857142857143</v>
      </c>
      <c r="CB127" s="44">
        <v>16</v>
      </c>
      <c r="CC127" s="44">
        <v>6</v>
      </c>
      <c r="CD127" s="62">
        <f t="shared" si="65"/>
        <v>0.375</v>
      </c>
    </row>
    <row r="128" spans="1:82" x14ac:dyDescent="0.3">
      <c r="A128" s="49" t="s">
        <v>54</v>
      </c>
      <c r="B128" s="49" t="s">
        <v>104</v>
      </c>
      <c r="C128" s="44" t="s">
        <v>38</v>
      </c>
      <c r="F128" s="62" t="str">
        <f t="shared" si="44"/>
        <v/>
      </c>
      <c r="H128" s="32"/>
      <c r="I128" s="32"/>
      <c r="J128" s="62" t="str">
        <f t="shared" si="45"/>
        <v/>
      </c>
      <c r="L128" s="32"/>
      <c r="M128" s="32"/>
      <c r="N128" s="62" t="str">
        <f t="shared" si="46"/>
        <v/>
      </c>
      <c r="R128" s="62" t="str">
        <f t="shared" si="47"/>
        <v/>
      </c>
      <c r="V128" s="62" t="str">
        <f t="shared" si="48"/>
        <v/>
      </c>
      <c r="Y128" s="62" t="str">
        <f t="shared" si="49"/>
        <v/>
      </c>
      <c r="AB128" s="62" t="str">
        <f t="shared" si="50"/>
        <v/>
      </c>
      <c r="AF128" s="62" t="str">
        <f t="shared" si="51"/>
        <v/>
      </c>
      <c r="AI128" s="62" t="str">
        <f t="shared" si="52"/>
        <v/>
      </c>
      <c r="AM128" s="62" t="str">
        <f t="shared" si="53"/>
        <v/>
      </c>
      <c r="AQ128" s="62" t="str">
        <f t="shared" si="54"/>
        <v/>
      </c>
      <c r="AU128" s="62" t="str">
        <f t="shared" si="55"/>
        <v/>
      </c>
      <c r="AY128" s="62" t="str">
        <f t="shared" si="56"/>
        <v/>
      </c>
      <c r="BC128" s="62" t="str">
        <f t="shared" si="57"/>
        <v/>
      </c>
      <c r="BF128" s="62" t="str">
        <f t="shared" si="58"/>
        <v/>
      </c>
      <c r="BG128" s="44" t="s">
        <v>38</v>
      </c>
      <c r="BJ128" s="62" t="str">
        <f t="shared" si="59"/>
        <v/>
      </c>
      <c r="BK128" s="44">
        <v>31</v>
      </c>
      <c r="BL128" s="44">
        <v>28</v>
      </c>
      <c r="BM128" s="62">
        <f t="shared" si="60"/>
        <v>0.90322580645161288</v>
      </c>
      <c r="BN128" s="44" t="s">
        <v>38</v>
      </c>
      <c r="BO128" s="44">
        <v>104</v>
      </c>
      <c r="BP128" s="44">
        <v>176</v>
      </c>
      <c r="BQ128" s="62">
        <f t="shared" si="61"/>
        <v>1.6923076923076923</v>
      </c>
      <c r="BT128" s="62" t="str">
        <f t="shared" si="62"/>
        <v/>
      </c>
      <c r="BU128" s="44">
        <v>0.25</v>
      </c>
      <c r="BV128" s="44">
        <v>0.5</v>
      </c>
      <c r="BW128" s="62">
        <f t="shared" si="63"/>
        <v>2</v>
      </c>
      <c r="BX128" s="44" t="s">
        <v>38</v>
      </c>
      <c r="BY128" s="44">
        <v>23.25</v>
      </c>
      <c r="BZ128" s="44">
        <v>23.5</v>
      </c>
      <c r="CA128" s="62">
        <f t="shared" si="64"/>
        <v>1.010752688172043</v>
      </c>
      <c r="CD128" s="62" t="str">
        <f t="shared" si="65"/>
        <v/>
      </c>
    </row>
    <row r="129" spans="1:82" x14ac:dyDescent="0.3">
      <c r="A129" s="49" t="s">
        <v>270</v>
      </c>
      <c r="B129" s="49" t="s">
        <v>322</v>
      </c>
      <c r="C129" s="44" t="s">
        <v>40</v>
      </c>
      <c r="D129" s="44">
        <v>185</v>
      </c>
      <c r="E129" s="44">
        <v>15707</v>
      </c>
      <c r="F129" s="62">
        <f t="shared" si="44"/>
        <v>84.902702702702697</v>
      </c>
      <c r="G129" s="44" t="s">
        <v>40</v>
      </c>
      <c r="H129" s="32">
        <v>230</v>
      </c>
      <c r="I129" s="32">
        <v>19294</v>
      </c>
      <c r="J129" s="62">
        <f t="shared" si="45"/>
        <v>83.886956521739137</v>
      </c>
      <c r="K129" s="44" t="s">
        <v>40</v>
      </c>
      <c r="L129" s="32">
        <v>240</v>
      </c>
      <c r="M129" s="32">
        <v>16376</v>
      </c>
      <c r="N129" s="62">
        <f t="shared" si="46"/>
        <v>68.233333333333334</v>
      </c>
      <c r="O129" s="44" t="s">
        <v>40</v>
      </c>
      <c r="P129" s="44">
        <v>253</v>
      </c>
      <c r="Q129" s="44">
        <v>14077</v>
      </c>
      <c r="R129" s="62">
        <f t="shared" si="47"/>
        <v>55.640316205533594</v>
      </c>
      <c r="S129" s="44" t="s">
        <v>40</v>
      </c>
      <c r="T129" s="44">
        <v>150</v>
      </c>
      <c r="U129" s="44">
        <v>7536</v>
      </c>
      <c r="V129" s="62">
        <f t="shared" si="48"/>
        <v>50.24</v>
      </c>
      <c r="W129" s="44">
        <v>90</v>
      </c>
      <c r="X129" s="44">
        <v>6375</v>
      </c>
      <c r="Y129" s="62">
        <f t="shared" si="49"/>
        <v>70.833333333333329</v>
      </c>
      <c r="Z129" s="44">
        <v>95</v>
      </c>
      <c r="AA129" s="44">
        <v>5846</v>
      </c>
      <c r="AB129" s="62">
        <f t="shared" si="50"/>
        <v>61.536842105263155</v>
      </c>
      <c r="AC129" s="44" t="s">
        <v>43</v>
      </c>
      <c r="AD129" s="44">
        <v>93</v>
      </c>
      <c r="AE129" s="44">
        <v>5166</v>
      </c>
      <c r="AF129" s="62">
        <f t="shared" si="51"/>
        <v>55.548387096774192</v>
      </c>
      <c r="AG129" s="44">
        <v>87</v>
      </c>
      <c r="AH129" s="44">
        <v>4722</v>
      </c>
      <c r="AI129" s="62">
        <f t="shared" si="52"/>
        <v>54.275862068965516</v>
      </c>
      <c r="AM129" s="62" t="str">
        <f t="shared" si="53"/>
        <v/>
      </c>
      <c r="AQ129" s="62" t="str">
        <f t="shared" si="54"/>
        <v/>
      </c>
      <c r="AU129" s="62" t="str">
        <f t="shared" si="55"/>
        <v/>
      </c>
      <c r="AY129" s="62" t="str">
        <f t="shared" si="56"/>
        <v/>
      </c>
      <c r="BC129" s="62" t="str">
        <f t="shared" si="57"/>
        <v/>
      </c>
      <c r="BF129" s="62" t="str">
        <f t="shared" si="58"/>
        <v/>
      </c>
      <c r="BJ129" s="62" t="str">
        <f t="shared" si="59"/>
        <v/>
      </c>
      <c r="BM129" s="62" t="str">
        <f t="shared" si="60"/>
        <v/>
      </c>
      <c r="BN129" s="44" t="s">
        <v>38</v>
      </c>
      <c r="BO129" s="44">
        <v>5</v>
      </c>
      <c r="BP129" s="44">
        <v>144</v>
      </c>
      <c r="BQ129" s="62">
        <f t="shared" si="61"/>
        <v>28.8</v>
      </c>
      <c r="BR129" s="44">
        <v>5</v>
      </c>
      <c r="BS129" s="44">
        <v>182</v>
      </c>
      <c r="BT129" s="62">
        <f t="shared" si="62"/>
        <v>36.4</v>
      </c>
      <c r="BU129" s="44">
        <v>8.25</v>
      </c>
      <c r="BV129" s="44">
        <v>186</v>
      </c>
      <c r="BW129" s="62">
        <f t="shared" si="63"/>
        <v>22.545454545454547</v>
      </c>
      <c r="BX129" s="44" t="s">
        <v>38</v>
      </c>
      <c r="BY129" s="44">
        <v>10</v>
      </c>
      <c r="BZ129" s="44">
        <v>233</v>
      </c>
      <c r="CA129" s="62">
        <f t="shared" si="64"/>
        <v>23.3</v>
      </c>
      <c r="CB129" s="44">
        <v>14.5</v>
      </c>
      <c r="CC129" s="44">
        <v>393</v>
      </c>
      <c r="CD129" s="62">
        <f t="shared" si="65"/>
        <v>27.103448275862068</v>
      </c>
    </row>
    <row r="130" spans="1:82" x14ac:dyDescent="0.3">
      <c r="A130" s="49" t="s">
        <v>271</v>
      </c>
      <c r="B130" s="49" t="s">
        <v>104</v>
      </c>
      <c r="C130" s="44" t="s">
        <v>38</v>
      </c>
      <c r="F130" s="62" t="str">
        <f t="shared" si="44"/>
        <v/>
      </c>
      <c r="H130" s="32"/>
      <c r="I130" s="32"/>
      <c r="J130" s="62" t="str">
        <f t="shared" si="45"/>
        <v/>
      </c>
      <c r="L130" s="32"/>
      <c r="M130" s="32"/>
      <c r="N130" s="62" t="str">
        <f t="shared" si="46"/>
        <v/>
      </c>
      <c r="R130" s="62" t="str">
        <f t="shared" si="47"/>
        <v/>
      </c>
      <c r="V130" s="62" t="str">
        <f t="shared" si="48"/>
        <v/>
      </c>
      <c r="Y130" s="62" t="str">
        <f t="shared" si="49"/>
        <v/>
      </c>
      <c r="AB130" s="62" t="str">
        <f t="shared" si="50"/>
        <v/>
      </c>
      <c r="AF130" s="62" t="str">
        <f t="shared" si="51"/>
        <v/>
      </c>
      <c r="AI130" s="62" t="str">
        <f t="shared" si="52"/>
        <v/>
      </c>
      <c r="AM130" s="62" t="str">
        <f t="shared" si="53"/>
        <v/>
      </c>
      <c r="AQ130" s="62" t="str">
        <f t="shared" si="54"/>
        <v/>
      </c>
      <c r="AU130" s="62" t="str">
        <f t="shared" si="55"/>
        <v/>
      </c>
      <c r="AY130" s="62" t="str">
        <f t="shared" si="56"/>
        <v/>
      </c>
      <c r="BC130" s="62" t="str">
        <f t="shared" si="57"/>
        <v/>
      </c>
      <c r="BF130" s="62" t="str">
        <f t="shared" si="58"/>
        <v/>
      </c>
      <c r="BG130" s="44" t="s">
        <v>38</v>
      </c>
      <c r="BH130" s="44">
        <v>6</v>
      </c>
      <c r="BI130" s="44">
        <v>98</v>
      </c>
      <c r="BJ130" s="62">
        <f t="shared" si="59"/>
        <v>16.333333333333332</v>
      </c>
      <c r="BK130" s="44">
        <v>30</v>
      </c>
      <c r="BL130" s="44">
        <v>167</v>
      </c>
      <c r="BM130" s="62">
        <f t="shared" si="60"/>
        <v>5.5666666666666664</v>
      </c>
      <c r="BQ130" s="62" t="str">
        <f t="shared" si="61"/>
        <v/>
      </c>
      <c r="BT130" s="62" t="str">
        <f t="shared" si="62"/>
        <v/>
      </c>
      <c r="BW130" s="62" t="str">
        <f t="shared" si="63"/>
        <v/>
      </c>
      <c r="CA130" s="62" t="str">
        <f t="shared" si="64"/>
        <v/>
      </c>
      <c r="CD130" s="62" t="str">
        <f t="shared" si="65"/>
        <v/>
      </c>
    </row>
    <row r="131" spans="1:82" x14ac:dyDescent="0.3">
      <c r="A131" s="49" t="s">
        <v>350</v>
      </c>
      <c r="B131" s="49" t="s">
        <v>295</v>
      </c>
      <c r="C131" s="44" t="s">
        <v>43</v>
      </c>
      <c r="F131" s="62" t="str">
        <f t="shared" si="44"/>
        <v/>
      </c>
      <c r="J131" s="62" t="str">
        <f t="shared" si="45"/>
        <v/>
      </c>
      <c r="N131" s="62" t="str">
        <f t="shared" si="46"/>
        <v/>
      </c>
      <c r="R131" s="62" t="str">
        <f t="shared" si="47"/>
        <v/>
      </c>
      <c r="V131" s="62" t="str">
        <f t="shared" si="48"/>
        <v/>
      </c>
      <c r="Y131" s="62" t="str">
        <f t="shared" si="49"/>
        <v/>
      </c>
      <c r="AB131" s="62" t="str">
        <f t="shared" si="50"/>
        <v/>
      </c>
      <c r="AF131" s="62" t="str">
        <f t="shared" si="51"/>
        <v/>
      </c>
      <c r="AI131" s="62" t="str">
        <f t="shared" si="52"/>
        <v/>
      </c>
      <c r="AJ131" s="44" t="s">
        <v>43</v>
      </c>
      <c r="AK131" s="44">
        <v>5</v>
      </c>
      <c r="AL131" s="44">
        <v>294</v>
      </c>
      <c r="AM131" s="62">
        <f t="shared" si="53"/>
        <v>58.8</v>
      </c>
      <c r="AN131" s="44" t="s">
        <v>43</v>
      </c>
      <c r="AO131" s="54">
        <v>5</v>
      </c>
      <c r="AP131" s="44">
        <v>312</v>
      </c>
      <c r="AQ131" s="62">
        <f t="shared" si="54"/>
        <v>62.4</v>
      </c>
      <c r="AU131" s="62" t="str">
        <f t="shared" si="55"/>
        <v/>
      </c>
      <c r="AY131" s="62" t="str">
        <f t="shared" si="56"/>
        <v/>
      </c>
      <c r="BC131" s="62" t="str">
        <f t="shared" si="57"/>
        <v/>
      </c>
      <c r="BF131" s="62" t="str">
        <f t="shared" si="58"/>
        <v/>
      </c>
      <c r="BJ131" s="62" t="str">
        <f t="shared" si="59"/>
        <v/>
      </c>
      <c r="BM131" s="62" t="str">
        <f t="shared" si="60"/>
        <v/>
      </c>
      <c r="BQ131" s="62" t="str">
        <f t="shared" si="61"/>
        <v/>
      </c>
      <c r="BT131" s="62" t="str">
        <f t="shared" si="62"/>
        <v/>
      </c>
      <c r="BW131" s="62" t="str">
        <f t="shared" si="63"/>
        <v/>
      </c>
      <c r="CA131" s="62" t="str">
        <f t="shared" si="64"/>
        <v/>
      </c>
      <c r="CD131" s="62" t="str">
        <f t="shared" si="65"/>
        <v/>
      </c>
    </row>
    <row r="132" spans="1:82" x14ac:dyDescent="0.3">
      <c r="A132" s="49" t="s">
        <v>272</v>
      </c>
      <c r="B132" s="49" t="s">
        <v>295</v>
      </c>
      <c r="C132" s="44" t="s">
        <v>43</v>
      </c>
      <c r="F132" s="62" t="str">
        <f t="shared" si="44"/>
        <v/>
      </c>
      <c r="J132" s="62" t="str">
        <f t="shared" si="45"/>
        <v/>
      </c>
      <c r="N132" s="62" t="str">
        <f t="shared" si="46"/>
        <v/>
      </c>
      <c r="R132" s="62" t="str">
        <f t="shared" si="47"/>
        <v/>
      </c>
      <c r="V132" s="62" t="str">
        <f t="shared" si="48"/>
        <v/>
      </c>
      <c r="Y132" s="62" t="str">
        <f t="shared" si="49"/>
        <v/>
      </c>
      <c r="AB132" s="62" t="str">
        <f t="shared" si="50"/>
        <v/>
      </c>
      <c r="AF132" s="62" t="str">
        <f t="shared" si="51"/>
        <v/>
      </c>
      <c r="AI132" s="62" t="str">
        <f t="shared" si="52"/>
        <v/>
      </c>
      <c r="AJ132" s="44" t="s">
        <v>43</v>
      </c>
      <c r="AK132" s="44">
        <v>8</v>
      </c>
      <c r="AL132" s="44">
        <v>471</v>
      </c>
      <c r="AM132" s="62">
        <f t="shared" si="53"/>
        <v>58.875</v>
      </c>
      <c r="AQ132" s="62" t="str">
        <f t="shared" si="54"/>
        <v/>
      </c>
      <c r="AU132" s="62" t="str">
        <f t="shared" si="55"/>
        <v/>
      </c>
      <c r="AY132" s="62" t="str">
        <f t="shared" si="56"/>
        <v/>
      </c>
      <c r="BC132" s="62" t="str">
        <f t="shared" si="57"/>
        <v/>
      </c>
      <c r="BF132" s="62" t="str">
        <f t="shared" si="58"/>
        <v/>
      </c>
      <c r="BG132" s="44" t="s">
        <v>38</v>
      </c>
      <c r="BH132" s="44">
        <v>7</v>
      </c>
      <c r="BI132" s="44">
        <v>48</v>
      </c>
      <c r="BJ132" s="62">
        <f t="shared" si="59"/>
        <v>6.8571428571428568</v>
      </c>
      <c r="BM132" s="62" t="str">
        <f t="shared" si="60"/>
        <v/>
      </c>
      <c r="BQ132" s="62" t="str">
        <f t="shared" si="61"/>
        <v/>
      </c>
      <c r="BT132" s="62" t="str">
        <f t="shared" si="62"/>
        <v/>
      </c>
      <c r="BW132" s="62" t="str">
        <f t="shared" si="63"/>
        <v/>
      </c>
      <c r="CA132" s="62" t="str">
        <f t="shared" si="64"/>
        <v/>
      </c>
      <c r="CD132" s="62" t="str">
        <f t="shared" si="65"/>
        <v/>
      </c>
    </row>
    <row r="133" spans="1:82" x14ac:dyDescent="0.3">
      <c r="F133" s="67"/>
      <c r="J133" s="67"/>
      <c r="N133" s="67"/>
      <c r="R133" s="67"/>
      <c r="V133" s="67"/>
      <c r="Y133" s="67"/>
      <c r="AB133" s="67"/>
      <c r="AF133" s="67"/>
      <c r="AI133" s="67"/>
      <c r="AM133" s="67"/>
      <c r="AQ133" s="67"/>
      <c r="AU133" s="67"/>
      <c r="AY133" s="67"/>
      <c r="BC133" s="67"/>
      <c r="BF133" s="67"/>
      <c r="BJ133" s="67"/>
      <c r="BM133" s="67"/>
      <c r="BQ133" s="67"/>
      <c r="BT133" s="67"/>
      <c r="BW133" s="67"/>
      <c r="CA133" s="67"/>
      <c r="CD133" s="67"/>
    </row>
    <row r="134" spans="1:82" x14ac:dyDescent="0.3">
      <c r="F134" s="33"/>
      <c r="J134" s="33"/>
      <c r="N134" s="33"/>
      <c r="R134" s="33"/>
      <c r="V134" s="33"/>
      <c r="Y134" s="33"/>
      <c r="AB134" s="33"/>
      <c r="AF134" s="33"/>
      <c r="AI134" s="33"/>
      <c r="AM134" s="33"/>
      <c r="AQ134" s="33"/>
      <c r="AU134" s="33"/>
      <c r="AY134" s="33"/>
      <c r="BC134" s="33"/>
      <c r="BF134" s="33"/>
      <c r="BJ134" s="33"/>
      <c r="BM134" s="33"/>
      <c r="BQ134" s="33"/>
      <c r="BT134" s="33"/>
      <c r="BW134" s="33"/>
      <c r="CA134" s="33"/>
      <c r="CD134" s="33"/>
    </row>
    <row r="135" spans="1:82" x14ac:dyDescent="0.3">
      <c r="A135" s="31" t="s">
        <v>138</v>
      </c>
      <c r="F135" s="33"/>
      <c r="G135" s="32"/>
      <c r="J135" s="33"/>
      <c r="M135" s="32"/>
      <c r="N135" s="33"/>
      <c r="R135" s="33"/>
      <c r="V135" s="33"/>
      <c r="Y135" s="33"/>
      <c r="Z135" s="32"/>
      <c r="AB135" s="33"/>
      <c r="AF135" s="33"/>
      <c r="AI135" s="33"/>
      <c r="AM135" s="33"/>
      <c r="AO135" s="55"/>
      <c r="AQ135" s="33"/>
      <c r="AS135" s="32"/>
      <c r="AU135" s="33"/>
      <c r="AY135" s="33"/>
      <c r="BC135" s="33"/>
      <c r="BF135" s="33"/>
      <c r="BJ135" s="33"/>
      <c r="BM135" s="33"/>
      <c r="BQ135" s="33"/>
      <c r="BT135" s="33"/>
      <c r="BW135" s="33"/>
      <c r="CA135" s="33"/>
      <c r="CD135" s="33"/>
    </row>
    <row r="136" spans="1:82" s="32" customFormat="1" x14ac:dyDescent="0.3">
      <c r="A136" s="32" t="s">
        <v>21</v>
      </c>
      <c r="B136" s="38">
        <v>1</v>
      </c>
      <c r="C136" s="33" t="s">
        <v>139</v>
      </c>
      <c r="D136" s="56">
        <v>108</v>
      </c>
      <c r="E136" s="33" t="s">
        <v>140</v>
      </c>
      <c r="H136" s="56"/>
      <c r="I136" s="33"/>
      <c r="K136" s="57"/>
      <c r="M136" s="33"/>
      <c r="O136" s="56"/>
      <c r="P136" s="55"/>
      <c r="Q136" s="33"/>
      <c r="R136" s="58"/>
      <c r="T136" s="56"/>
      <c r="U136" s="33"/>
      <c r="X136" s="33"/>
      <c r="Z136" s="56"/>
      <c r="AA136" s="33"/>
      <c r="AE136" s="33"/>
      <c r="AG136" s="56"/>
      <c r="AH136" s="33"/>
      <c r="AK136" s="56"/>
      <c r="AL136" s="33"/>
      <c r="AO136" s="56"/>
      <c r="AP136" s="33"/>
      <c r="AS136" s="56"/>
      <c r="AT136" s="33"/>
      <c r="AW136" s="56"/>
      <c r="AX136" s="33"/>
      <c r="BA136" s="56"/>
      <c r="BB136" s="33"/>
      <c r="BE136" s="33"/>
      <c r="BG136" s="56"/>
      <c r="BI136" s="33"/>
      <c r="BK136" s="56"/>
      <c r="BL136" s="33"/>
      <c r="BP136" s="33"/>
      <c r="BS136" s="33"/>
      <c r="BV136" s="33"/>
      <c r="BZ136" s="33"/>
      <c r="CC136" s="33"/>
    </row>
    <row r="137" spans="1:82" s="32" customFormat="1" x14ac:dyDescent="0.3">
      <c r="A137" s="32" t="s">
        <v>21</v>
      </c>
      <c r="B137" s="38">
        <v>1</v>
      </c>
      <c r="C137" s="33" t="s">
        <v>141</v>
      </c>
      <c r="D137" s="56">
        <v>32.5</v>
      </c>
      <c r="E137" s="33" t="s">
        <v>140</v>
      </c>
      <c r="H137" s="56"/>
      <c r="I137" s="33"/>
      <c r="M137" s="33"/>
      <c r="N137" s="44"/>
      <c r="O137" s="56"/>
      <c r="Q137" s="33"/>
      <c r="R137" s="58"/>
      <c r="T137" s="56"/>
      <c r="U137" s="33"/>
      <c r="X137" s="33"/>
      <c r="Z137" s="56"/>
      <c r="AA137" s="33"/>
      <c r="AE137" s="33"/>
      <c r="AG137" s="56"/>
      <c r="AH137" s="33"/>
      <c r="AK137" s="56"/>
      <c r="AL137" s="33"/>
      <c r="AO137" s="56"/>
      <c r="AP137" s="33"/>
      <c r="AS137" s="56"/>
      <c r="AT137" s="33"/>
      <c r="AW137" s="56"/>
      <c r="AX137" s="33"/>
      <c r="BA137" s="56"/>
      <c r="BB137" s="33"/>
      <c r="BE137" s="33"/>
      <c r="BG137" s="56"/>
      <c r="BI137" s="33"/>
      <c r="BK137" s="56"/>
      <c r="BL137" s="33"/>
      <c r="BP137" s="33"/>
      <c r="BS137" s="33"/>
      <c r="BV137" s="33"/>
      <c r="BZ137" s="33"/>
      <c r="CC137" s="33"/>
    </row>
    <row r="138" spans="1:82" x14ac:dyDescent="0.3">
      <c r="A138" s="32"/>
      <c r="B138" s="38">
        <v>1</v>
      </c>
      <c r="C138" s="33" t="s">
        <v>142</v>
      </c>
      <c r="D138" s="56">
        <v>6.5</v>
      </c>
      <c r="E138" s="34" t="s">
        <v>140</v>
      </c>
      <c r="F138" s="32"/>
      <c r="G138" s="33"/>
      <c r="H138" s="56"/>
      <c r="I138" s="33"/>
      <c r="J138" s="33"/>
      <c r="K138" s="56"/>
      <c r="L138" s="33"/>
      <c r="M138" s="33"/>
      <c r="O138" s="56"/>
      <c r="Q138" s="33"/>
      <c r="T138" s="56"/>
      <c r="U138" s="33"/>
      <c r="W138" s="58"/>
      <c r="X138" s="33"/>
      <c r="Z138" s="56"/>
      <c r="AA138" s="33"/>
      <c r="AE138" s="33"/>
      <c r="AG138" s="56"/>
      <c r="AH138" s="33"/>
      <c r="AK138" s="56"/>
      <c r="AL138" s="33"/>
      <c r="AO138" s="56"/>
      <c r="AP138" s="33"/>
      <c r="AS138" s="56"/>
      <c r="AT138" s="33"/>
      <c r="AW138" s="56"/>
      <c r="AX138" s="33"/>
      <c r="BA138" s="56"/>
      <c r="BB138" s="33"/>
      <c r="BE138" s="33"/>
      <c r="BG138" s="56"/>
      <c r="BI138" s="33"/>
      <c r="BK138" s="56"/>
      <c r="BL138" s="33"/>
      <c r="BP138" s="33"/>
      <c r="BS138" s="33"/>
      <c r="BV138" s="33"/>
      <c r="BZ138" s="33"/>
      <c r="CC138" s="33"/>
    </row>
    <row r="139" spans="1:82" x14ac:dyDescent="0.3">
      <c r="A139" s="32"/>
      <c r="B139" s="38">
        <v>1</v>
      </c>
      <c r="C139" s="33" t="s">
        <v>143</v>
      </c>
      <c r="D139" s="56">
        <v>112</v>
      </c>
      <c r="E139" s="33" t="s">
        <v>144</v>
      </c>
      <c r="F139" s="32"/>
      <c r="G139" s="33"/>
      <c r="H139" s="56"/>
      <c r="I139" s="33"/>
      <c r="J139" s="33"/>
      <c r="K139" s="56"/>
      <c r="L139" s="33"/>
      <c r="M139" s="33"/>
      <c r="O139" s="56"/>
      <c r="Q139" s="33"/>
      <c r="T139" s="56"/>
      <c r="U139" s="33"/>
      <c r="W139" s="58"/>
      <c r="X139" s="33"/>
      <c r="Z139" s="56"/>
      <c r="AA139" s="33"/>
      <c r="AE139" s="33"/>
      <c r="AG139" s="56"/>
      <c r="AH139" s="33"/>
      <c r="AK139" s="56"/>
      <c r="AL139" s="33"/>
      <c r="AO139" s="56"/>
      <c r="AP139" s="33"/>
      <c r="AS139" s="56"/>
      <c r="AT139" s="33"/>
      <c r="AW139" s="56"/>
      <c r="AX139" s="33"/>
      <c r="BA139" s="56"/>
      <c r="BB139" s="33"/>
      <c r="BE139" s="33"/>
      <c r="BG139" s="56"/>
      <c r="BI139" s="33"/>
      <c r="BK139" s="56"/>
      <c r="BL139" s="33"/>
      <c r="BP139" s="33"/>
      <c r="BS139" s="33"/>
      <c r="BV139" s="33"/>
      <c r="BZ139" s="33"/>
      <c r="CC139" s="33"/>
    </row>
    <row r="140" spans="1:82" x14ac:dyDescent="0.3">
      <c r="A140" s="32"/>
      <c r="B140" s="38">
        <v>1</v>
      </c>
      <c r="C140" s="33" t="s">
        <v>143</v>
      </c>
      <c r="D140" s="56">
        <f>D139/D138</f>
        <v>17.23076923076923</v>
      </c>
      <c r="E140" s="33" t="s">
        <v>142</v>
      </c>
      <c r="F140" s="32"/>
      <c r="G140" s="56"/>
      <c r="H140" s="56"/>
      <c r="I140" s="33"/>
      <c r="J140" s="56"/>
      <c r="L140" s="56"/>
      <c r="M140" s="33"/>
      <c r="O140" s="56"/>
      <c r="P140" s="56"/>
      <c r="Q140" s="33"/>
      <c r="T140" s="56"/>
      <c r="U140" s="33"/>
      <c r="V140" s="58"/>
      <c r="W140" s="32"/>
      <c r="X140" s="33"/>
      <c r="Z140" s="56"/>
      <c r="AA140" s="33"/>
      <c r="AE140" s="33"/>
      <c r="AG140" s="56"/>
      <c r="AH140" s="33"/>
      <c r="AK140" s="56"/>
      <c r="AL140" s="33"/>
      <c r="AN140" s="58"/>
      <c r="AO140" s="56"/>
      <c r="AP140" s="33"/>
      <c r="AS140" s="56"/>
      <c r="AT140" s="33"/>
      <c r="AW140" s="56"/>
      <c r="AX140" s="33"/>
      <c r="BA140" s="56"/>
      <c r="BB140" s="33"/>
      <c r="BE140" s="33"/>
      <c r="BG140" s="56"/>
      <c r="BI140" s="33"/>
      <c r="BK140" s="56"/>
      <c r="BL140" s="33"/>
      <c r="BP140" s="33"/>
      <c r="BS140" s="33"/>
      <c r="BV140" s="33"/>
      <c r="BZ140" s="33"/>
      <c r="CC140" s="33"/>
    </row>
    <row r="141" spans="1:82" s="32" customFormat="1" ht="15" customHeight="1" x14ac:dyDescent="0.3">
      <c r="B141" s="86">
        <v>1</v>
      </c>
      <c r="C141" s="87" t="s">
        <v>145</v>
      </c>
      <c r="D141" s="88">
        <v>130</v>
      </c>
      <c r="E141" s="89" t="s">
        <v>140</v>
      </c>
      <c r="F141" s="35"/>
      <c r="G141" s="59"/>
      <c r="H141" s="60"/>
      <c r="I141" s="33"/>
      <c r="J141" s="59"/>
      <c r="K141" s="59"/>
      <c r="L141" s="59"/>
      <c r="M141" s="33"/>
      <c r="N141" s="59"/>
      <c r="O141" s="60"/>
      <c r="P141" s="59"/>
      <c r="Q141" s="33"/>
      <c r="R141" s="59"/>
      <c r="S141" s="59"/>
      <c r="T141" s="60"/>
      <c r="U141" s="33"/>
      <c r="V141" s="59"/>
      <c r="X141" s="33"/>
      <c r="Z141" s="60"/>
      <c r="AA141" s="33"/>
      <c r="AE141" s="33"/>
      <c r="AG141" s="60"/>
      <c r="AH141" s="33"/>
      <c r="AK141" s="60"/>
      <c r="AL141" s="33"/>
      <c r="AO141" s="60"/>
      <c r="AP141" s="33"/>
      <c r="AS141" s="60"/>
      <c r="AT141" s="33"/>
      <c r="AW141" s="60"/>
      <c r="AX141" s="33"/>
      <c r="BA141" s="60"/>
      <c r="BB141" s="33"/>
      <c r="BE141" s="33"/>
      <c r="BG141" s="60"/>
      <c r="BI141" s="33"/>
      <c r="BK141" s="60"/>
      <c r="BL141" s="33"/>
      <c r="BP141" s="33"/>
      <c r="BS141" s="33"/>
      <c r="BV141" s="33"/>
      <c r="BZ141" s="33"/>
      <c r="CC141" s="33"/>
    </row>
    <row r="142" spans="1:82" s="32" customFormat="1" ht="28.8" customHeight="1" x14ac:dyDescent="0.3">
      <c r="B142" s="86"/>
      <c r="C142" s="87"/>
      <c r="D142" s="88"/>
      <c r="E142" s="89"/>
      <c r="H142" s="60"/>
      <c r="I142" s="44"/>
      <c r="M142" s="44"/>
      <c r="O142" s="60"/>
      <c r="Q142" s="44"/>
      <c r="T142" s="60"/>
      <c r="U142" s="44"/>
      <c r="X142" s="44"/>
      <c r="Z142" s="60"/>
      <c r="AA142" s="44"/>
      <c r="AE142" s="44"/>
      <c r="AG142" s="60"/>
      <c r="AH142" s="44"/>
      <c r="AK142" s="60"/>
      <c r="AL142" s="44"/>
      <c r="AO142" s="60"/>
      <c r="AP142" s="44"/>
      <c r="AS142" s="60"/>
      <c r="AT142" s="44"/>
      <c r="AW142" s="60"/>
      <c r="AX142" s="44"/>
      <c r="BA142" s="60"/>
      <c r="BB142" s="44"/>
      <c r="BE142" s="44"/>
      <c r="BG142" s="60"/>
      <c r="BI142" s="44"/>
      <c r="BK142" s="60"/>
      <c r="BL142" s="44"/>
      <c r="BP142" s="44"/>
      <c r="BS142" s="44"/>
      <c r="BV142" s="44"/>
      <c r="BZ142" s="44"/>
      <c r="CC142" s="44"/>
    </row>
    <row r="143" spans="1:82" s="32" customFormat="1" x14ac:dyDescent="0.3">
      <c r="B143" s="73">
        <v>1</v>
      </c>
      <c r="C143" s="33" t="s">
        <v>146</v>
      </c>
      <c r="D143" s="56">
        <v>260</v>
      </c>
      <c r="E143" s="33" t="s">
        <v>140</v>
      </c>
      <c r="H143" s="56"/>
      <c r="I143" s="33"/>
      <c r="M143" s="33"/>
      <c r="O143" s="56"/>
      <c r="Q143" s="33"/>
      <c r="T143" s="56"/>
      <c r="U143" s="33"/>
      <c r="X143" s="33"/>
      <c r="Z143" s="56"/>
      <c r="AA143" s="33"/>
      <c r="AE143" s="33"/>
      <c r="AG143" s="56"/>
      <c r="AH143" s="33"/>
      <c r="AK143" s="56"/>
      <c r="AL143" s="33"/>
      <c r="AO143" s="56"/>
      <c r="AP143" s="33"/>
      <c r="AS143" s="56"/>
      <c r="AT143" s="33"/>
      <c r="AW143" s="56"/>
      <c r="AX143" s="33"/>
      <c r="BA143" s="56"/>
      <c r="BB143" s="33"/>
      <c r="BE143" s="33"/>
      <c r="BG143" s="56"/>
      <c r="BI143" s="33"/>
      <c r="BK143" s="56"/>
      <c r="BL143" s="33"/>
      <c r="BP143" s="33"/>
      <c r="BS143" s="33"/>
      <c r="BV143" s="33"/>
      <c r="BZ143" s="33"/>
      <c r="CC143" s="33"/>
    </row>
    <row r="144" spans="1:82" s="32" customFormat="1" x14ac:dyDescent="0.3">
      <c r="B144" s="73">
        <v>1</v>
      </c>
      <c r="C144" s="33" t="s">
        <v>354</v>
      </c>
      <c r="D144" s="56">
        <f>D141/D139</f>
        <v>1.1607142857142858</v>
      </c>
      <c r="E144" s="33" t="s">
        <v>147</v>
      </c>
      <c r="H144" s="56"/>
      <c r="I144" s="33"/>
      <c r="M144" s="33"/>
      <c r="O144" s="56"/>
      <c r="Q144" s="33"/>
      <c r="T144" s="56"/>
      <c r="U144" s="33"/>
      <c r="X144" s="33"/>
      <c r="Z144" s="56"/>
      <c r="AA144" s="33"/>
      <c r="AE144" s="33"/>
      <c r="AG144" s="56"/>
      <c r="AH144" s="33"/>
      <c r="AK144" s="56"/>
      <c r="AL144" s="33"/>
      <c r="AO144" s="56"/>
      <c r="AP144" s="33"/>
      <c r="AS144" s="56"/>
      <c r="AT144" s="33"/>
      <c r="AW144" s="56"/>
      <c r="AX144" s="33"/>
      <c r="BA144" s="56"/>
      <c r="BB144" s="33"/>
      <c r="BE144" s="33"/>
      <c r="BG144" s="56"/>
      <c r="BI144" s="33"/>
      <c r="BK144" s="56"/>
      <c r="BL144" s="33"/>
      <c r="BP144" s="33"/>
      <c r="BS144" s="33"/>
      <c r="BV144" s="33"/>
      <c r="BZ144" s="33"/>
      <c r="CC144" s="33"/>
    </row>
    <row r="145" spans="1:81" s="32" customFormat="1" x14ac:dyDescent="0.3">
      <c r="B145" s="73">
        <v>1</v>
      </c>
      <c r="C145" s="33" t="s">
        <v>146</v>
      </c>
      <c r="D145" s="56">
        <f>D143/D139</f>
        <v>2.3214285714285716</v>
      </c>
      <c r="E145" s="33" t="s">
        <v>147</v>
      </c>
      <c r="H145" s="56"/>
      <c r="I145" s="33"/>
      <c r="M145" s="33"/>
      <c r="O145" s="56"/>
      <c r="Q145" s="33"/>
      <c r="T145" s="56"/>
      <c r="U145" s="33"/>
      <c r="X145" s="33"/>
      <c r="Z145" s="56"/>
      <c r="AA145" s="33"/>
      <c r="AE145" s="33"/>
      <c r="AG145" s="56"/>
      <c r="AH145" s="33"/>
      <c r="AK145" s="56"/>
      <c r="AL145" s="33"/>
      <c r="AO145" s="56"/>
      <c r="AP145" s="33"/>
      <c r="AS145" s="56"/>
      <c r="AT145" s="33"/>
      <c r="AW145" s="56"/>
      <c r="AX145" s="33"/>
      <c r="BA145" s="56"/>
      <c r="BB145" s="33"/>
      <c r="BE145" s="33"/>
      <c r="BG145" s="56"/>
      <c r="BI145" s="33"/>
      <c r="BK145" s="56"/>
      <c r="BL145" s="33"/>
      <c r="BP145" s="33"/>
      <c r="BS145" s="33"/>
      <c r="BV145" s="33"/>
      <c r="BZ145" s="33"/>
      <c r="CC145" s="33"/>
    </row>
    <row r="146" spans="1:81" x14ac:dyDescent="0.3">
      <c r="A146" s="32"/>
      <c r="B146" s="73">
        <v>1</v>
      </c>
      <c r="C146" s="33" t="s">
        <v>148</v>
      </c>
      <c r="D146" s="56">
        <v>20</v>
      </c>
      <c r="E146" s="33" t="s">
        <v>147</v>
      </c>
      <c r="F146" s="61">
        <f>D146*D139</f>
        <v>2240</v>
      </c>
      <c r="G146" s="33" t="s">
        <v>140</v>
      </c>
      <c r="H146" s="61">
        <f>F146/D148</f>
        <v>420</v>
      </c>
      <c r="I146" s="36" t="s">
        <v>149</v>
      </c>
      <c r="J146" s="61">
        <f>F146/D147</f>
        <v>1016.048117135833</v>
      </c>
      <c r="K146" s="33" t="s">
        <v>150</v>
      </c>
      <c r="L146" s="67"/>
      <c r="P146" s="67"/>
      <c r="T146" s="67"/>
      <c r="V146" s="32"/>
      <c r="W146" s="67"/>
      <c r="Z146" s="67"/>
      <c r="AA146" s="58"/>
      <c r="AB146" s="58"/>
      <c r="AD146" s="67"/>
      <c r="AG146" s="67"/>
      <c r="AK146" s="67"/>
      <c r="AO146" s="67"/>
      <c r="AS146" s="67"/>
      <c r="AT146" s="58"/>
      <c r="AW146" s="67"/>
      <c r="BA146" s="67"/>
      <c r="BD146" s="67"/>
      <c r="BH146" s="67"/>
      <c r="BK146" s="67"/>
      <c r="BO146" s="67"/>
      <c r="BR146" s="67"/>
      <c r="BU146" s="67"/>
      <c r="BY146" s="67"/>
      <c r="CB146" s="67"/>
    </row>
    <row r="147" spans="1:81" x14ac:dyDescent="0.3">
      <c r="A147" s="32"/>
      <c r="B147" s="73">
        <v>1</v>
      </c>
      <c r="C147" s="33" t="s">
        <v>151</v>
      </c>
      <c r="D147" s="56">
        <v>2.2046199999999998</v>
      </c>
      <c r="E147" s="33" t="s">
        <v>140</v>
      </c>
      <c r="F147" s="61">
        <f>D147/D139</f>
        <v>1.9684107142857142E-2</v>
      </c>
      <c r="G147" s="36" t="s">
        <v>147</v>
      </c>
      <c r="I147" s="58"/>
      <c r="J147" s="58"/>
      <c r="L147" s="67"/>
      <c r="P147" s="67"/>
      <c r="T147" s="67"/>
      <c r="V147" s="32"/>
      <c r="W147" s="67"/>
      <c r="Z147" s="67"/>
      <c r="AA147" s="58"/>
      <c r="AB147" s="58"/>
      <c r="AD147" s="67"/>
      <c r="AG147" s="67"/>
      <c r="AK147" s="67"/>
      <c r="AO147" s="67"/>
      <c r="AS147" s="67"/>
      <c r="AT147" s="58"/>
      <c r="AW147" s="67"/>
      <c r="BA147" s="67"/>
      <c r="BD147" s="67"/>
      <c r="BH147" s="67"/>
      <c r="BK147" s="67"/>
      <c r="BO147" s="67"/>
      <c r="BR147" s="67"/>
      <c r="BU147" s="67"/>
      <c r="BY147" s="67"/>
      <c r="CB147" s="67"/>
    </row>
    <row r="148" spans="1:81" x14ac:dyDescent="0.3">
      <c r="A148" s="32"/>
      <c r="B148" s="73">
        <v>1</v>
      </c>
      <c r="C148" s="33" t="s">
        <v>152</v>
      </c>
      <c r="D148" s="56">
        <f>16/3</f>
        <v>5.333333333333333</v>
      </c>
      <c r="E148" s="33" t="s">
        <v>140</v>
      </c>
      <c r="F148" s="61">
        <f>D148/D139</f>
        <v>4.7619047619047616E-2</v>
      </c>
      <c r="G148" s="36" t="s">
        <v>147</v>
      </c>
      <c r="I148" s="58"/>
      <c r="J148" s="58"/>
      <c r="L148" s="33"/>
      <c r="P148" s="33"/>
      <c r="T148" s="33"/>
      <c r="V148" s="32"/>
      <c r="W148" s="33"/>
      <c r="Z148" s="33"/>
      <c r="AA148" s="58"/>
      <c r="AB148" s="58"/>
      <c r="AD148" s="33"/>
      <c r="AG148" s="33"/>
      <c r="AK148" s="33"/>
      <c r="AO148" s="33"/>
      <c r="AS148" s="33"/>
      <c r="AT148" s="58"/>
      <c r="AW148" s="33"/>
      <c r="BA148" s="33"/>
      <c r="BD148" s="33"/>
      <c r="BH148" s="33"/>
      <c r="BK148" s="33"/>
      <c r="BO148" s="33"/>
      <c r="BR148" s="33"/>
      <c r="BU148" s="33"/>
      <c r="BY148" s="33"/>
      <c r="CB148" s="33"/>
    </row>
    <row r="149" spans="1:81" x14ac:dyDescent="0.3">
      <c r="A149" s="32"/>
      <c r="B149" s="73">
        <v>1</v>
      </c>
      <c r="C149" s="33" t="s">
        <v>153</v>
      </c>
      <c r="D149" s="56">
        <v>100</v>
      </c>
      <c r="E149" s="33" t="s">
        <v>152</v>
      </c>
      <c r="F149" s="61">
        <f>D149*F148</f>
        <v>4.7619047619047619</v>
      </c>
      <c r="G149" s="36" t="s">
        <v>147</v>
      </c>
      <c r="H149" s="56">
        <f>F149/D146</f>
        <v>0.23809523809523808</v>
      </c>
      <c r="I149" s="36" t="s">
        <v>154</v>
      </c>
      <c r="J149" s="58"/>
      <c r="L149" s="33"/>
      <c r="P149" s="33"/>
      <c r="T149" s="33"/>
      <c r="V149" s="32"/>
      <c r="W149" s="33"/>
      <c r="Z149" s="33"/>
      <c r="AA149" s="58"/>
      <c r="AB149" s="58"/>
      <c r="AD149" s="33"/>
      <c r="AG149" s="33"/>
      <c r="AK149" s="33"/>
      <c r="AO149" s="33"/>
      <c r="AS149" s="33"/>
      <c r="AT149" s="58"/>
      <c r="AW149" s="33"/>
      <c r="BA149" s="33"/>
      <c r="BD149" s="33"/>
      <c r="BH149" s="33"/>
      <c r="BK149" s="33"/>
      <c r="BO149" s="33"/>
      <c r="BR149" s="33"/>
      <c r="BU149" s="33"/>
      <c r="BY149" s="33"/>
      <c r="CB149" s="33"/>
    </row>
    <row r="150" spans="1:81" x14ac:dyDescent="0.3">
      <c r="A150" s="32"/>
      <c r="B150" s="73">
        <v>1</v>
      </c>
      <c r="C150" s="33" t="s">
        <v>155</v>
      </c>
      <c r="D150" s="56">
        <f>D139/D148</f>
        <v>21</v>
      </c>
      <c r="E150" s="33" t="s">
        <v>152</v>
      </c>
      <c r="F150" s="61"/>
      <c r="G150" s="36"/>
      <c r="I150" s="33"/>
      <c r="J150" s="58"/>
      <c r="K150" s="58"/>
      <c r="M150" s="33"/>
      <c r="Q150" s="33"/>
      <c r="U150" s="33"/>
      <c r="W150" s="32"/>
      <c r="X150" s="33"/>
      <c r="AA150" s="33"/>
      <c r="AB150" s="58"/>
      <c r="AC150" s="58"/>
      <c r="AE150" s="33"/>
      <c r="AH150" s="33"/>
      <c r="AL150" s="33"/>
      <c r="AP150" s="33"/>
      <c r="AT150" s="33"/>
      <c r="AU150" s="58"/>
      <c r="AX150" s="33"/>
      <c r="BB150" s="33"/>
      <c r="BE150" s="33"/>
      <c r="BI150" s="33"/>
      <c r="BL150" s="33"/>
      <c r="BP150" s="33"/>
      <c r="BS150" s="33"/>
      <c r="BV150" s="33"/>
      <c r="BZ150" s="33"/>
      <c r="CC150" s="33"/>
    </row>
    <row r="151" spans="1:81" x14ac:dyDescent="0.3">
      <c r="A151" s="32"/>
      <c r="B151" s="74"/>
      <c r="F151" s="58"/>
      <c r="G151" s="58"/>
      <c r="H151" s="58"/>
      <c r="I151" s="32"/>
      <c r="K151" s="58"/>
      <c r="L151" s="58"/>
      <c r="M151" s="32"/>
      <c r="Q151" s="32"/>
      <c r="U151" s="32"/>
      <c r="X151" s="32"/>
      <c r="Y151" s="32"/>
      <c r="AA151" s="32"/>
      <c r="AC151" s="58"/>
      <c r="AD151" s="58"/>
      <c r="AE151" s="32"/>
      <c r="AH151" s="32"/>
      <c r="AL151" s="32"/>
      <c r="AP151" s="32"/>
      <c r="AT151" s="32"/>
      <c r="AV151" s="58"/>
      <c r="AX151" s="32"/>
      <c r="BB151" s="32"/>
      <c r="BE151" s="32"/>
      <c r="BI151" s="32"/>
      <c r="BL151" s="32"/>
      <c r="BP151" s="32"/>
      <c r="BS151" s="32"/>
      <c r="BV151" s="32"/>
      <c r="BZ151" s="32"/>
      <c r="CC151" s="32"/>
    </row>
    <row r="152" spans="1:81" x14ac:dyDescent="0.3">
      <c r="A152" s="32"/>
      <c r="B152" s="38">
        <v>1</v>
      </c>
      <c r="C152" s="33" t="s">
        <v>139</v>
      </c>
      <c r="D152" s="56">
        <v>108</v>
      </c>
      <c r="E152" s="33" t="s">
        <v>140</v>
      </c>
      <c r="H152" s="33"/>
      <c r="I152" s="33"/>
      <c r="J152" s="56"/>
      <c r="K152" s="56"/>
      <c r="L152" s="33"/>
      <c r="M152" s="33"/>
      <c r="O152" s="62"/>
      <c r="P152" s="62"/>
      <c r="Q152" s="33"/>
      <c r="R152" s="62"/>
      <c r="S152" s="62"/>
      <c r="T152" s="32"/>
      <c r="U152" s="33"/>
      <c r="V152" s="32"/>
      <c r="W152" s="63"/>
      <c r="X152" s="33"/>
      <c r="Y152" s="63"/>
      <c r="Z152" s="63"/>
      <c r="AA152" s="33"/>
      <c r="AB152" s="58"/>
      <c r="AC152" s="32"/>
      <c r="AD152" s="32"/>
      <c r="AE152" s="33"/>
      <c r="AF152" s="32"/>
      <c r="AG152" s="32"/>
      <c r="AH152" s="33"/>
      <c r="AL152" s="33"/>
      <c r="AP152" s="33"/>
      <c r="AT152" s="33"/>
      <c r="AX152" s="33"/>
      <c r="BB152" s="33"/>
      <c r="BE152" s="33"/>
      <c r="BI152" s="33"/>
      <c r="BL152" s="33"/>
      <c r="BP152" s="33"/>
      <c r="BS152" s="33"/>
      <c r="BV152" s="33"/>
      <c r="BZ152" s="33"/>
      <c r="CC152" s="33"/>
    </row>
    <row r="153" spans="1:81" x14ac:dyDescent="0.3">
      <c r="A153" s="32"/>
      <c r="B153" s="38">
        <v>1</v>
      </c>
      <c r="C153" s="33" t="s">
        <v>141</v>
      </c>
      <c r="D153" s="56">
        <v>32.5</v>
      </c>
      <c r="E153" s="33" t="s">
        <v>140</v>
      </c>
      <c r="F153" s="32"/>
      <c r="G153" s="32"/>
      <c r="H153" s="33"/>
      <c r="I153" s="33"/>
      <c r="J153" s="56"/>
      <c r="K153" s="56"/>
      <c r="L153" s="33"/>
      <c r="M153" s="33"/>
      <c r="O153" s="62"/>
      <c r="P153" s="62"/>
      <c r="Q153" s="33"/>
      <c r="R153" s="62"/>
      <c r="S153" s="62"/>
      <c r="T153" s="32"/>
      <c r="U153" s="33"/>
      <c r="V153" s="32"/>
      <c r="W153" s="63"/>
      <c r="X153" s="33"/>
      <c r="Y153" s="63"/>
      <c r="Z153" s="63"/>
      <c r="AA153" s="33"/>
      <c r="AB153" s="58"/>
      <c r="AC153" s="32"/>
      <c r="AD153" s="32"/>
      <c r="AE153" s="33"/>
      <c r="AF153" s="32"/>
      <c r="AG153" s="32"/>
      <c r="AH153" s="33"/>
      <c r="AL153" s="33"/>
      <c r="AP153" s="33"/>
      <c r="AT153" s="33"/>
      <c r="AX153" s="33"/>
      <c r="BB153" s="33"/>
      <c r="BE153" s="33"/>
      <c r="BI153" s="33"/>
      <c r="BL153" s="33"/>
      <c r="BP153" s="33"/>
      <c r="BS153" s="33"/>
      <c r="BV153" s="33"/>
      <c r="BZ153" s="33"/>
      <c r="CC153" s="33"/>
    </row>
    <row r="154" spans="1:81" x14ac:dyDescent="0.3">
      <c r="A154" s="32"/>
      <c r="B154" s="38">
        <v>1</v>
      </c>
      <c r="C154" s="33" t="s">
        <v>143</v>
      </c>
      <c r="D154" s="56">
        <v>112</v>
      </c>
      <c r="E154" s="33" t="s">
        <v>144</v>
      </c>
      <c r="H154" s="33"/>
      <c r="I154" s="33"/>
      <c r="J154" s="56"/>
      <c r="K154" s="56"/>
      <c r="L154" s="33"/>
      <c r="M154" s="33"/>
      <c r="O154" s="62"/>
      <c r="P154" s="62"/>
      <c r="Q154" s="33"/>
      <c r="R154" s="62"/>
      <c r="S154" s="62"/>
      <c r="T154" s="32"/>
      <c r="U154" s="33"/>
      <c r="V154" s="32"/>
      <c r="W154" s="63"/>
      <c r="X154" s="33"/>
      <c r="Y154" s="63"/>
      <c r="Z154" s="63"/>
      <c r="AA154" s="33"/>
      <c r="AB154" s="58"/>
      <c r="AC154" s="32"/>
      <c r="AD154" s="32"/>
      <c r="AE154" s="33"/>
      <c r="AF154" s="32"/>
      <c r="AG154" s="32"/>
      <c r="AH154" s="33"/>
      <c r="AL154" s="33"/>
      <c r="AP154" s="33"/>
      <c r="AT154" s="33"/>
      <c r="AX154" s="33"/>
      <c r="BB154" s="33"/>
      <c r="BE154" s="33"/>
      <c r="BI154" s="33"/>
      <c r="BL154" s="33"/>
      <c r="BP154" s="33"/>
      <c r="BS154" s="33"/>
      <c r="BV154" s="33"/>
      <c r="BZ154" s="33"/>
      <c r="CC154" s="33"/>
    </row>
    <row r="155" spans="1:81" ht="14.4" customHeight="1" x14ac:dyDescent="0.3">
      <c r="A155" s="32"/>
      <c r="B155" s="86">
        <v>1</v>
      </c>
      <c r="C155" s="87" t="s">
        <v>145</v>
      </c>
      <c r="D155" s="88">
        <v>130</v>
      </c>
      <c r="E155" s="89" t="s">
        <v>140</v>
      </c>
      <c r="H155" s="33"/>
      <c r="I155" s="33"/>
      <c r="J155" s="56"/>
      <c r="K155" s="56"/>
      <c r="L155" s="33"/>
      <c r="M155" s="33"/>
      <c r="O155" s="62"/>
      <c r="P155" s="62"/>
      <c r="Q155" s="33"/>
      <c r="R155" s="62"/>
      <c r="S155" s="62"/>
      <c r="T155" s="32"/>
      <c r="U155" s="33"/>
      <c r="V155" s="32"/>
      <c r="W155" s="63"/>
      <c r="X155" s="33"/>
      <c r="Y155" s="63"/>
      <c r="Z155" s="63"/>
      <c r="AA155" s="33"/>
      <c r="AB155" s="58"/>
      <c r="AC155" s="32"/>
      <c r="AD155" s="32"/>
      <c r="AE155" s="33"/>
      <c r="AF155" s="32"/>
      <c r="AG155" s="32"/>
      <c r="AH155" s="33"/>
      <c r="AL155" s="33"/>
      <c r="AP155" s="33"/>
      <c r="AT155" s="33"/>
      <c r="AX155" s="33"/>
      <c r="BB155" s="33"/>
      <c r="BE155" s="33"/>
      <c r="BI155" s="33"/>
      <c r="BL155" s="33"/>
      <c r="BP155" s="33"/>
      <c r="BS155" s="33"/>
      <c r="BV155" s="33"/>
      <c r="BZ155" s="33"/>
      <c r="CC155" s="33"/>
    </row>
    <row r="156" spans="1:81" ht="14.4" customHeight="1" x14ac:dyDescent="0.3">
      <c r="A156" s="32"/>
      <c r="B156" s="86"/>
      <c r="C156" s="87"/>
      <c r="D156" s="88"/>
      <c r="E156" s="89"/>
      <c r="F156" s="32"/>
      <c r="G156" s="32"/>
      <c r="H156" s="33"/>
      <c r="I156" s="33"/>
      <c r="J156" s="56"/>
      <c r="K156" s="56"/>
      <c r="L156" s="33"/>
      <c r="M156" s="33"/>
      <c r="O156" s="62"/>
      <c r="P156" s="62"/>
      <c r="Q156" s="33"/>
      <c r="R156" s="62"/>
      <c r="S156" s="62"/>
      <c r="T156" s="32"/>
      <c r="U156" s="33"/>
      <c r="V156" s="32"/>
      <c r="W156" s="63"/>
      <c r="X156" s="33"/>
      <c r="Y156" s="63"/>
      <c r="Z156" s="63"/>
      <c r="AA156" s="33"/>
      <c r="AB156" s="58"/>
      <c r="AC156" s="32"/>
      <c r="AD156" s="32"/>
      <c r="AE156" s="33"/>
      <c r="AF156" s="32"/>
      <c r="AG156" s="32"/>
      <c r="AH156" s="33"/>
      <c r="AL156" s="33"/>
      <c r="AP156" s="33"/>
      <c r="AT156" s="33"/>
      <c r="AX156" s="33"/>
      <c r="BB156" s="33"/>
      <c r="BE156" s="33"/>
      <c r="BI156" s="33"/>
      <c r="BL156" s="33"/>
      <c r="BP156" s="33"/>
      <c r="BS156" s="33"/>
      <c r="BV156" s="33"/>
      <c r="BZ156" s="33"/>
      <c r="CC156" s="33"/>
    </row>
    <row r="157" spans="1:81" x14ac:dyDescent="0.3">
      <c r="A157" s="32"/>
      <c r="B157" s="73">
        <v>1</v>
      </c>
      <c r="C157" s="33" t="s">
        <v>146</v>
      </c>
      <c r="D157" s="56">
        <v>260</v>
      </c>
      <c r="E157" s="33" t="s">
        <v>140</v>
      </c>
      <c r="F157" s="32"/>
      <c r="G157" s="32"/>
      <c r="H157" s="33"/>
      <c r="I157" s="33"/>
      <c r="J157" s="56"/>
      <c r="K157" s="56"/>
      <c r="L157" s="33"/>
      <c r="M157" s="33"/>
      <c r="O157" s="62"/>
      <c r="P157" s="62"/>
      <c r="Q157" s="33"/>
      <c r="R157" s="62"/>
      <c r="S157" s="62"/>
      <c r="T157" s="32"/>
      <c r="U157" s="33"/>
      <c r="V157" s="32"/>
      <c r="W157" s="63"/>
      <c r="X157" s="33"/>
      <c r="Y157" s="63"/>
      <c r="Z157" s="63"/>
      <c r="AA157" s="33"/>
      <c r="AB157" s="58"/>
      <c r="AC157" s="32"/>
      <c r="AD157" s="32"/>
      <c r="AE157" s="33"/>
      <c r="AF157" s="32"/>
      <c r="AG157" s="32"/>
      <c r="AH157" s="33"/>
      <c r="AL157" s="33"/>
      <c r="AP157" s="33"/>
      <c r="AT157" s="33"/>
      <c r="AX157" s="33"/>
      <c r="BB157" s="33"/>
      <c r="BE157" s="33"/>
      <c r="BI157" s="33"/>
      <c r="BL157" s="33"/>
      <c r="BP157" s="33"/>
      <c r="BS157" s="33"/>
      <c r="BV157" s="33"/>
      <c r="BZ157" s="33"/>
      <c r="CC157" s="33"/>
    </row>
    <row r="158" spans="1:81" x14ac:dyDescent="0.3">
      <c r="A158" s="32"/>
      <c r="B158" s="73">
        <v>1</v>
      </c>
      <c r="C158" s="33" t="s">
        <v>354</v>
      </c>
      <c r="D158" s="56">
        <f>D155/D154</f>
        <v>1.1607142857142858</v>
      </c>
      <c r="E158" s="33" t="s">
        <v>147</v>
      </c>
      <c r="F158" s="32"/>
      <c r="G158" s="32"/>
      <c r="H158" s="33"/>
      <c r="I158" s="33"/>
      <c r="J158" s="56"/>
      <c r="K158" s="56"/>
      <c r="L158" s="33"/>
      <c r="M158" s="33"/>
      <c r="O158" s="62"/>
      <c r="P158" s="62"/>
      <c r="Q158" s="33"/>
      <c r="R158" s="62"/>
      <c r="S158" s="62"/>
      <c r="T158" s="32"/>
      <c r="U158" s="33"/>
      <c r="V158" s="32"/>
      <c r="W158" s="63"/>
      <c r="X158" s="33"/>
      <c r="Y158" s="63"/>
      <c r="Z158" s="63"/>
      <c r="AA158" s="33"/>
      <c r="AB158" s="58"/>
      <c r="AC158" s="32"/>
      <c r="AD158" s="32"/>
      <c r="AE158" s="33"/>
      <c r="AF158" s="32"/>
      <c r="AG158" s="32"/>
      <c r="AH158" s="33"/>
      <c r="AL158" s="33"/>
      <c r="AP158" s="33"/>
      <c r="AT158" s="33"/>
      <c r="AX158" s="33"/>
      <c r="BB158" s="33"/>
      <c r="BE158" s="33"/>
      <c r="BI158" s="33"/>
      <c r="BL158" s="33"/>
      <c r="BP158" s="33"/>
      <c r="BS158" s="33"/>
      <c r="BV158" s="33"/>
      <c r="BZ158" s="33"/>
      <c r="CC158" s="33"/>
    </row>
    <row r="159" spans="1:81" x14ac:dyDescent="0.3">
      <c r="A159" s="32"/>
      <c r="B159" s="73">
        <v>1</v>
      </c>
      <c r="C159" s="33" t="s">
        <v>146</v>
      </c>
      <c r="D159" s="56">
        <f>D157/D154</f>
        <v>2.3214285714285716</v>
      </c>
      <c r="E159" s="33" t="s">
        <v>147</v>
      </c>
      <c r="F159" s="32"/>
      <c r="G159" s="32"/>
      <c r="H159" s="33"/>
      <c r="I159" s="33"/>
      <c r="J159" s="56"/>
      <c r="K159" s="56"/>
      <c r="L159" s="33"/>
      <c r="M159" s="33"/>
      <c r="O159" s="62"/>
      <c r="P159" s="62"/>
      <c r="Q159" s="33"/>
      <c r="R159" s="62"/>
      <c r="S159" s="62"/>
      <c r="T159" s="32"/>
      <c r="U159" s="33"/>
      <c r="V159" s="32"/>
      <c r="W159" s="63"/>
      <c r="X159" s="33"/>
      <c r="Y159" s="63"/>
      <c r="Z159" s="63"/>
      <c r="AA159" s="33"/>
      <c r="AB159" s="58"/>
      <c r="AC159" s="32"/>
      <c r="AD159" s="32"/>
      <c r="AE159" s="33"/>
      <c r="AF159" s="32"/>
      <c r="AG159" s="32"/>
      <c r="AH159" s="33"/>
      <c r="AL159" s="33"/>
      <c r="AP159" s="33"/>
      <c r="AT159" s="33"/>
      <c r="AX159" s="33"/>
      <c r="BB159" s="33"/>
      <c r="BE159" s="33"/>
      <c r="BI159" s="33"/>
      <c r="BL159" s="33"/>
      <c r="BP159" s="33"/>
      <c r="BS159" s="33"/>
      <c r="BV159" s="33"/>
      <c r="BZ159" s="33"/>
      <c r="CC159" s="33"/>
    </row>
    <row r="160" spans="1:81" x14ac:dyDescent="0.3">
      <c r="A160" s="32"/>
      <c r="C160" s="32"/>
      <c r="D160" s="32"/>
      <c r="E160" s="32"/>
      <c r="F160" s="32"/>
      <c r="G160" s="32"/>
      <c r="H160" s="33"/>
      <c r="I160" s="33"/>
      <c r="J160" s="56"/>
      <c r="K160" s="56"/>
      <c r="L160" s="33"/>
      <c r="M160" s="33"/>
      <c r="O160" s="62"/>
      <c r="P160" s="62"/>
      <c r="Q160" s="33"/>
      <c r="R160" s="62"/>
      <c r="S160" s="62"/>
      <c r="T160" s="32"/>
      <c r="U160" s="33"/>
      <c r="V160" s="32"/>
      <c r="W160" s="63"/>
      <c r="X160" s="33"/>
      <c r="Y160" s="63"/>
      <c r="Z160" s="63"/>
      <c r="AA160" s="33"/>
      <c r="AB160" s="58"/>
      <c r="AC160" s="32"/>
      <c r="AD160" s="32"/>
      <c r="AE160" s="33"/>
      <c r="AF160" s="32"/>
      <c r="AG160" s="32"/>
      <c r="AH160" s="33"/>
      <c r="AL160" s="33"/>
      <c r="AP160" s="33"/>
      <c r="AT160" s="33"/>
      <c r="AX160" s="33"/>
      <c r="BB160" s="33"/>
      <c r="BE160" s="33"/>
      <c r="BI160" s="33"/>
      <c r="BL160" s="33"/>
      <c r="BP160" s="33"/>
      <c r="BS160" s="33"/>
      <c r="BV160" s="33"/>
      <c r="BZ160" s="33"/>
      <c r="CC160" s="33"/>
    </row>
    <row r="161" spans="1:81" x14ac:dyDescent="0.3">
      <c r="A161" s="32" t="s">
        <v>6</v>
      </c>
      <c r="B161" s="38">
        <v>1</v>
      </c>
      <c r="C161" s="34" t="s">
        <v>156</v>
      </c>
      <c r="D161" s="32">
        <v>373.33</v>
      </c>
      <c r="E161" s="33" t="s">
        <v>140</v>
      </c>
      <c r="F161" s="61">
        <f>D161/D154</f>
        <v>3.3333035714285715</v>
      </c>
      <c r="G161" s="33" t="s">
        <v>147</v>
      </c>
      <c r="H161" s="33"/>
      <c r="I161" s="33"/>
      <c r="J161" s="56"/>
      <c r="K161" s="56"/>
      <c r="L161" s="33"/>
      <c r="M161" s="33"/>
      <c r="O161" s="62"/>
      <c r="P161" s="62"/>
      <c r="Q161" s="33"/>
      <c r="R161" s="62"/>
      <c r="S161" s="62"/>
      <c r="T161" s="32"/>
      <c r="U161" s="33"/>
      <c r="V161" s="32"/>
      <c r="W161" s="63"/>
      <c r="X161" s="33"/>
      <c r="Y161" s="63"/>
      <c r="Z161" s="63"/>
      <c r="AA161" s="33"/>
      <c r="AB161" s="58"/>
      <c r="AC161" s="32"/>
      <c r="AD161" s="32"/>
      <c r="AE161" s="33"/>
      <c r="AF161" s="32"/>
      <c r="AG161" s="32"/>
      <c r="AH161" s="33"/>
      <c r="AL161" s="33"/>
      <c r="AP161" s="33"/>
      <c r="AT161" s="33"/>
      <c r="AX161" s="33"/>
      <c r="BB161" s="33"/>
      <c r="BE161" s="33"/>
      <c r="BI161" s="33"/>
      <c r="BL161" s="33"/>
      <c r="BP161" s="33"/>
      <c r="BS161" s="33"/>
      <c r="BV161" s="33"/>
      <c r="BZ161" s="33"/>
      <c r="CC161" s="33"/>
    </row>
    <row r="162" spans="1:81" x14ac:dyDescent="0.3">
      <c r="A162" s="32" t="s">
        <v>157</v>
      </c>
      <c r="B162" s="38">
        <v>1</v>
      </c>
      <c r="C162" s="34" t="s">
        <v>139</v>
      </c>
      <c r="D162" s="32">
        <v>0.5</v>
      </c>
      <c r="E162" s="33" t="s">
        <v>147</v>
      </c>
      <c r="F162" s="32"/>
      <c r="G162" s="32"/>
      <c r="H162" s="33"/>
      <c r="I162" s="33"/>
      <c r="J162" s="56"/>
      <c r="K162" s="56"/>
      <c r="L162" s="33"/>
      <c r="M162" s="33"/>
      <c r="O162" s="62"/>
      <c r="P162" s="62"/>
      <c r="Q162" s="33"/>
      <c r="R162" s="62"/>
      <c r="S162" s="62"/>
      <c r="T162" s="32"/>
      <c r="U162" s="33"/>
      <c r="V162" s="32"/>
      <c r="W162" s="63"/>
      <c r="X162" s="33"/>
      <c r="Y162" s="63"/>
      <c r="Z162" s="63"/>
      <c r="AA162" s="33"/>
      <c r="AB162" s="58"/>
      <c r="AC162" s="32"/>
      <c r="AD162" s="32"/>
      <c r="AE162" s="33"/>
      <c r="AF162" s="32"/>
      <c r="AG162" s="32"/>
      <c r="AH162" s="33"/>
      <c r="AL162" s="33"/>
      <c r="AP162" s="33"/>
      <c r="AT162" s="33"/>
      <c r="AX162" s="33"/>
      <c r="BB162" s="33"/>
      <c r="BE162" s="33"/>
      <c r="BI162" s="33"/>
      <c r="BL162" s="33"/>
      <c r="BP162" s="33"/>
      <c r="BS162" s="33"/>
      <c r="BV162" s="33"/>
      <c r="BZ162" s="33"/>
      <c r="CC162" s="33"/>
    </row>
    <row r="163" spans="1:81" x14ac:dyDescent="0.3">
      <c r="A163" s="32" t="s">
        <v>118</v>
      </c>
      <c r="B163" s="38">
        <v>1</v>
      </c>
      <c r="C163" s="33" t="s">
        <v>158</v>
      </c>
      <c r="D163" s="56">
        <v>1.5</v>
      </c>
      <c r="E163" s="33" t="s">
        <v>147</v>
      </c>
      <c r="G163" s="33"/>
      <c r="H163" s="33"/>
      <c r="I163" s="33"/>
      <c r="J163" s="56"/>
      <c r="K163" s="56"/>
      <c r="L163" s="33"/>
      <c r="M163" s="33"/>
      <c r="O163" s="62"/>
      <c r="P163" s="62"/>
      <c r="Q163" s="33"/>
      <c r="R163" s="62"/>
      <c r="S163" s="62"/>
      <c r="T163" s="32"/>
      <c r="U163" s="33"/>
      <c r="V163" s="32"/>
      <c r="W163" s="63"/>
      <c r="X163" s="33"/>
      <c r="Y163" s="63"/>
      <c r="Z163" s="63"/>
      <c r="AA163" s="33"/>
      <c r="AB163" s="58"/>
      <c r="AC163" s="32"/>
      <c r="AD163" s="32"/>
      <c r="AE163" s="33"/>
      <c r="AF163" s="32"/>
      <c r="AG163" s="32"/>
      <c r="AH163" s="33"/>
      <c r="AL163" s="33"/>
      <c r="AP163" s="33"/>
      <c r="AT163" s="33"/>
      <c r="AX163" s="33"/>
      <c r="BB163" s="33"/>
      <c r="BE163" s="33"/>
      <c r="BI163" s="33"/>
      <c r="BL163" s="33"/>
      <c r="BP163" s="33"/>
      <c r="BS163" s="33"/>
      <c r="BV163" s="33"/>
      <c r="BZ163" s="33"/>
      <c r="CC163" s="33"/>
    </row>
    <row r="164" spans="1:81" x14ac:dyDescent="0.3">
      <c r="A164" s="32" t="s">
        <v>159</v>
      </c>
      <c r="B164" s="38">
        <v>1</v>
      </c>
      <c r="C164" s="33" t="s">
        <v>158</v>
      </c>
      <c r="D164" s="56">
        <v>1.75</v>
      </c>
      <c r="E164" s="33" t="s">
        <v>147</v>
      </c>
      <c r="G164" s="33"/>
      <c r="H164" s="33"/>
      <c r="I164" s="33"/>
      <c r="J164" s="56"/>
      <c r="K164" s="56"/>
      <c r="L164" s="33"/>
      <c r="M164" s="33"/>
      <c r="O164" s="62"/>
      <c r="P164" s="62"/>
      <c r="Q164" s="33"/>
      <c r="R164" s="62"/>
      <c r="S164" s="62"/>
      <c r="T164" s="32"/>
      <c r="U164" s="33"/>
      <c r="V164" s="32"/>
      <c r="W164" s="63"/>
      <c r="X164" s="33"/>
      <c r="Y164" s="63"/>
      <c r="Z164" s="63"/>
      <c r="AA164" s="33"/>
      <c r="AB164" s="58"/>
      <c r="AC164" s="32"/>
      <c r="AD164" s="32"/>
      <c r="AE164" s="33"/>
      <c r="AF164" s="32"/>
      <c r="AG164" s="32"/>
      <c r="AH164" s="33"/>
      <c r="AL164" s="33"/>
      <c r="AP164" s="33"/>
      <c r="AT164" s="33"/>
      <c r="AX164" s="33"/>
      <c r="BB164" s="33"/>
      <c r="BE164" s="33"/>
      <c r="BI164" s="33"/>
      <c r="BL164" s="33"/>
      <c r="BP164" s="33"/>
      <c r="BS164" s="33"/>
      <c r="BV164" s="33"/>
      <c r="BZ164" s="33"/>
      <c r="CC164" s="33"/>
    </row>
    <row r="165" spans="1:81" x14ac:dyDescent="0.3">
      <c r="A165" s="32" t="s">
        <v>160</v>
      </c>
      <c r="B165" s="38">
        <v>1</v>
      </c>
      <c r="C165" s="33" t="s">
        <v>158</v>
      </c>
      <c r="D165" s="56">
        <v>1.5</v>
      </c>
      <c r="E165" s="33" t="s">
        <v>147</v>
      </c>
      <c r="G165" s="33"/>
      <c r="H165" s="33"/>
      <c r="I165" s="33"/>
      <c r="J165" s="56"/>
      <c r="K165" s="56"/>
      <c r="L165" s="33"/>
      <c r="M165" s="33"/>
      <c r="O165" s="62"/>
      <c r="P165" s="62"/>
      <c r="Q165" s="33"/>
      <c r="R165" s="62"/>
      <c r="S165" s="62"/>
      <c r="T165" s="32"/>
      <c r="U165" s="33"/>
      <c r="V165" s="32"/>
      <c r="W165" s="63"/>
      <c r="X165" s="33"/>
      <c r="Y165" s="63"/>
      <c r="Z165" s="63"/>
      <c r="AA165" s="33"/>
      <c r="AB165" s="58"/>
      <c r="AC165" s="32"/>
      <c r="AD165" s="32"/>
      <c r="AE165" s="33"/>
      <c r="AF165" s="32"/>
      <c r="AG165" s="32"/>
      <c r="AH165" s="33"/>
      <c r="AL165" s="33"/>
      <c r="AP165" s="33"/>
      <c r="AT165" s="33"/>
      <c r="AX165" s="33"/>
      <c r="BB165" s="33"/>
      <c r="BE165" s="33"/>
      <c r="BI165" s="33"/>
      <c r="BL165" s="33"/>
      <c r="BP165" s="33"/>
      <c r="BS165" s="33"/>
      <c r="BV165" s="33"/>
      <c r="BZ165" s="33"/>
      <c r="CC165" s="33"/>
    </row>
    <row r="166" spans="1:81" x14ac:dyDescent="0.3">
      <c r="A166" s="32" t="s">
        <v>161</v>
      </c>
      <c r="B166" s="38">
        <v>1</v>
      </c>
      <c r="C166" s="33" t="s">
        <v>156</v>
      </c>
      <c r="D166" s="56">
        <v>1.26</v>
      </c>
      <c r="E166" s="33" t="s">
        <v>147</v>
      </c>
      <c r="G166" s="33"/>
      <c r="H166" s="33"/>
      <c r="I166" s="33"/>
      <c r="J166" s="56"/>
      <c r="K166" s="56"/>
      <c r="L166" s="33"/>
      <c r="M166" s="33"/>
      <c r="O166" s="62"/>
      <c r="P166" s="62"/>
      <c r="Q166" s="33"/>
      <c r="R166" s="62"/>
      <c r="S166" s="62"/>
      <c r="T166" s="32"/>
      <c r="U166" s="33"/>
      <c r="V166" s="32"/>
      <c r="W166" s="63"/>
      <c r="X166" s="33"/>
      <c r="Y166" s="63"/>
      <c r="Z166" s="63"/>
      <c r="AA166" s="33"/>
      <c r="AB166" s="58"/>
      <c r="AC166" s="32"/>
      <c r="AD166" s="32"/>
      <c r="AE166" s="33"/>
      <c r="AF166" s="32"/>
      <c r="AG166" s="32"/>
      <c r="AH166" s="33"/>
      <c r="AL166" s="33"/>
      <c r="AP166" s="33"/>
      <c r="AT166" s="33"/>
      <c r="AX166" s="33"/>
      <c r="BB166" s="33"/>
      <c r="BE166" s="33"/>
      <c r="BI166" s="33"/>
      <c r="BL166" s="33"/>
      <c r="BP166" s="33"/>
      <c r="BS166" s="33"/>
      <c r="BV166" s="33"/>
      <c r="BZ166" s="33"/>
      <c r="CC166" s="33"/>
    </row>
    <row r="167" spans="1:81" x14ac:dyDescent="0.3">
      <c r="A167" s="32" t="s">
        <v>26</v>
      </c>
      <c r="B167" s="38">
        <v>1</v>
      </c>
      <c r="C167" s="33" t="s">
        <v>162</v>
      </c>
      <c r="D167" s="56">
        <v>15.9</v>
      </c>
      <c r="E167" s="33" t="s">
        <v>147</v>
      </c>
      <c r="G167" s="33"/>
      <c r="H167" s="33"/>
      <c r="I167" s="33"/>
      <c r="J167" s="56"/>
      <c r="K167" s="56"/>
      <c r="L167" s="33"/>
      <c r="M167" s="33"/>
      <c r="O167" s="62"/>
      <c r="P167" s="62"/>
      <c r="Q167" s="33"/>
      <c r="R167" s="62"/>
      <c r="S167" s="62"/>
      <c r="T167" s="32"/>
      <c r="U167" s="33"/>
      <c r="V167" s="32"/>
      <c r="W167" s="63"/>
      <c r="X167" s="33"/>
      <c r="Y167" s="63"/>
      <c r="Z167" s="63"/>
      <c r="AA167" s="33"/>
      <c r="AB167" s="58"/>
      <c r="AC167" s="32"/>
      <c r="AD167" s="32"/>
      <c r="AE167" s="33"/>
      <c r="AF167" s="32"/>
      <c r="AG167" s="32"/>
      <c r="AH167" s="33"/>
      <c r="AL167" s="33"/>
      <c r="AP167" s="33"/>
      <c r="AT167" s="33"/>
      <c r="AX167" s="33"/>
      <c r="BB167" s="33"/>
      <c r="BE167" s="33"/>
      <c r="BI167" s="33"/>
      <c r="BL167" s="33"/>
      <c r="BP167" s="33"/>
      <c r="BS167" s="33"/>
      <c r="BV167" s="33"/>
      <c r="BZ167" s="33"/>
      <c r="CC167" s="33"/>
    </row>
    <row r="168" spans="1:81" x14ac:dyDescent="0.3">
      <c r="A168" s="32" t="s">
        <v>163</v>
      </c>
      <c r="B168" s="38">
        <v>1</v>
      </c>
      <c r="C168" s="33" t="s">
        <v>164</v>
      </c>
      <c r="D168" s="56">
        <f>439.681/D154</f>
        <v>3.9257232142857141</v>
      </c>
      <c r="E168" s="33" t="s">
        <v>147</v>
      </c>
      <c r="G168" s="33"/>
      <c r="I168" s="33"/>
      <c r="J168" s="56"/>
      <c r="K168" s="56"/>
      <c r="L168" s="33"/>
      <c r="M168" s="33"/>
      <c r="O168" s="62"/>
      <c r="P168" s="62"/>
      <c r="Q168" s="33"/>
      <c r="R168" s="62"/>
      <c r="S168" s="62"/>
      <c r="T168" s="32"/>
      <c r="U168" s="33"/>
      <c r="V168" s="32"/>
      <c r="W168" s="63"/>
      <c r="X168" s="33"/>
      <c r="Y168" s="63"/>
      <c r="Z168" s="63"/>
      <c r="AA168" s="33"/>
      <c r="AB168" s="58"/>
      <c r="AC168" s="32"/>
      <c r="AD168" s="32"/>
      <c r="AE168" s="33"/>
      <c r="AF168" s="32"/>
      <c r="AG168" s="32"/>
      <c r="AH168" s="33"/>
      <c r="AL168" s="33"/>
      <c r="AP168" s="33"/>
      <c r="AT168" s="33"/>
      <c r="AX168" s="33"/>
      <c r="BB168" s="33"/>
      <c r="BE168" s="33"/>
      <c r="BI168" s="33"/>
      <c r="BL168" s="33"/>
      <c r="BP168" s="33"/>
      <c r="BS168" s="33"/>
      <c r="BV168" s="33"/>
      <c r="BZ168" s="33"/>
      <c r="CC168" s="33"/>
    </row>
    <row r="169" spans="1:81" x14ac:dyDescent="0.3">
      <c r="A169" s="32" t="s">
        <v>165</v>
      </c>
      <c r="B169" s="38">
        <v>1</v>
      </c>
      <c r="C169" s="33" t="s">
        <v>164</v>
      </c>
      <c r="D169" s="56">
        <v>3</v>
      </c>
      <c r="E169" s="33" t="s">
        <v>147</v>
      </c>
      <c r="G169" s="33"/>
      <c r="I169" s="33"/>
      <c r="M169" s="33"/>
      <c r="O169" s="62"/>
      <c r="P169" s="62"/>
      <c r="Q169" s="33"/>
      <c r="R169" s="62"/>
      <c r="S169" s="62"/>
      <c r="T169" s="58"/>
      <c r="U169" s="33"/>
      <c r="V169" s="58"/>
      <c r="W169" s="63"/>
      <c r="X169" s="33"/>
      <c r="Y169" s="63"/>
      <c r="Z169" s="63"/>
      <c r="AA169" s="33"/>
      <c r="AB169" s="58"/>
      <c r="AC169" s="32"/>
      <c r="AD169" s="32"/>
      <c r="AE169" s="33"/>
      <c r="AF169" s="32"/>
      <c r="AG169" s="32"/>
      <c r="AH169" s="33"/>
      <c r="AL169" s="33"/>
      <c r="AP169" s="33"/>
      <c r="AT169" s="33"/>
      <c r="AX169" s="33"/>
      <c r="BB169" s="33"/>
      <c r="BE169" s="33"/>
      <c r="BI169" s="33"/>
      <c r="BL169" s="33"/>
      <c r="BP169" s="33"/>
      <c r="BS169" s="33"/>
      <c r="BV169" s="33"/>
      <c r="BZ169" s="33"/>
      <c r="CC169" s="33"/>
    </row>
    <row r="170" spans="1:81" x14ac:dyDescent="0.3">
      <c r="A170" s="32" t="s">
        <v>116</v>
      </c>
      <c r="B170" s="38">
        <v>1</v>
      </c>
      <c r="C170" s="33" t="s">
        <v>164</v>
      </c>
      <c r="D170" s="56">
        <v>2.98</v>
      </c>
      <c r="E170" s="33" t="s">
        <v>147</v>
      </c>
      <c r="G170" s="33"/>
      <c r="I170" s="33"/>
      <c r="M170" s="33"/>
      <c r="O170" s="62"/>
      <c r="P170" s="62"/>
      <c r="Q170" s="33"/>
      <c r="R170" s="62"/>
      <c r="S170" s="62"/>
      <c r="T170" s="58"/>
      <c r="U170" s="33"/>
      <c r="V170" s="58"/>
      <c r="W170" s="63"/>
      <c r="X170" s="33"/>
      <c r="Y170" s="63"/>
      <c r="Z170" s="63"/>
      <c r="AA170" s="33"/>
      <c r="AB170" s="58"/>
      <c r="AC170" s="32"/>
      <c r="AD170" s="32"/>
      <c r="AE170" s="33"/>
      <c r="AF170" s="32"/>
      <c r="AG170" s="32"/>
      <c r="AH170" s="33"/>
      <c r="AL170" s="33"/>
      <c r="AP170" s="33"/>
      <c r="AT170" s="33"/>
      <c r="AX170" s="33"/>
      <c r="BB170" s="33"/>
      <c r="BE170" s="33"/>
      <c r="BI170" s="33"/>
      <c r="BL170" s="33"/>
      <c r="BP170" s="33"/>
      <c r="BS170" s="33"/>
      <c r="BV170" s="33"/>
      <c r="BZ170" s="33"/>
      <c r="CC170" s="33"/>
    </row>
    <row r="171" spans="1:81" x14ac:dyDescent="0.3">
      <c r="A171" s="32" t="s">
        <v>137</v>
      </c>
      <c r="B171" s="38">
        <v>1</v>
      </c>
      <c r="C171" s="33" t="s">
        <v>166</v>
      </c>
      <c r="D171" s="56">
        <v>9</v>
      </c>
      <c r="E171" s="33" t="s">
        <v>167</v>
      </c>
      <c r="G171" s="33"/>
      <c r="I171" s="33"/>
      <c r="M171" s="33"/>
      <c r="O171" s="62"/>
      <c r="P171" s="62"/>
      <c r="Q171" s="33"/>
      <c r="R171" s="62"/>
      <c r="S171" s="62"/>
      <c r="T171" s="58"/>
      <c r="U171" s="33"/>
      <c r="V171" s="58"/>
      <c r="W171" s="63"/>
      <c r="X171" s="33"/>
      <c r="Y171" s="63"/>
      <c r="Z171" s="63"/>
      <c r="AA171" s="33"/>
      <c r="AB171" s="58"/>
      <c r="AC171" s="32"/>
      <c r="AD171" s="32"/>
      <c r="AE171" s="33"/>
      <c r="AF171" s="32"/>
      <c r="AG171" s="32"/>
      <c r="AH171" s="33"/>
      <c r="AL171" s="33"/>
      <c r="AP171" s="33"/>
      <c r="AT171" s="33"/>
      <c r="AX171" s="33"/>
      <c r="BB171" s="33"/>
      <c r="BE171" s="33"/>
      <c r="BI171" s="33"/>
      <c r="BL171" s="33"/>
      <c r="BP171" s="33"/>
      <c r="BS171" s="33"/>
      <c r="BV171" s="33"/>
      <c r="BZ171" s="33"/>
      <c r="CC171" s="33"/>
    </row>
    <row r="172" spans="1:81" x14ac:dyDescent="0.3">
      <c r="A172" s="32" t="s">
        <v>168</v>
      </c>
      <c r="B172" s="38">
        <v>1</v>
      </c>
      <c r="C172" s="33" t="s">
        <v>169</v>
      </c>
      <c r="D172" s="56">
        <v>9</v>
      </c>
      <c r="E172" s="33" t="s">
        <v>167</v>
      </c>
      <c r="G172" s="33"/>
      <c r="I172" s="33"/>
      <c r="M172" s="33"/>
      <c r="O172" s="62"/>
      <c r="P172" s="62"/>
      <c r="Q172" s="33"/>
      <c r="R172" s="62"/>
      <c r="S172" s="62"/>
      <c r="T172" s="58"/>
      <c r="U172" s="33"/>
      <c r="V172" s="58"/>
      <c r="W172" s="63"/>
      <c r="X172" s="33"/>
      <c r="Y172" s="63"/>
      <c r="Z172" s="63"/>
      <c r="AA172" s="33"/>
      <c r="AB172" s="58"/>
      <c r="AC172" s="32"/>
      <c r="AD172" s="32"/>
      <c r="AE172" s="33"/>
      <c r="AF172" s="32"/>
      <c r="AG172" s="32"/>
      <c r="AH172" s="33"/>
      <c r="AL172" s="33"/>
      <c r="AP172" s="33"/>
      <c r="AT172" s="33"/>
      <c r="AX172" s="33"/>
      <c r="BB172" s="33"/>
      <c r="BE172" s="33"/>
      <c r="BI172" s="33"/>
      <c r="BL172" s="33"/>
      <c r="BP172" s="33"/>
      <c r="BS172" s="33"/>
      <c r="BV172" s="33"/>
      <c r="BZ172" s="33"/>
      <c r="CC172" s="33"/>
    </row>
    <row r="173" spans="1:81" x14ac:dyDescent="0.3">
      <c r="A173" s="32" t="s">
        <v>119</v>
      </c>
      <c r="B173" s="38">
        <v>1</v>
      </c>
      <c r="C173" s="33" t="s">
        <v>158</v>
      </c>
      <c r="D173" s="56">
        <v>1.75</v>
      </c>
      <c r="E173" s="33" t="s">
        <v>147</v>
      </c>
      <c r="F173" s="44">
        <f>D173*D154</f>
        <v>196</v>
      </c>
      <c r="G173" s="33" t="s">
        <v>140</v>
      </c>
      <c r="I173" s="33"/>
      <c r="M173" s="33"/>
      <c r="O173" s="62"/>
      <c r="P173" s="62"/>
      <c r="Q173" s="33"/>
      <c r="R173" s="62"/>
      <c r="S173" s="62"/>
      <c r="T173" s="58"/>
      <c r="U173" s="33"/>
      <c r="V173" s="58"/>
      <c r="W173" s="63"/>
      <c r="X173" s="33"/>
      <c r="Y173" s="63"/>
      <c r="Z173" s="63"/>
      <c r="AA173" s="33"/>
      <c r="AB173" s="58"/>
      <c r="AC173" s="32"/>
      <c r="AD173" s="32"/>
      <c r="AE173" s="33"/>
      <c r="AF173" s="32"/>
      <c r="AG173" s="32"/>
      <c r="AH173" s="33"/>
      <c r="AL173" s="33"/>
      <c r="AP173" s="33"/>
      <c r="AT173" s="33"/>
      <c r="AX173" s="33"/>
      <c r="BB173" s="33"/>
      <c r="BE173" s="33"/>
      <c r="BI173" s="33"/>
      <c r="BL173" s="33"/>
      <c r="BP173" s="33"/>
      <c r="BS173" s="33"/>
      <c r="BV173" s="33"/>
      <c r="BZ173" s="33"/>
      <c r="CC173" s="33"/>
    </row>
    <row r="174" spans="1:81" x14ac:dyDescent="0.3">
      <c r="A174" s="32" t="s">
        <v>119</v>
      </c>
      <c r="B174" s="38">
        <v>1</v>
      </c>
      <c r="C174" s="33" t="s">
        <v>156</v>
      </c>
      <c r="D174" s="56">
        <v>175</v>
      </c>
      <c r="E174" s="33" t="s">
        <v>140</v>
      </c>
      <c r="F174" s="56">
        <f>D174/D154</f>
        <v>1.5625</v>
      </c>
      <c r="G174" s="33" t="s">
        <v>143</v>
      </c>
      <c r="I174" s="33"/>
      <c r="M174" s="33"/>
      <c r="O174" s="62"/>
      <c r="P174" s="62"/>
      <c r="Q174" s="33"/>
      <c r="R174" s="62"/>
      <c r="S174" s="62"/>
      <c r="T174" s="58"/>
      <c r="U174" s="33"/>
      <c r="V174" s="58"/>
      <c r="W174" s="63"/>
      <c r="X174" s="33"/>
      <c r="Y174" s="63"/>
      <c r="Z174" s="63"/>
      <c r="AA174" s="33"/>
      <c r="AB174" s="58"/>
      <c r="AC174" s="32"/>
      <c r="AD174" s="32"/>
      <c r="AE174" s="33"/>
      <c r="AF174" s="32"/>
      <c r="AG174" s="32"/>
      <c r="AH174" s="33"/>
      <c r="AL174" s="33"/>
      <c r="AP174" s="33"/>
      <c r="AT174" s="33"/>
      <c r="AX174" s="33"/>
      <c r="BB174" s="33"/>
      <c r="BE174" s="33"/>
      <c r="BI174" s="33"/>
      <c r="BL174" s="33"/>
      <c r="BP174" s="33"/>
      <c r="BS174" s="33"/>
      <c r="BV174" s="33"/>
      <c r="BZ174" s="33"/>
      <c r="CC174" s="33"/>
    </row>
    <row r="175" spans="1:81" x14ac:dyDescent="0.3">
      <c r="A175" s="32" t="s">
        <v>170</v>
      </c>
      <c r="B175" s="38">
        <v>1</v>
      </c>
      <c r="C175" s="33" t="s">
        <v>171</v>
      </c>
      <c r="D175" s="56">
        <v>0.15175</v>
      </c>
      <c r="E175" s="33" t="s">
        <v>147</v>
      </c>
      <c r="F175" s="56">
        <v>16.997</v>
      </c>
      <c r="G175" s="33" t="s">
        <v>140</v>
      </c>
      <c r="I175" s="33"/>
      <c r="M175" s="33"/>
      <c r="O175" s="62"/>
      <c r="P175" s="62"/>
      <c r="Q175" s="33"/>
      <c r="R175" s="62"/>
      <c r="S175" s="62"/>
      <c r="T175" s="58"/>
      <c r="U175" s="33"/>
      <c r="V175" s="58"/>
      <c r="W175" s="63"/>
      <c r="X175" s="33"/>
      <c r="Y175" s="63"/>
      <c r="Z175" s="63"/>
      <c r="AA175" s="33"/>
      <c r="AB175" s="58"/>
      <c r="AC175" s="32"/>
      <c r="AD175" s="32"/>
      <c r="AE175" s="33"/>
      <c r="AF175" s="32"/>
      <c r="AG175" s="32"/>
      <c r="AH175" s="33"/>
      <c r="AL175" s="33"/>
      <c r="AP175" s="33"/>
      <c r="AT175" s="33"/>
      <c r="AX175" s="33"/>
      <c r="BB175" s="33"/>
      <c r="BE175" s="33"/>
      <c r="BI175" s="33"/>
      <c r="BL175" s="33"/>
      <c r="BP175" s="33"/>
      <c r="BS175" s="33"/>
      <c r="BV175" s="33"/>
      <c r="BZ175" s="33"/>
      <c r="CC175" s="33"/>
    </row>
    <row r="176" spans="1:81" x14ac:dyDescent="0.3">
      <c r="A176" s="32" t="s">
        <v>136</v>
      </c>
      <c r="B176" s="38">
        <v>1</v>
      </c>
      <c r="C176" s="33" t="s">
        <v>158</v>
      </c>
      <c r="D176" s="56">
        <v>1.5</v>
      </c>
      <c r="E176" s="33" t="s">
        <v>147</v>
      </c>
      <c r="G176" s="33"/>
      <c r="I176" s="33"/>
      <c r="M176" s="33"/>
      <c r="O176" s="62"/>
      <c r="P176" s="62"/>
      <c r="Q176" s="33"/>
      <c r="R176" s="62"/>
      <c r="S176" s="62"/>
      <c r="T176" s="58"/>
      <c r="U176" s="33"/>
      <c r="V176" s="58"/>
      <c r="W176" s="63"/>
      <c r="X176" s="33"/>
      <c r="Y176" s="63"/>
      <c r="Z176" s="63"/>
      <c r="AA176" s="33"/>
      <c r="AB176" s="58"/>
      <c r="AC176" s="32"/>
      <c r="AD176" s="32"/>
      <c r="AE176" s="33"/>
      <c r="AF176" s="32"/>
      <c r="AG176" s="32"/>
      <c r="AH176" s="33"/>
      <c r="AL176" s="33"/>
      <c r="AP176" s="33"/>
      <c r="AT176" s="33"/>
      <c r="AX176" s="33"/>
      <c r="BB176" s="33"/>
      <c r="BE176" s="33"/>
      <c r="BI176" s="33"/>
      <c r="BL176" s="33"/>
      <c r="BP176" s="33"/>
      <c r="BS176" s="33"/>
      <c r="BV176" s="33"/>
      <c r="BZ176" s="33"/>
      <c r="CC176" s="33"/>
    </row>
    <row r="177" spans="1:81" x14ac:dyDescent="0.3">
      <c r="A177" s="32" t="s">
        <v>172</v>
      </c>
      <c r="B177" s="38">
        <v>1</v>
      </c>
      <c r="C177" s="33" t="s">
        <v>158</v>
      </c>
      <c r="D177" s="56">
        <v>1.625</v>
      </c>
      <c r="E177" s="33" t="s">
        <v>147</v>
      </c>
      <c r="G177" s="33"/>
      <c r="I177" s="33"/>
      <c r="M177" s="33"/>
      <c r="O177" s="62"/>
      <c r="P177" s="62"/>
      <c r="Q177" s="33"/>
      <c r="R177" s="62"/>
      <c r="S177" s="62"/>
      <c r="T177" s="58"/>
      <c r="U177" s="33"/>
      <c r="V177" s="58"/>
      <c r="W177" s="63"/>
      <c r="X177" s="33"/>
      <c r="Y177" s="63"/>
      <c r="Z177" s="63"/>
      <c r="AA177" s="33"/>
      <c r="AB177" s="58"/>
      <c r="AC177" s="32"/>
      <c r="AD177" s="32"/>
      <c r="AE177" s="33"/>
      <c r="AF177" s="32"/>
      <c r="AG177" s="32"/>
      <c r="AH177" s="33"/>
      <c r="AL177" s="33"/>
      <c r="AP177" s="33"/>
      <c r="AT177" s="33"/>
      <c r="AX177" s="33"/>
      <c r="BB177" s="33"/>
      <c r="BE177" s="33"/>
      <c r="BI177" s="33"/>
      <c r="BL177" s="33"/>
      <c r="BP177" s="33"/>
      <c r="BS177" s="33"/>
      <c r="BV177" s="33"/>
      <c r="BZ177" s="33"/>
      <c r="CC177" s="33"/>
    </row>
    <row r="178" spans="1:81" x14ac:dyDescent="0.3">
      <c r="A178" s="32" t="s">
        <v>10</v>
      </c>
      <c r="B178" s="38">
        <v>1</v>
      </c>
      <c r="C178" s="33" t="s">
        <v>158</v>
      </c>
      <c r="D178" s="56">
        <v>1.5</v>
      </c>
      <c r="E178" s="33" t="s">
        <v>147</v>
      </c>
      <c r="G178" s="33"/>
      <c r="I178" s="33"/>
      <c r="M178" s="33"/>
      <c r="O178" s="62"/>
      <c r="P178" s="62"/>
      <c r="Q178" s="33"/>
      <c r="R178" s="62"/>
      <c r="S178" s="62"/>
      <c r="T178" s="58"/>
      <c r="U178" s="33"/>
      <c r="V178" s="58"/>
      <c r="W178" s="63"/>
      <c r="X178" s="33"/>
      <c r="Y178" s="63"/>
      <c r="Z178" s="63"/>
      <c r="AA178" s="33"/>
      <c r="AB178" s="58"/>
      <c r="AC178" s="32"/>
      <c r="AD178" s="32"/>
      <c r="AE178" s="33"/>
      <c r="AF178" s="32"/>
      <c r="AG178" s="32"/>
      <c r="AH178" s="33"/>
      <c r="AL178" s="33"/>
      <c r="AP178" s="33"/>
      <c r="AT178" s="33"/>
      <c r="AX178" s="33"/>
      <c r="BB178" s="33"/>
      <c r="BE178" s="33"/>
      <c r="BI178" s="33"/>
      <c r="BL178" s="33"/>
      <c r="BP178" s="33"/>
      <c r="BS178" s="33"/>
      <c r="BV178" s="33"/>
      <c r="BZ178" s="33"/>
      <c r="CC178" s="33"/>
    </row>
    <row r="179" spans="1:81" x14ac:dyDescent="0.3">
      <c r="A179" s="32" t="s">
        <v>173</v>
      </c>
      <c r="B179" s="38">
        <v>1</v>
      </c>
      <c r="C179" s="33" t="s">
        <v>158</v>
      </c>
      <c r="D179" s="56">
        <v>1.5</v>
      </c>
      <c r="E179" s="33" t="s">
        <v>147</v>
      </c>
      <c r="G179" s="33"/>
      <c r="I179" s="33"/>
      <c r="M179" s="33"/>
      <c r="O179" s="62"/>
      <c r="P179" s="62"/>
      <c r="Q179" s="33"/>
      <c r="R179" s="62"/>
      <c r="S179" s="62"/>
      <c r="T179" s="58"/>
      <c r="U179" s="33"/>
      <c r="V179" s="58"/>
      <c r="W179" s="63"/>
      <c r="X179" s="33"/>
      <c r="Y179" s="63"/>
      <c r="Z179" s="63"/>
      <c r="AA179" s="33"/>
      <c r="AB179" s="58"/>
      <c r="AC179" s="32"/>
      <c r="AD179" s="32"/>
      <c r="AE179" s="33"/>
      <c r="AF179" s="32"/>
      <c r="AG179" s="32"/>
      <c r="AH179" s="33"/>
      <c r="AL179" s="33"/>
      <c r="AP179" s="33"/>
      <c r="AT179" s="33"/>
      <c r="AX179" s="33"/>
      <c r="BB179" s="33"/>
      <c r="BE179" s="33"/>
      <c r="BI179" s="33"/>
      <c r="BL179" s="33"/>
      <c r="BP179" s="33"/>
      <c r="BS179" s="33"/>
      <c r="BV179" s="33"/>
      <c r="BZ179" s="33"/>
      <c r="CC179" s="33"/>
    </row>
    <row r="180" spans="1:81" x14ac:dyDescent="0.3">
      <c r="A180" s="85" t="s">
        <v>174</v>
      </c>
      <c r="B180" s="38">
        <v>1</v>
      </c>
      <c r="C180" s="33" t="s">
        <v>175</v>
      </c>
      <c r="D180" s="56">
        <v>18.559999999999999</v>
      </c>
      <c r="E180" s="33" t="s">
        <v>167</v>
      </c>
      <c r="G180" s="33"/>
      <c r="I180" s="33"/>
      <c r="M180" s="33"/>
      <c r="O180" s="62"/>
      <c r="P180" s="62"/>
      <c r="Q180" s="33"/>
      <c r="R180" s="62"/>
      <c r="S180" s="62"/>
      <c r="T180" s="58"/>
      <c r="U180" s="33"/>
      <c r="V180" s="58"/>
      <c r="W180" s="63"/>
      <c r="X180" s="33"/>
      <c r="Y180" s="63"/>
      <c r="Z180" s="63"/>
      <c r="AA180" s="33"/>
      <c r="AB180" s="58"/>
      <c r="AC180" s="32"/>
      <c r="AD180" s="32"/>
      <c r="AE180" s="33"/>
      <c r="AF180" s="32"/>
      <c r="AG180" s="32"/>
      <c r="AH180" s="33"/>
      <c r="AL180" s="33"/>
      <c r="AP180" s="33"/>
      <c r="AT180" s="33"/>
      <c r="AX180" s="33"/>
      <c r="BB180" s="33"/>
      <c r="BE180" s="33"/>
      <c r="BI180" s="33"/>
      <c r="BL180" s="33"/>
      <c r="BP180" s="33"/>
      <c r="BS180" s="33"/>
      <c r="BV180" s="33"/>
      <c r="BZ180" s="33"/>
      <c r="CC180" s="33"/>
    </row>
    <row r="181" spans="1:81" x14ac:dyDescent="0.3">
      <c r="A181" s="85"/>
      <c r="B181" s="38">
        <v>1</v>
      </c>
      <c r="C181" s="33" t="s">
        <v>176</v>
      </c>
      <c r="D181" s="56">
        <v>164</v>
      </c>
      <c r="E181" s="33" t="s">
        <v>140</v>
      </c>
      <c r="F181" s="56">
        <f>D181/D139</f>
        <v>1.4642857142857142</v>
      </c>
      <c r="G181" s="33" t="s">
        <v>147</v>
      </c>
      <c r="I181" s="34"/>
      <c r="M181" s="34"/>
      <c r="O181" s="62"/>
      <c r="P181" s="62"/>
      <c r="Q181" s="34"/>
      <c r="R181" s="62"/>
      <c r="S181" s="62"/>
      <c r="T181" s="58"/>
      <c r="U181" s="34"/>
      <c r="V181" s="58"/>
      <c r="W181" s="63"/>
      <c r="X181" s="34"/>
      <c r="Y181" s="63"/>
      <c r="Z181" s="63"/>
      <c r="AA181" s="34"/>
      <c r="AB181" s="58"/>
      <c r="AC181" s="32"/>
      <c r="AD181" s="32"/>
      <c r="AE181" s="34"/>
      <c r="AF181" s="32"/>
      <c r="AG181" s="32"/>
      <c r="AH181" s="34"/>
      <c r="AL181" s="34"/>
      <c r="AP181" s="34"/>
      <c r="AT181" s="34"/>
      <c r="AX181" s="34"/>
      <c r="BB181" s="34"/>
      <c r="BE181" s="34"/>
      <c r="BI181" s="34"/>
      <c r="BL181" s="34"/>
      <c r="BP181" s="34"/>
      <c r="BS181" s="34"/>
      <c r="BV181" s="34"/>
      <c r="BZ181" s="34"/>
      <c r="CC181" s="34"/>
    </row>
    <row r="182" spans="1:81" x14ac:dyDescent="0.3">
      <c r="A182" s="85" t="s">
        <v>177</v>
      </c>
      <c r="B182" s="38">
        <v>1</v>
      </c>
      <c r="C182" s="33" t="s">
        <v>178</v>
      </c>
      <c r="D182" s="56">
        <v>336</v>
      </c>
      <c r="E182" s="33" t="s">
        <v>140</v>
      </c>
      <c r="F182" s="56">
        <v>3</v>
      </c>
      <c r="G182" s="33" t="s">
        <v>147</v>
      </c>
      <c r="I182" s="33"/>
      <c r="M182" s="33"/>
      <c r="O182" s="62"/>
      <c r="P182" s="62"/>
      <c r="Q182" s="33"/>
      <c r="R182" s="62"/>
      <c r="S182" s="62"/>
      <c r="T182" s="58"/>
      <c r="U182" s="33"/>
      <c r="V182" s="58"/>
      <c r="W182" s="63"/>
      <c r="X182" s="33"/>
      <c r="Y182" s="63"/>
      <c r="Z182" s="63"/>
      <c r="AA182" s="33"/>
      <c r="AB182" s="58"/>
      <c r="AC182" s="32"/>
      <c r="AD182" s="32"/>
      <c r="AE182" s="33"/>
      <c r="AF182" s="32"/>
      <c r="AG182" s="32"/>
      <c r="AH182" s="33"/>
      <c r="AL182" s="33"/>
      <c r="AP182" s="33"/>
      <c r="AT182" s="33"/>
      <c r="AX182" s="33"/>
      <c r="BB182" s="33"/>
      <c r="BE182" s="33"/>
      <c r="BI182" s="33"/>
      <c r="BL182" s="33"/>
      <c r="BP182" s="33"/>
      <c r="BS182" s="33"/>
      <c r="BV182" s="33"/>
      <c r="BZ182" s="33"/>
      <c r="CC182" s="33"/>
    </row>
    <row r="183" spans="1:81" x14ac:dyDescent="0.3">
      <c r="A183" s="85"/>
      <c r="B183" s="38">
        <v>1</v>
      </c>
      <c r="C183" s="33" t="s">
        <v>179</v>
      </c>
      <c r="D183" s="56">
        <v>240</v>
      </c>
      <c r="E183" s="33" t="s">
        <v>140</v>
      </c>
      <c r="F183" s="56">
        <f>D183/D154</f>
        <v>2.1428571428571428</v>
      </c>
      <c r="G183" s="33" t="s">
        <v>147</v>
      </c>
      <c r="I183" s="33"/>
      <c r="M183" s="33"/>
      <c r="O183" s="62"/>
      <c r="P183" s="62"/>
      <c r="Q183" s="33"/>
      <c r="R183" s="62"/>
      <c r="S183" s="62"/>
      <c r="T183" s="58"/>
      <c r="U183" s="33"/>
      <c r="V183" s="58"/>
      <c r="W183" s="63"/>
      <c r="X183" s="33"/>
      <c r="Y183" s="63"/>
      <c r="Z183" s="63"/>
      <c r="AA183" s="33"/>
      <c r="AB183" s="58"/>
      <c r="AC183" s="32"/>
      <c r="AD183" s="32"/>
      <c r="AE183" s="33"/>
      <c r="AF183" s="32"/>
      <c r="AG183" s="32"/>
      <c r="AH183" s="33"/>
      <c r="AL183" s="33"/>
      <c r="AP183" s="33"/>
      <c r="AT183" s="33"/>
      <c r="AX183" s="33"/>
      <c r="BB183" s="33"/>
      <c r="BE183" s="33"/>
      <c r="BI183" s="33"/>
      <c r="BL183" s="33"/>
      <c r="BP183" s="33"/>
      <c r="BS183" s="33"/>
      <c r="BV183" s="33"/>
      <c r="BZ183" s="33"/>
      <c r="CC183" s="33"/>
    </row>
    <row r="184" spans="1:81" x14ac:dyDescent="0.3">
      <c r="A184" s="85" t="s">
        <v>47</v>
      </c>
      <c r="B184" s="38">
        <v>1</v>
      </c>
      <c r="C184" s="33" t="s">
        <v>180</v>
      </c>
      <c r="D184" s="56">
        <v>3.40835</v>
      </c>
      <c r="E184" s="33" t="s">
        <v>158</v>
      </c>
      <c r="F184" s="56">
        <f>D184*D185/D154</f>
        <v>5.9646125000000003</v>
      </c>
      <c r="G184" s="33" t="s">
        <v>147</v>
      </c>
      <c r="I184" s="33"/>
      <c r="M184" s="33"/>
      <c r="O184" s="62"/>
      <c r="P184" s="62"/>
      <c r="Q184" s="33"/>
      <c r="R184" s="62"/>
      <c r="S184" s="62"/>
      <c r="T184" s="58"/>
      <c r="U184" s="33"/>
      <c r="V184" s="58"/>
      <c r="W184" s="63"/>
      <c r="X184" s="33"/>
      <c r="Y184" s="63"/>
      <c r="Z184" s="63"/>
      <c r="AA184" s="33"/>
      <c r="AB184" s="58"/>
      <c r="AC184" s="32"/>
      <c r="AD184" s="32"/>
      <c r="AE184" s="33"/>
      <c r="AF184" s="32"/>
      <c r="AG184" s="32"/>
      <c r="AH184" s="33"/>
      <c r="AL184" s="33"/>
      <c r="AP184" s="33"/>
      <c r="AT184" s="33"/>
      <c r="AX184" s="33"/>
      <c r="BB184" s="33"/>
      <c r="BE184" s="33"/>
      <c r="BI184" s="33"/>
      <c r="BL184" s="33"/>
      <c r="BP184" s="33"/>
      <c r="BS184" s="33"/>
      <c r="BV184" s="33"/>
      <c r="BZ184" s="33"/>
      <c r="CC184" s="33"/>
    </row>
    <row r="185" spans="1:81" x14ac:dyDescent="0.3">
      <c r="A185" s="85"/>
      <c r="B185" s="38">
        <v>1</v>
      </c>
      <c r="C185" s="33" t="s">
        <v>158</v>
      </c>
      <c r="D185" s="61">
        <v>196</v>
      </c>
      <c r="E185" s="33" t="s">
        <v>140</v>
      </c>
      <c r="F185" s="56"/>
      <c r="G185" s="32"/>
      <c r="I185" s="33"/>
      <c r="M185" s="33"/>
      <c r="O185" s="62"/>
      <c r="P185" s="62"/>
      <c r="Q185" s="33"/>
      <c r="R185" s="62"/>
      <c r="S185" s="62"/>
      <c r="T185" s="58"/>
      <c r="U185" s="33"/>
      <c r="V185" s="58"/>
      <c r="W185" s="63"/>
      <c r="X185" s="33"/>
      <c r="Y185" s="63"/>
      <c r="Z185" s="63"/>
      <c r="AA185" s="33"/>
      <c r="AB185" s="58"/>
      <c r="AC185" s="32"/>
      <c r="AD185" s="32"/>
      <c r="AE185" s="33"/>
      <c r="AF185" s="32"/>
      <c r="AG185" s="32"/>
      <c r="AH185" s="33"/>
      <c r="AL185" s="33"/>
      <c r="AP185" s="33"/>
      <c r="AT185" s="33"/>
      <c r="AX185" s="33"/>
      <c r="BB185" s="33"/>
      <c r="BE185" s="33"/>
      <c r="BI185" s="33"/>
      <c r="BL185" s="33"/>
      <c r="BP185" s="33"/>
      <c r="BS185" s="33"/>
      <c r="BV185" s="33"/>
      <c r="BZ185" s="33"/>
      <c r="CC185" s="33"/>
    </row>
    <row r="186" spans="1:81" x14ac:dyDescent="0.3">
      <c r="A186" s="85" t="s">
        <v>130</v>
      </c>
      <c r="B186" s="38">
        <v>1</v>
      </c>
      <c r="C186" s="33" t="s">
        <v>181</v>
      </c>
      <c r="D186" s="61">
        <v>1</v>
      </c>
      <c r="E186" s="33" t="s">
        <v>164</v>
      </c>
      <c r="F186" s="56">
        <f>F187</f>
        <v>3.0446428571428572</v>
      </c>
      <c r="G186" s="33" t="s">
        <v>147</v>
      </c>
      <c r="I186" s="33"/>
      <c r="M186" s="33"/>
      <c r="O186" s="62"/>
      <c r="P186" s="62"/>
      <c r="Q186" s="33"/>
      <c r="R186" s="62"/>
      <c r="S186" s="62"/>
      <c r="T186" s="58"/>
      <c r="U186" s="33"/>
      <c r="V186" s="58"/>
      <c r="W186" s="63"/>
      <c r="X186" s="33"/>
      <c r="Y186" s="63"/>
      <c r="Z186" s="63"/>
      <c r="AA186" s="33"/>
      <c r="AB186" s="58"/>
      <c r="AC186" s="32"/>
      <c r="AD186" s="32"/>
      <c r="AE186" s="33"/>
      <c r="AF186" s="32"/>
      <c r="AG186" s="32"/>
      <c r="AH186" s="33"/>
      <c r="AL186" s="33"/>
      <c r="AP186" s="33"/>
      <c r="AT186" s="33"/>
      <c r="AX186" s="33"/>
      <c r="BB186" s="33"/>
      <c r="BE186" s="33"/>
      <c r="BI186" s="33"/>
      <c r="BL186" s="33"/>
      <c r="BP186" s="33"/>
      <c r="BS186" s="33"/>
      <c r="BV186" s="33"/>
      <c r="BZ186" s="33"/>
      <c r="CC186" s="33"/>
    </row>
    <row r="187" spans="1:81" x14ac:dyDescent="0.3">
      <c r="A187" s="85"/>
      <c r="B187" s="38">
        <v>1</v>
      </c>
      <c r="C187" s="33" t="s">
        <v>164</v>
      </c>
      <c r="D187" s="61">
        <f>(355+327)/2</f>
        <v>341</v>
      </c>
      <c r="E187" s="33" t="s">
        <v>140</v>
      </c>
      <c r="F187" s="56">
        <f>D187/D154</f>
        <v>3.0446428571428572</v>
      </c>
      <c r="G187" s="33" t="s">
        <v>147</v>
      </c>
      <c r="I187" s="33"/>
      <c r="M187" s="33"/>
      <c r="O187" s="62"/>
      <c r="P187" s="62"/>
      <c r="Q187" s="33"/>
      <c r="R187" s="62"/>
      <c r="S187" s="62"/>
      <c r="T187" s="58"/>
      <c r="U187" s="33"/>
      <c r="V187" s="58"/>
      <c r="W187" s="63"/>
      <c r="X187" s="33"/>
      <c r="Y187" s="63"/>
      <c r="Z187" s="63"/>
      <c r="AA187" s="33"/>
      <c r="AB187" s="58"/>
      <c r="AC187" s="32"/>
      <c r="AD187" s="32"/>
      <c r="AE187" s="33"/>
      <c r="AF187" s="32"/>
      <c r="AG187" s="32"/>
      <c r="AH187" s="33"/>
      <c r="AL187" s="33"/>
      <c r="AP187" s="33"/>
      <c r="AT187" s="33"/>
      <c r="AX187" s="33"/>
      <c r="BB187" s="33"/>
      <c r="BE187" s="33"/>
      <c r="BI187" s="33"/>
      <c r="BL187" s="33"/>
      <c r="BP187" s="33"/>
      <c r="BS187" s="33"/>
      <c r="BV187" s="33"/>
      <c r="BZ187" s="33"/>
      <c r="CC187" s="33"/>
    </row>
    <row r="188" spans="1:81" x14ac:dyDescent="0.3">
      <c r="A188" s="85" t="s">
        <v>161</v>
      </c>
      <c r="B188" s="38">
        <v>1</v>
      </c>
      <c r="C188" s="34" t="s">
        <v>156</v>
      </c>
      <c r="D188" s="61">
        <v>140.63</v>
      </c>
      <c r="E188" s="33" t="s">
        <v>140</v>
      </c>
      <c r="F188" s="56">
        <f>D188/D154</f>
        <v>1.255625</v>
      </c>
      <c r="G188" s="33" t="s">
        <v>147</v>
      </c>
      <c r="I188" s="33"/>
      <c r="M188" s="33"/>
      <c r="O188" s="62"/>
      <c r="P188" s="62"/>
      <c r="Q188" s="33"/>
      <c r="R188" s="62"/>
      <c r="S188" s="62"/>
      <c r="T188" s="58"/>
      <c r="U188" s="33"/>
      <c r="V188" s="58"/>
      <c r="W188" s="63"/>
      <c r="X188" s="33"/>
      <c r="Y188" s="63"/>
      <c r="Z188" s="63"/>
      <c r="AA188" s="33"/>
      <c r="AB188" s="58"/>
      <c r="AC188" s="32"/>
      <c r="AD188" s="32"/>
      <c r="AE188" s="33"/>
      <c r="AF188" s="32"/>
      <c r="AG188" s="32"/>
      <c r="AH188" s="33"/>
      <c r="AL188" s="33"/>
      <c r="AP188" s="33"/>
      <c r="AT188" s="33"/>
      <c r="AX188" s="33"/>
      <c r="BB188" s="33"/>
      <c r="BE188" s="33"/>
      <c r="BI188" s="33"/>
      <c r="BL188" s="33"/>
      <c r="BP188" s="33"/>
      <c r="BS188" s="33"/>
      <c r="BV188" s="33"/>
      <c r="BZ188" s="33"/>
      <c r="CC188" s="33"/>
    </row>
    <row r="189" spans="1:81" x14ac:dyDescent="0.3">
      <c r="A189" s="85"/>
      <c r="B189" s="38">
        <v>1</v>
      </c>
      <c r="C189" s="34" t="s">
        <v>182</v>
      </c>
      <c r="D189" s="61">
        <v>0.91576999999999997</v>
      </c>
      <c r="E189" s="33" t="s">
        <v>156</v>
      </c>
      <c r="F189" s="56">
        <f>F188*D189</f>
        <v>1.1498637062499999</v>
      </c>
      <c r="G189" s="33" t="s">
        <v>147</v>
      </c>
      <c r="I189" s="33"/>
      <c r="M189" s="33"/>
      <c r="O189" s="62"/>
      <c r="P189" s="62"/>
      <c r="Q189" s="33"/>
      <c r="R189" s="62"/>
      <c r="S189" s="62"/>
      <c r="T189" s="58"/>
      <c r="U189" s="33"/>
      <c r="V189" s="58"/>
      <c r="W189" s="63"/>
      <c r="X189" s="33"/>
      <c r="Y189" s="63"/>
      <c r="Z189" s="63"/>
      <c r="AA189" s="33"/>
      <c r="AB189" s="58"/>
      <c r="AC189" s="32"/>
      <c r="AD189" s="32"/>
      <c r="AE189" s="33"/>
      <c r="AF189" s="32"/>
      <c r="AG189" s="32"/>
      <c r="AH189" s="33"/>
      <c r="AL189" s="33"/>
      <c r="AP189" s="33"/>
      <c r="AT189" s="33"/>
      <c r="AX189" s="33"/>
      <c r="BB189" s="33"/>
      <c r="BE189" s="33"/>
      <c r="BI189" s="33"/>
      <c r="BL189" s="33"/>
      <c r="BP189" s="33"/>
      <c r="BS189" s="33"/>
      <c r="BV189" s="33"/>
      <c r="BZ189" s="33"/>
      <c r="CC189" s="33"/>
    </row>
    <row r="190" spans="1:81" x14ac:dyDescent="0.3">
      <c r="A190" s="85" t="s">
        <v>27</v>
      </c>
      <c r="B190" s="38">
        <v>1</v>
      </c>
      <c r="C190" s="34" t="s">
        <v>164</v>
      </c>
      <c r="D190" s="61">
        <v>2.37609</v>
      </c>
      <c r="E190" s="34" t="s">
        <v>158</v>
      </c>
      <c r="F190" s="56">
        <f>D190*D191</f>
        <v>4.1366063637000003</v>
      </c>
      <c r="G190" s="33" t="s">
        <v>147</v>
      </c>
      <c r="I190" s="33"/>
      <c r="M190" s="33"/>
      <c r="O190" s="62"/>
      <c r="P190" s="62"/>
      <c r="Q190" s="33"/>
      <c r="R190" s="62"/>
      <c r="S190" s="62"/>
      <c r="T190" s="58"/>
      <c r="U190" s="33"/>
      <c r="V190" s="58"/>
      <c r="W190" s="63"/>
      <c r="X190" s="33"/>
      <c r="Y190" s="63"/>
      <c r="Z190" s="63"/>
      <c r="AA190" s="33"/>
      <c r="AB190" s="58"/>
      <c r="AC190" s="32"/>
      <c r="AD190" s="32"/>
      <c r="AE190" s="33"/>
      <c r="AF190" s="32"/>
      <c r="AG190" s="32"/>
      <c r="AH190" s="33"/>
      <c r="AL190" s="33"/>
      <c r="AP190" s="33"/>
      <c r="AT190" s="33"/>
      <c r="AX190" s="33"/>
      <c r="BB190" s="33"/>
      <c r="BE190" s="33"/>
      <c r="BI190" s="33"/>
      <c r="BL190" s="33"/>
      <c r="BP190" s="33"/>
      <c r="BS190" s="33"/>
      <c r="BV190" s="33"/>
      <c r="BZ190" s="33"/>
      <c r="CC190" s="33"/>
    </row>
    <row r="191" spans="1:81" x14ac:dyDescent="0.3">
      <c r="A191" s="85"/>
      <c r="B191" s="38">
        <v>1</v>
      </c>
      <c r="C191" s="34" t="s">
        <v>158</v>
      </c>
      <c r="D191" s="61">
        <v>1.7409300000000001</v>
      </c>
      <c r="E191" s="33" t="s">
        <v>147</v>
      </c>
      <c r="F191" s="56"/>
      <c r="G191" s="33"/>
      <c r="I191" s="33"/>
      <c r="M191" s="33"/>
      <c r="O191" s="62"/>
      <c r="P191" s="62"/>
      <c r="Q191" s="33"/>
      <c r="R191" s="62"/>
      <c r="S191" s="62"/>
      <c r="T191" s="58"/>
      <c r="U191" s="33"/>
      <c r="V191" s="58"/>
      <c r="W191" s="63"/>
      <c r="X191" s="33"/>
      <c r="Y191" s="63"/>
      <c r="Z191" s="63"/>
      <c r="AA191" s="33"/>
      <c r="AB191" s="58"/>
      <c r="AC191" s="32"/>
      <c r="AD191" s="32"/>
      <c r="AE191" s="33"/>
      <c r="AF191" s="32"/>
      <c r="AG191" s="32"/>
      <c r="AH191" s="33"/>
      <c r="AL191" s="33"/>
      <c r="AP191" s="33"/>
      <c r="AT191" s="33"/>
      <c r="AX191" s="33"/>
      <c r="BB191" s="33"/>
      <c r="BE191" s="33"/>
      <c r="BI191" s="33"/>
      <c r="BL191" s="33"/>
      <c r="BP191" s="33"/>
      <c r="BS191" s="33"/>
      <c r="BV191" s="33"/>
      <c r="BZ191" s="33"/>
      <c r="CC191" s="33"/>
    </row>
    <row r="192" spans="1:81" x14ac:dyDescent="0.3">
      <c r="A192" s="32" t="s">
        <v>183</v>
      </c>
      <c r="B192" s="38">
        <v>1</v>
      </c>
      <c r="C192" s="34" t="s">
        <v>164</v>
      </c>
      <c r="D192" s="61">
        <v>242</v>
      </c>
      <c r="E192" s="33" t="s">
        <v>140</v>
      </c>
      <c r="F192" s="56">
        <f>D192/D154</f>
        <v>2.1607142857142856</v>
      </c>
      <c r="G192" s="33" t="s">
        <v>147</v>
      </c>
      <c r="I192" s="33"/>
      <c r="M192" s="33"/>
      <c r="O192" s="62"/>
      <c r="P192" s="62"/>
      <c r="Q192" s="33"/>
      <c r="R192" s="62"/>
      <c r="S192" s="62"/>
      <c r="T192" s="58"/>
      <c r="U192" s="33"/>
      <c r="V192" s="58"/>
      <c r="W192" s="63"/>
      <c r="X192" s="33"/>
      <c r="Y192" s="63"/>
      <c r="Z192" s="63"/>
      <c r="AA192" s="33"/>
      <c r="AB192" s="58"/>
      <c r="AC192" s="32"/>
      <c r="AD192" s="32"/>
      <c r="AE192" s="33"/>
      <c r="AF192" s="32"/>
      <c r="AG192" s="32"/>
      <c r="AH192" s="33"/>
      <c r="AL192" s="33"/>
      <c r="AP192" s="33"/>
      <c r="AT192" s="33"/>
      <c r="AX192" s="33"/>
      <c r="BB192" s="33"/>
      <c r="BE192" s="33"/>
      <c r="BI192" s="33"/>
      <c r="BL192" s="33"/>
      <c r="BP192" s="33"/>
      <c r="BS192" s="33"/>
      <c r="BV192" s="33"/>
      <c r="BZ192" s="33"/>
      <c r="CC192" s="33"/>
    </row>
    <row r="193" spans="1:81" x14ac:dyDescent="0.3">
      <c r="A193" s="32" t="s">
        <v>184</v>
      </c>
      <c r="B193" s="38">
        <v>1</v>
      </c>
      <c r="C193" s="34" t="s">
        <v>185</v>
      </c>
      <c r="D193" s="61">
        <v>294</v>
      </c>
      <c r="E193" s="33" t="s">
        <v>140</v>
      </c>
      <c r="F193" s="56">
        <f>D193/D154</f>
        <v>2.625</v>
      </c>
      <c r="G193" s="33" t="s">
        <v>147</v>
      </c>
      <c r="I193" s="33"/>
      <c r="M193" s="33"/>
      <c r="O193" s="62"/>
      <c r="P193" s="62"/>
      <c r="Q193" s="33"/>
      <c r="R193" s="62"/>
      <c r="S193" s="62"/>
      <c r="T193" s="58"/>
      <c r="U193" s="33"/>
      <c r="V193" s="58"/>
      <c r="W193" s="63"/>
      <c r="X193" s="33"/>
      <c r="Y193" s="63"/>
      <c r="Z193" s="63"/>
      <c r="AA193" s="33"/>
      <c r="AB193" s="58"/>
      <c r="AC193" s="32"/>
      <c r="AD193" s="32"/>
      <c r="AE193" s="33"/>
      <c r="AF193" s="32"/>
      <c r="AG193" s="32"/>
      <c r="AH193" s="33"/>
      <c r="AL193" s="33"/>
      <c r="AP193" s="33"/>
      <c r="AT193" s="33"/>
      <c r="AX193" s="33"/>
      <c r="BB193" s="33"/>
      <c r="BE193" s="33"/>
      <c r="BI193" s="33"/>
      <c r="BL193" s="33"/>
      <c r="BP193" s="33"/>
      <c r="BS193" s="33"/>
      <c r="BV193" s="33"/>
      <c r="BZ193" s="33"/>
      <c r="CC193" s="33"/>
    </row>
    <row r="194" spans="1:81" x14ac:dyDescent="0.3">
      <c r="A194" s="32" t="s">
        <v>32</v>
      </c>
      <c r="B194" s="38">
        <v>1</v>
      </c>
      <c r="C194" s="34" t="s">
        <v>156</v>
      </c>
      <c r="D194" s="56">
        <v>0.88400000000000001</v>
      </c>
      <c r="E194" s="33" t="s">
        <v>147</v>
      </c>
      <c r="I194" s="33"/>
      <c r="M194" s="33"/>
      <c r="O194" s="62"/>
      <c r="P194" s="62"/>
      <c r="Q194" s="33"/>
      <c r="R194" s="62"/>
      <c r="S194" s="62"/>
      <c r="T194" s="58"/>
      <c r="U194" s="33"/>
      <c r="V194" s="58"/>
      <c r="W194" s="63"/>
      <c r="X194" s="33"/>
      <c r="Y194" s="63"/>
      <c r="Z194" s="63"/>
      <c r="AA194" s="33"/>
      <c r="AB194" s="58"/>
      <c r="AC194" s="32"/>
      <c r="AD194" s="32"/>
      <c r="AE194" s="33"/>
      <c r="AF194" s="32"/>
      <c r="AG194" s="32"/>
      <c r="AH194" s="33"/>
      <c r="AL194" s="33"/>
      <c r="AP194" s="33"/>
      <c r="AT194" s="33"/>
      <c r="AX194" s="33"/>
      <c r="BB194" s="33"/>
      <c r="BE194" s="33"/>
      <c r="BI194" s="33"/>
      <c r="BL194" s="33"/>
      <c r="BP194" s="33"/>
      <c r="BS194" s="33"/>
      <c r="BV194" s="33"/>
      <c r="BZ194" s="33"/>
      <c r="CC194" s="33"/>
    </row>
    <row r="195" spans="1:81" x14ac:dyDescent="0.3">
      <c r="A195" s="32" t="s">
        <v>2</v>
      </c>
      <c r="B195" s="38">
        <v>1</v>
      </c>
      <c r="C195" s="34" t="s">
        <v>158</v>
      </c>
      <c r="D195" s="61">
        <v>149</v>
      </c>
      <c r="E195" s="33" t="s">
        <v>140</v>
      </c>
      <c r="F195" s="56">
        <f>D195/D154</f>
        <v>1.3303571428571428</v>
      </c>
      <c r="G195" s="33" t="s">
        <v>147</v>
      </c>
      <c r="I195" s="33"/>
      <c r="M195" s="33"/>
      <c r="O195" s="62"/>
      <c r="P195" s="62"/>
      <c r="Q195" s="33"/>
      <c r="R195" s="62"/>
      <c r="S195" s="62"/>
      <c r="T195" s="58"/>
      <c r="U195" s="33"/>
      <c r="V195" s="58"/>
      <c r="W195" s="63"/>
      <c r="X195" s="33"/>
      <c r="Y195" s="63"/>
      <c r="Z195" s="63"/>
      <c r="AA195" s="33"/>
      <c r="AB195" s="58"/>
      <c r="AC195" s="32"/>
      <c r="AD195" s="32"/>
      <c r="AE195" s="33"/>
      <c r="AF195" s="32"/>
      <c r="AG195" s="32"/>
      <c r="AH195" s="33"/>
      <c r="AL195" s="33"/>
      <c r="AP195" s="33"/>
      <c r="AT195" s="33"/>
      <c r="AX195" s="33"/>
      <c r="BB195" s="33"/>
      <c r="BE195" s="33"/>
      <c r="BI195" s="33"/>
      <c r="BL195" s="33"/>
      <c r="BP195" s="33"/>
      <c r="BS195" s="33"/>
      <c r="BV195" s="33"/>
      <c r="BZ195" s="33"/>
      <c r="CC195" s="33"/>
    </row>
    <row r="196" spans="1:81" x14ac:dyDescent="0.3">
      <c r="A196" s="32" t="s">
        <v>174</v>
      </c>
      <c r="B196" s="38">
        <v>1</v>
      </c>
      <c r="C196" s="34" t="s">
        <v>156</v>
      </c>
      <c r="D196" s="61">
        <v>164</v>
      </c>
      <c r="E196" s="33" t="s">
        <v>140</v>
      </c>
      <c r="F196" s="56">
        <f>D196/D154</f>
        <v>1.4642857142857142</v>
      </c>
      <c r="G196" s="33" t="s">
        <v>147</v>
      </c>
      <c r="I196" s="33"/>
      <c r="M196" s="33"/>
      <c r="O196" s="62"/>
      <c r="P196" s="62"/>
      <c r="Q196" s="33"/>
      <c r="R196" s="62"/>
      <c r="S196" s="62"/>
      <c r="T196" s="58"/>
      <c r="U196" s="33"/>
      <c r="V196" s="58"/>
      <c r="W196" s="63"/>
      <c r="X196" s="33"/>
      <c r="Y196" s="63"/>
      <c r="Z196" s="63"/>
      <c r="AA196" s="33"/>
      <c r="AB196" s="58"/>
      <c r="AC196" s="32"/>
      <c r="AD196" s="32"/>
      <c r="AE196" s="33"/>
      <c r="AF196" s="32"/>
      <c r="AG196" s="32"/>
      <c r="AH196" s="33"/>
      <c r="AL196" s="33"/>
      <c r="AP196" s="33"/>
      <c r="AT196" s="33"/>
      <c r="AX196" s="33"/>
      <c r="BB196" s="33"/>
      <c r="BE196" s="33"/>
      <c r="BI196" s="33"/>
      <c r="BL196" s="33"/>
      <c r="BP196" s="33"/>
      <c r="BS196" s="33"/>
      <c r="BV196" s="33"/>
      <c r="BZ196" s="33"/>
      <c r="CC196" s="33"/>
    </row>
    <row r="197" spans="1:81" x14ac:dyDescent="0.3">
      <c r="A197" s="85" t="s">
        <v>186</v>
      </c>
      <c r="B197" s="38">
        <v>1</v>
      </c>
      <c r="C197" s="34" t="s">
        <v>185</v>
      </c>
      <c r="D197" s="61">
        <v>2.0271699999999999</v>
      </c>
      <c r="E197" s="33" t="s">
        <v>164</v>
      </c>
      <c r="F197" s="56">
        <f>D198*D197/D154</f>
        <v>6.0815099999999997</v>
      </c>
      <c r="G197" s="33" t="s">
        <v>147</v>
      </c>
      <c r="I197" s="33"/>
      <c r="M197" s="33"/>
      <c r="O197" s="62"/>
      <c r="P197" s="62"/>
      <c r="Q197" s="33"/>
      <c r="R197" s="62"/>
      <c r="S197" s="62"/>
      <c r="T197" s="58"/>
      <c r="U197" s="33"/>
      <c r="V197" s="58"/>
      <c r="W197" s="63"/>
      <c r="X197" s="33"/>
      <c r="Y197" s="63"/>
      <c r="Z197" s="63"/>
      <c r="AA197" s="33"/>
      <c r="AB197" s="58"/>
      <c r="AC197" s="32"/>
      <c r="AD197" s="32"/>
      <c r="AE197" s="33"/>
      <c r="AF197" s="32"/>
      <c r="AG197" s="32"/>
      <c r="AH197" s="33"/>
      <c r="AL197" s="33"/>
      <c r="AP197" s="33"/>
      <c r="AT197" s="33"/>
      <c r="AX197" s="33"/>
      <c r="BB197" s="33"/>
      <c r="BE197" s="33"/>
      <c r="BI197" s="33"/>
      <c r="BL197" s="33"/>
      <c r="BP197" s="33"/>
      <c r="BS197" s="33"/>
      <c r="BV197" s="33"/>
      <c r="BZ197" s="33"/>
      <c r="CC197" s="33"/>
    </row>
    <row r="198" spans="1:81" x14ac:dyDescent="0.3">
      <c r="A198" s="85"/>
      <c r="B198" s="38">
        <v>1</v>
      </c>
      <c r="C198" s="34" t="s">
        <v>164</v>
      </c>
      <c r="D198" s="61">
        <v>336</v>
      </c>
      <c r="E198" s="33" t="s">
        <v>140</v>
      </c>
      <c r="F198" s="56">
        <f>D198/D154</f>
        <v>3</v>
      </c>
      <c r="G198" s="33" t="s">
        <v>147</v>
      </c>
      <c r="I198" s="33"/>
      <c r="M198" s="33"/>
      <c r="O198" s="62"/>
      <c r="P198" s="62"/>
      <c r="Q198" s="33"/>
      <c r="R198" s="62"/>
      <c r="S198" s="62"/>
      <c r="T198" s="58"/>
      <c r="U198" s="33"/>
      <c r="V198" s="58"/>
      <c r="W198" s="63"/>
      <c r="X198" s="33"/>
      <c r="Y198" s="63"/>
      <c r="Z198" s="63"/>
      <c r="AA198" s="33"/>
      <c r="AB198" s="58"/>
      <c r="AC198" s="32"/>
      <c r="AD198" s="32"/>
      <c r="AE198" s="33"/>
      <c r="AF198" s="32"/>
      <c r="AG198" s="32"/>
      <c r="AH198" s="33"/>
      <c r="AL198" s="33"/>
      <c r="AP198" s="33"/>
      <c r="AT198" s="33"/>
      <c r="AX198" s="33"/>
      <c r="BB198" s="33"/>
      <c r="BE198" s="33"/>
      <c r="BI198" s="33"/>
      <c r="BL198" s="33"/>
      <c r="BP198" s="33"/>
      <c r="BS198" s="33"/>
      <c r="BV198" s="33"/>
      <c r="BZ198" s="33"/>
      <c r="CC198" s="33"/>
    </row>
    <row r="199" spans="1:81" x14ac:dyDescent="0.3">
      <c r="A199" s="64" t="s">
        <v>187</v>
      </c>
      <c r="B199" s="38">
        <v>1</v>
      </c>
      <c r="C199" s="34" t="s">
        <v>156</v>
      </c>
      <c r="D199" s="61">
        <v>746.66700000000003</v>
      </c>
      <c r="E199" s="33" t="s">
        <v>140</v>
      </c>
      <c r="F199" s="56">
        <f>D199/D154</f>
        <v>6.6666696428571433</v>
      </c>
      <c r="G199" s="33" t="s">
        <v>147</v>
      </c>
      <c r="I199" s="33"/>
      <c r="M199" s="33"/>
      <c r="O199" s="62"/>
      <c r="P199" s="62"/>
      <c r="Q199" s="33"/>
      <c r="R199" s="62"/>
      <c r="S199" s="62"/>
      <c r="T199" s="58"/>
      <c r="U199" s="33"/>
      <c r="V199" s="58"/>
      <c r="W199" s="63"/>
      <c r="X199" s="33"/>
      <c r="Y199" s="63"/>
      <c r="Z199" s="63"/>
      <c r="AA199" s="33"/>
      <c r="AB199" s="58"/>
      <c r="AC199" s="32"/>
      <c r="AD199" s="32"/>
      <c r="AE199" s="33"/>
      <c r="AF199" s="32"/>
      <c r="AG199" s="32"/>
      <c r="AH199" s="33"/>
      <c r="AL199" s="33"/>
      <c r="AP199" s="33"/>
      <c r="AT199" s="33"/>
      <c r="AX199" s="33"/>
      <c r="BB199" s="33"/>
      <c r="BE199" s="33"/>
      <c r="BI199" s="33"/>
      <c r="BL199" s="33"/>
      <c r="BP199" s="33"/>
      <c r="BS199" s="33"/>
      <c r="BV199" s="33"/>
      <c r="BZ199" s="33"/>
      <c r="CC199" s="33"/>
    </row>
    <row r="200" spans="1:81" x14ac:dyDescent="0.3">
      <c r="A200" s="85" t="s">
        <v>117</v>
      </c>
      <c r="B200" s="38">
        <v>1</v>
      </c>
      <c r="C200" s="34" t="s">
        <v>182</v>
      </c>
      <c r="D200" s="61">
        <v>260</v>
      </c>
      <c r="E200" s="33" t="s">
        <v>140</v>
      </c>
      <c r="F200" s="56">
        <f>D200/D154</f>
        <v>2.3214285714285716</v>
      </c>
      <c r="G200" s="33" t="s">
        <v>147</v>
      </c>
      <c r="I200" s="33"/>
      <c r="M200" s="33"/>
      <c r="Q200" s="33"/>
      <c r="T200" s="58"/>
      <c r="U200" s="33"/>
      <c r="V200" s="58"/>
      <c r="W200" s="32"/>
      <c r="X200" s="33"/>
      <c r="Y200" s="32"/>
      <c r="Z200" s="32"/>
      <c r="AA200" s="33"/>
      <c r="AB200" s="58"/>
      <c r="AC200" s="32"/>
      <c r="AD200" s="32"/>
      <c r="AE200" s="33"/>
      <c r="AF200" s="32"/>
      <c r="AG200" s="32"/>
      <c r="AH200" s="33"/>
      <c r="AL200" s="33"/>
      <c r="AP200" s="33"/>
      <c r="AT200" s="33"/>
      <c r="AX200" s="33"/>
      <c r="BB200" s="33"/>
      <c r="BE200" s="33"/>
      <c r="BI200" s="33"/>
      <c r="BL200" s="33"/>
      <c r="BP200" s="33"/>
      <c r="BS200" s="33"/>
      <c r="BV200" s="33"/>
      <c r="BZ200" s="33"/>
      <c r="CC200" s="33"/>
    </row>
    <row r="201" spans="1:81" x14ac:dyDescent="0.3">
      <c r="A201" s="85"/>
      <c r="B201" s="38">
        <v>1</v>
      </c>
      <c r="C201" s="34" t="s">
        <v>156</v>
      </c>
      <c r="D201" s="61">
        <v>1.5662799999999999</v>
      </c>
      <c r="E201" s="33" t="s">
        <v>147</v>
      </c>
      <c r="F201" s="56"/>
      <c r="G201" s="33"/>
      <c r="I201" s="33"/>
      <c r="M201" s="33"/>
      <c r="Q201" s="33"/>
      <c r="T201" s="58"/>
      <c r="U201" s="33"/>
      <c r="V201" s="58"/>
      <c r="W201" s="32"/>
      <c r="X201" s="33"/>
      <c r="Y201" s="32"/>
      <c r="Z201" s="32"/>
      <c r="AA201" s="33"/>
      <c r="AB201" s="58"/>
      <c r="AC201" s="32"/>
      <c r="AD201" s="32"/>
      <c r="AE201" s="33"/>
      <c r="AF201" s="32"/>
      <c r="AG201" s="32"/>
      <c r="AH201" s="33"/>
      <c r="AL201" s="33"/>
      <c r="AP201" s="33"/>
      <c r="AT201" s="33"/>
      <c r="AX201" s="33"/>
      <c r="BB201" s="33"/>
      <c r="BE201" s="33"/>
      <c r="BI201" s="33"/>
      <c r="BL201" s="33"/>
      <c r="BP201" s="33"/>
      <c r="BS201" s="33"/>
      <c r="BV201" s="33"/>
      <c r="BZ201" s="33"/>
      <c r="CC201" s="33"/>
    </row>
    <row r="202" spans="1:81" x14ac:dyDescent="0.3">
      <c r="A202" s="85"/>
      <c r="B202" s="38">
        <v>1</v>
      </c>
      <c r="C202" s="34" t="s">
        <v>139</v>
      </c>
      <c r="D202" s="61">
        <v>560</v>
      </c>
      <c r="E202" s="33" t="s">
        <v>140</v>
      </c>
      <c r="F202" s="56">
        <f>D202/D154</f>
        <v>5</v>
      </c>
      <c r="G202" s="33" t="s">
        <v>147</v>
      </c>
      <c r="H202" s="58"/>
      <c r="I202" s="33"/>
      <c r="K202" s="58"/>
      <c r="L202" s="58"/>
      <c r="M202" s="33"/>
      <c r="Q202" s="33"/>
      <c r="U202" s="33"/>
      <c r="X202" s="33"/>
      <c r="Y202" s="32"/>
      <c r="AA202" s="33"/>
      <c r="AC202" s="58"/>
      <c r="AD202" s="58"/>
      <c r="AE202" s="33"/>
      <c r="AH202" s="33"/>
      <c r="AL202" s="33"/>
      <c r="AP202" s="33"/>
      <c r="AT202" s="33"/>
      <c r="AV202" s="58"/>
      <c r="AX202" s="33"/>
      <c r="BB202" s="33"/>
      <c r="BE202" s="33"/>
      <c r="BI202" s="33"/>
      <c r="BL202" s="33"/>
      <c r="BP202" s="33"/>
      <c r="BS202" s="33"/>
      <c r="BV202" s="33"/>
      <c r="BZ202" s="33"/>
      <c r="CC202" s="33"/>
    </row>
    <row r="203" spans="1:81" s="32" customFormat="1" x14ac:dyDescent="0.3">
      <c r="A203" s="85" t="s">
        <v>131</v>
      </c>
      <c r="B203" s="38">
        <v>1</v>
      </c>
      <c r="C203" s="33" t="s">
        <v>164</v>
      </c>
      <c r="D203" s="65">
        <v>80</v>
      </c>
      <c r="E203" s="33" t="s">
        <v>140</v>
      </c>
      <c r="F203" s="66">
        <f>D203/D204</f>
        <v>0.7142857142857143</v>
      </c>
      <c r="G203" s="33" t="s">
        <v>147</v>
      </c>
      <c r="H203" s="65"/>
      <c r="I203" s="33"/>
      <c r="J203" s="65"/>
      <c r="K203" s="65"/>
      <c r="L203" s="65"/>
      <c r="M203" s="33"/>
      <c r="N203" s="65"/>
      <c r="O203" s="65"/>
      <c r="Q203" s="33"/>
      <c r="U203" s="33"/>
      <c r="X203" s="33"/>
      <c r="AA203" s="33"/>
      <c r="AE203" s="33"/>
      <c r="AH203" s="33"/>
      <c r="AL203" s="33"/>
      <c r="AP203" s="33"/>
      <c r="AT203" s="33"/>
      <c r="AX203" s="33"/>
      <c r="BB203" s="33"/>
      <c r="BE203" s="33"/>
      <c r="BI203" s="33"/>
      <c r="BL203" s="33"/>
      <c r="BP203" s="33"/>
      <c r="BS203" s="33"/>
      <c r="BV203" s="33"/>
      <c r="BZ203" s="33"/>
      <c r="CC203" s="33"/>
    </row>
    <row r="204" spans="1:81" s="32" customFormat="1" x14ac:dyDescent="0.3">
      <c r="A204" s="85"/>
      <c r="B204" s="38">
        <v>1</v>
      </c>
      <c r="C204" s="33" t="s">
        <v>147</v>
      </c>
      <c r="D204" s="65">
        <v>112</v>
      </c>
      <c r="E204" s="33" t="s">
        <v>140</v>
      </c>
      <c r="F204" s="65"/>
      <c r="G204" s="65"/>
      <c r="H204" s="65"/>
      <c r="I204" s="33"/>
      <c r="J204" s="65"/>
      <c r="K204" s="65"/>
      <c r="L204" s="65"/>
      <c r="M204" s="33"/>
      <c r="N204" s="65"/>
      <c r="O204" s="65"/>
      <c r="Q204" s="33"/>
      <c r="U204" s="33"/>
      <c r="X204" s="33"/>
      <c r="AA204" s="33"/>
      <c r="AE204" s="33"/>
      <c r="AH204" s="33"/>
      <c r="AL204" s="33"/>
      <c r="AP204" s="33"/>
      <c r="AT204" s="33"/>
      <c r="AX204" s="33"/>
      <c r="BB204" s="33"/>
      <c r="BE204" s="33"/>
      <c r="BI204" s="33"/>
      <c r="BL204" s="33"/>
      <c r="BP204" s="33"/>
      <c r="BS204" s="33"/>
      <c r="BV204" s="33"/>
      <c r="BZ204" s="33"/>
      <c r="CC204" s="33"/>
    </row>
    <row r="205" spans="1:81" s="32" customFormat="1" x14ac:dyDescent="0.3">
      <c r="A205" s="64" t="s">
        <v>188</v>
      </c>
      <c r="B205" s="38">
        <v>1</v>
      </c>
      <c r="C205" s="34" t="s">
        <v>164</v>
      </c>
      <c r="D205" s="61">
        <v>336</v>
      </c>
      <c r="E205" s="33" t="s">
        <v>140</v>
      </c>
      <c r="F205" s="56">
        <f>D205/D204</f>
        <v>3</v>
      </c>
      <c r="G205" s="33" t="s">
        <v>147</v>
      </c>
      <c r="H205" s="65"/>
      <c r="I205" s="33"/>
      <c r="J205" s="65"/>
      <c r="K205" s="65"/>
      <c r="L205" s="65"/>
      <c r="M205" s="33"/>
      <c r="N205" s="65"/>
      <c r="O205" s="65"/>
      <c r="Q205" s="33"/>
      <c r="U205" s="33"/>
      <c r="X205" s="33"/>
      <c r="AA205" s="33"/>
      <c r="AE205" s="33"/>
      <c r="AH205" s="33"/>
      <c r="AL205" s="33"/>
      <c r="AP205" s="33"/>
      <c r="AT205" s="33"/>
      <c r="AX205" s="33"/>
      <c r="BB205" s="33"/>
      <c r="BE205" s="33"/>
      <c r="BI205" s="33"/>
      <c r="BL205" s="33"/>
      <c r="BP205" s="33"/>
      <c r="BS205" s="33"/>
      <c r="BV205" s="33"/>
      <c r="BZ205" s="33"/>
      <c r="CC205" s="33"/>
    </row>
    <row r="206" spans="1:81" s="32" customFormat="1" x14ac:dyDescent="0.3">
      <c r="A206" s="32" t="s">
        <v>189</v>
      </c>
      <c r="B206" s="38">
        <v>1</v>
      </c>
      <c r="C206" s="34" t="s">
        <v>190</v>
      </c>
      <c r="D206" s="61">
        <v>9</v>
      </c>
      <c r="E206" s="33" t="s">
        <v>167</v>
      </c>
      <c r="F206" s="65"/>
      <c r="G206" s="65"/>
      <c r="H206" s="65"/>
      <c r="I206" s="33"/>
      <c r="J206" s="65"/>
      <c r="K206" s="65"/>
      <c r="L206" s="65"/>
      <c r="M206" s="33"/>
      <c r="N206" s="65"/>
      <c r="O206" s="65"/>
      <c r="Q206" s="33"/>
      <c r="U206" s="33"/>
      <c r="X206" s="33"/>
      <c r="AA206" s="33"/>
      <c r="AE206" s="33"/>
      <c r="AH206" s="33"/>
      <c r="AL206" s="33"/>
      <c r="AP206" s="33"/>
      <c r="AT206" s="33"/>
      <c r="AX206" s="33"/>
      <c r="BB206" s="33"/>
      <c r="BE206" s="33"/>
      <c r="BI206" s="33"/>
      <c r="BL206" s="33"/>
      <c r="BP206" s="33"/>
      <c r="BS206" s="33"/>
      <c r="BV206" s="33"/>
      <c r="BZ206" s="33"/>
      <c r="CC206" s="33"/>
    </row>
    <row r="207" spans="1:81" s="32" customFormat="1" x14ac:dyDescent="0.3">
      <c r="A207" s="32" t="s">
        <v>9</v>
      </c>
      <c r="B207" s="38">
        <v>1</v>
      </c>
      <c r="C207" s="34" t="s">
        <v>156</v>
      </c>
      <c r="D207" s="61">
        <f>756/3720</f>
        <v>0.20322580645161289</v>
      </c>
      <c r="E207" s="33" t="s">
        <v>147</v>
      </c>
      <c r="F207" s="65"/>
      <c r="G207" s="65"/>
      <c r="H207" s="65"/>
      <c r="I207" s="33"/>
      <c r="J207" s="65"/>
      <c r="K207" s="65"/>
      <c r="L207" s="65"/>
      <c r="M207" s="33"/>
      <c r="N207" s="65"/>
      <c r="O207" s="65"/>
      <c r="Q207" s="33"/>
      <c r="U207" s="33"/>
      <c r="X207" s="33"/>
      <c r="AA207" s="33"/>
      <c r="AE207" s="33"/>
      <c r="AH207" s="33"/>
      <c r="AL207" s="33"/>
      <c r="AP207" s="33"/>
      <c r="AT207" s="33"/>
      <c r="AX207" s="33"/>
      <c r="BB207" s="33"/>
      <c r="BE207" s="33"/>
      <c r="BI207" s="33"/>
      <c r="BL207" s="33"/>
      <c r="BP207" s="33"/>
      <c r="BS207" s="33"/>
      <c r="BV207" s="33"/>
      <c r="BZ207" s="33"/>
      <c r="CC207" s="33"/>
    </row>
    <row r="208" spans="1:81" s="32" customFormat="1" x14ac:dyDescent="0.3">
      <c r="A208" s="32" t="s">
        <v>30</v>
      </c>
      <c r="B208" s="38">
        <v>1</v>
      </c>
      <c r="C208" s="34" t="s">
        <v>158</v>
      </c>
      <c r="D208" s="61">
        <f>600/400</f>
        <v>1.5</v>
      </c>
      <c r="E208" s="33" t="s">
        <v>147</v>
      </c>
      <c r="F208" s="65"/>
      <c r="G208" s="65"/>
      <c r="H208" s="65"/>
      <c r="I208" s="33"/>
      <c r="J208" s="65"/>
      <c r="K208" s="65"/>
      <c r="L208" s="65"/>
      <c r="M208" s="33"/>
      <c r="N208" s="65"/>
      <c r="O208" s="65"/>
      <c r="Q208" s="33"/>
      <c r="U208" s="33"/>
      <c r="X208" s="33"/>
      <c r="AA208" s="33"/>
      <c r="AE208" s="33"/>
      <c r="AH208" s="33"/>
      <c r="AL208" s="33"/>
      <c r="AP208" s="33"/>
      <c r="AT208" s="33"/>
      <c r="AX208" s="33"/>
      <c r="BB208" s="33"/>
      <c r="BE208" s="33"/>
      <c r="BI208" s="33"/>
      <c r="BL208" s="33"/>
      <c r="BP208" s="33"/>
      <c r="BS208" s="33"/>
      <c r="BV208" s="33"/>
      <c r="BZ208" s="33"/>
      <c r="CC208" s="33"/>
    </row>
    <row r="209" spans="1:81" s="32" customFormat="1" x14ac:dyDescent="0.3">
      <c r="A209" s="32" t="s">
        <v>191</v>
      </c>
      <c r="B209" s="38">
        <v>1</v>
      </c>
      <c r="C209" s="34" t="s">
        <v>164</v>
      </c>
      <c r="D209" s="61">
        <f>600/400</f>
        <v>1.5</v>
      </c>
      <c r="E209" s="33" t="s">
        <v>147</v>
      </c>
      <c r="F209" s="65"/>
      <c r="G209" s="65"/>
      <c r="H209" s="65"/>
      <c r="I209" s="33"/>
      <c r="J209" s="65"/>
      <c r="K209" s="65"/>
      <c r="L209" s="65"/>
      <c r="M209" s="33"/>
      <c r="N209" s="65"/>
      <c r="O209" s="65"/>
      <c r="Q209" s="33"/>
      <c r="U209" s="33"/>
      <c r="X209" s="33"/>
      <c r="AA209" s="33"/>
      <c r="AE209" s="33"/>
      <c r="AH209" s="33"/>
      <c r="AL209" s="33"/>
      <c r="AP209" s="33"/>
      <c r="AT209" s="33"/>
      <c r="AX209" s="33"/>
      <c r="BB209" s="33"/>
      <c r="BE209" s="33"/>
      <c r="BI209" s="33"/>
      <c r="BL209" s="33"/>
      <c r="BP209" s="33"/>
      <c r="BS209" s="33"/>
      <c r="BV209" s="33"/>
      <c r="BZ209" s="33"/>
      <c r="CC209" s="33"/>
    </row>
    <row r="210" spans="1:81" s="32" customFormat="1" x14ac:dyDescent="0.3">
      <c r="A210" s="32" t="s">
        <v>45</v>
      </c>
      <c r="B210" s="38">
        <v>1</v>
      </c>
      <c r="C210" s="34" t="s">
        <v>156</v>
      </c>
      <c r="D210" s="61">
        <f>3600/2400</f>
        <v>1.5</v>
      </c>
      <c r="E210" s="33" t="s">
        <v>147</v>
      </c>
      <c r="F210" s="65"/>
      <c r="G210" s="65"/>
      <c r="H210" s="65"/>
      <c r="I210" s="33"/>
      <c r="J210" s="65"/>
      <c r="K210" s="65"/>
      <c r="L210" s="65"/>
      <c r="M210" s="33"/>
      <c r="N210" s="65"/>
      <c r="O210" s="65"/>
      <c r="Q210" s="33"/>
      <c r="U210" s="33"/>
      <c r="X210" s="33"/>
      <c r="AA210" s="33"/>
      <c r="AE210" s="33"/>
      <c r="AH210" s="33"/>
      <c r="AL210" s="33"/>
      <c r="AP210" s="33"/>
      <c r="AT210" s="33"/>
      <c r="AX210" s="33"/>
      <c r="BB210" s="33"/>
      <c r="BE210" s="33"/>
      <c r="BI210" s="33"/>
      <c r="BL210" s="33"/>
      <c r="BP210" s="33"/>
      <c r="BS210" s="33"/>
      <c r="BV210" s="33"/>
      <c r="BZ210" s="33"/>
      <c r="CC210" s="33"/>
    </row>
    <row r="211" spans="1:81" x14ac:dyDescent="0.3">
      <c r="A211" s="32" t="s">
        <v>192</v>
      </c>
      <c r="B211" s="38">
        <v>1</v>
      </c>
      <c r="C211" s="34" t="s">
        <v>156</v>
      </c>
      <c r="D211" s="44">
        <v>153.125</v>
      </c>
      <c r="E211" s="33" t="s">
        <v>140</v>
      </c>
      <c r="F211" s="56">
        <f>D211/D154</f>
        <v>1.3671875</v>
      </c>
      <c r="G211" s="33" t="s">
        <v>147</v>
      </c>
      <c r="H211" s="58"/>
      <c r="K211" s="58"/>
      <c r="L211" s="58"/>
      <c r="Y211" s="32"/>
      <c r="AC211" s="58"/>
      <c r="AD211" s="58"/>
      <c r="AV211" s="58"/>
    </row>
    <row r="212" spans="1:81" s="32" customFormat="1" x14ac:dyDescent="0.3">
      <c r="A212" s="85" t="s">
        <v>130</v>
      </c>
      <c r="B212" s="38">
        <v>1</v>
      </c>
      <c r="C212" s="33" t="s">
        <v>181</v>
      </c>
      <c r="D212" s="61">
        <v>1</v>
      </c>
      <c r="E212" s="33" t="s">
        <v>164</v>
      </c>
      <c r="F212" s="56">
        <f>F213</f>
        <v>3.0446428571428572</v>
      </c>
      <c r="G212" s="33" t="s">
        <v>147</v>
      </c>
      <c r="I212" s="44"/>
      <c r="M212" s="44"/>
      <c r="Q212" s="44"/>
      <c r="U212" s="44"/>
      <c r="X212" s="44"/>
      <c r="AA212" s="44"/>
      <c r="AE212" s="44"/>
      <c r="AH212" s="44"/>
      <c r="AL212" s="44"/>
      <c r="AP212" s="44"/>
      <c r="AT212" s="44"/>
      <c r="AX212" s="44"/>
      <c r="BB212" s="44"/>
      <c r="BE212" s="44"/>
      <c r="BI212" s="44"/>
      <c r="BL212" s="44"/>
      <c r="BP212" s="44"/>
      <c r="BS212" s="44"/>
      <c r="BV212" s="44"/>
      <c r="BZ212" s="44"/>
      <c r="CC212" s="44"/>
    </row>
    <row r="213" spans="1:81" s="32" customFormat="1" x14ac:dyDescent="0.3">
      <c r="A213" s="85"/>
      <c r="B213" s="38">
        <v>1</v>
      </c>
      <c r="C213" s="33" t="s">
        <v>164</v>
      </c>
      <c r="D213" s="61">
        <f>(355+327)/2</f>
        <v>341</v>
      </c>
      <c r="E213" s="33" t="s">
        <v>140</v>
      </c>
      <c r="F213" s="56">
        <f>D213/D154</f>
        <v>3.0446428571428572</v>
      </c>
      <c r="G213" s="33" t="s">
        <v>147</v>
      </c>
      <c r="I213" s="44"/>
      <c r="M213" s="44"/>
      <c r="Q213" s="44"/>
      <c r="U213" s="44"/>
      <c r="X213" s="44"/>
      <c r="AA213" s="44"/>
      <c r="AE213" s="44"/>
      <c r="AH213" s="44"/>
      <c r="AL213" s="44"/>
      <c r="AP213" s="44"/>
      <c r="AT213" s="44"/>
      <c r="AX213" s="44"/>
      <c r="BB213" s="44"/>
      <c r="BE213" s="44"/>
      <c r="BI213" s="44"/>
      <c r="BL213" s="44"/>
      <c r="BP213" s="44"/>
      <c r="BS213" s="44"/>
      <c r="BV213" s="44"/>
      <c r="BZ213" s="44"/>
      <c r="CC213" s="44"/>
    </row>
    <row r="214" spans="1:81" s="32" customFormat="1" x14ac:dyDescent="0.3">
      <c r="A214" s="85"/>
      <c r="B214" s="38">
        <v>1</v>
      </c>
      <c r="C214" s="34" t="s">
        <v>193</v>
      </c>
      <c r="D214" s="61">
        <f>(2.2+2.5)/2</f>
        <v>2.35</v>
      </c>
      <c r="E214" s="33" t="s">
        <v>140</v>
      </c>
      <c r="F214" s="56">
        <f>D214/D154</f>
        <v>2.0982142857142859E-2</v>
      </c>
      <c r="G214" s="33" t="s">
        <v>147</v>
      </c>
      <c r="I214" s="44"/>
      <c r="M214" s="44"/>
      <c r="Q214" s="44"/>
      <c r="U214" s="44"/>
      <c r="X214" s="44"/>
      <c r="AA214" s="44"/>
      <c r="AE214" s="44"/>
      <c r="AH214" s="44"/>
      <c r="AL214" s="44"/>
      <c r="AP214" s="44"/>
      <c r="AT214" s="44"/>
      <c r="AX214" s="44"/>
      <c r="BB214" s="44"/>
      <c r="BE214" s="44"/>
      <c r="BI214" s="44"/>
      <c r="BL214" s="44"/>
      <c r="BP214" s="44"/>
      <c r="BS214" s="44"/>
      <c r="BV214" s="44"/>
      <c r="BZ214" s="44"/>
      <c r="CC214" s="44"/>
    </row>
    <row r="215" spans="1:81" s="43" customFormat="1" x14ac:dyDescent="0.3">
      <c r="A215" s="38" t="s">
        <v>194</v>
      </c>
      <c r="B215" s="38">
        <v>1</v>
      </c>
      <c r="C215" s="34" t="s">
        <v>181</v>
      </c>
      <c r="D215" s="61">
        <v>640</v>
      </c>
      <c r="E215" s="33" t="s">
        <v>140</v>
      </c>
      <c r="F215" s="56">
        <f>D215/D154</f>
        <v>5.7142857142857144</v>
      </c>
      <c r="G215" s="33" t="s">
        <v>147</v>
      </c>
      <c r="H215" s="39"/>
      <c r="I215" s="44"/>
      <c r="J215" s="40"/>
      <c r="K215" s="39"/>
      <c r="L215" s="39"/>
      <c r="M215" s="44"/>
      <c r="N215" s="40"/>
      <c r="O215" s="39"/>
      <c r="P215" s="39"/>
      <c r="Q215" s="44"/>
      <c r="R215" s="39"/>
      <c r="S215" s="40"/>
      <c r="T215" s="39"/>
      <c r="U215" s="44"/>
      <c r="V215" s="39"/>
      <c r="W215" s="39"/>
      <c r="X215" s="44"/>
      <c r="Y215" s="40"/>
      <c r="Z215" s="39"/>
      <c r="AA215" s="44"/>
      <c r="AB215" s="41"/>
      <c r="AC215" s="39"/>
      <c r="AD215" s="42"/>
      <c r="AE215" s="44"/>
      <c r="AF215" s="39"/>
      <c r="AG215" s="40"/>
      <c r="AH215" s="44"/>
      <c r="AI215" s="39"/>
      <c r="AJ215" s="39"/>
      <c r="AK215" s="39"/>
      <c r="AL215" s="44"/>
      <c r="AM215" s="40"/>
      <c r="AN215" s="39"/>
      <c r="AO215" s="40"/>
      <c r="AP215" s="44"/>
      <c r="AQ215" s="39"/>
      <c r="AR215" s="40"/>
      <c r="AS215" s="39"/>
      <c r="AT215" s="44"/>
      <c r="AU215" s="40"/>
      <c r="AV215" s="39"/>
      <c r="AW215" s="40"/>
      <c r="AX215" s="44"/>
      <c r="AY215" s="39"/>
      <c r="AZ215" s="42"/>
      <c r="BA215" s="39"/>
      <c r="BB215" s="44"/>
      <c r="BE215" s="44"/>
      <c r="BI215" s="44"/>
      <c r="BL215" s="44"/>
      <c r="BP215" s="44"/>
      <c r="BS215" s="44"/>
      <c r="BV215" s="44"/>
      <c r="BZ215" s="44"/>
      <c r="CC215" s="44"/>
    </row>
    <row r="216" spans="1:81" s="43" customFormat="1" x14ac:dyDescent="0.3">
      <c r="A216" s="85" t="s">
        <v>135</v>
      </c>
      <c r="B216" s="38">
        <v>1</v>
      </c>
      <c r="C216" s="34" t="s">
        <v>195</v>
      </c>
      <c r="D216" s="61">
        <v>196</v>
      </c>
      <c r="E216" s="33" t="s">
        <v>140</v>
      </c>
      <c r="F216" s="56">
        <f>D216/D154</f>
        <v>1.75</v>
      </c>
      <c r="G216" s="33" t="s">
        <v>147</v>
      </c>
      <c r="H216" s="39"/>
      <c r="I216" s="44"/>
      <c r="J216" s="39"/>
      <c r="K216" s="42"/>
      <c r="L216" s="39"/>
      <c r="M216" s="44"/>
      <c r="N216" s="39"/>
      <c r="O216" s="42"/>
      <c r="P216" s="39"/>
      <c r="Q216" s="44"/>
      <c r="R216" s="39"/>
      <c r="S216" s="39"/>
      <c r="T216" s="42"/>
      <c r="U216" s="44"/>
      <c r="V216" s="39"/>
      <c r="W216" s="39"/>
      <c r="X216" s="44"/>
      <c r="Y216" s="39"/>
      <c r="Z216" s="42"/>
      <c r="AA216" s="44"/>
      <c r="AB216" s="39"/>
      <c r="AD216" s="39"/>
      <c r="AE216" s="44"/>
      <c r="AF216" s="42"/>
      <c r="AG216" s="39"/>
      <c r="AH216" s="44"/>
      <c r="AI216" s="42"/>
      <c r="AJ216" s="39"/>
      <c r="AK216" s="39"/>
      <c r="AL216" s="44"/>
      <c r="AM216" s="39"/>
      <c r="AN216" s="42"/>
      <c r="AO216" s="39"/>
      <c r="AP216" s="44"/>
      <c r="AQ216" s="42"/>
      <c r="AR216" s="39"/>
      <c r="AS216" s="42"/>
      <c r="AT216" s="44"/>
      <c r="AU216" s="39"/>
      <c r="AV216" s="40"/>
      <c r="AW216" s="39"/>
      <c r="AX216" s="44"/>
      <c r="AY216" s="42"/>
      <c r="AZ216" s="39"/>
      <c r="BA216" s="42"/>
      <c r="BB216" s="44"/>
      <c r="BC216" s="39"/>
      <c r="BE216" s="44"/>
      <c r="BI216" s="44"/>
      <c r="BL216" s="44"/>
      <c r="BP216" s="44"/>
      <c r="BS216" s="44"/>
      <c r="BV216" s="44"/>
      <c r="BZ216" s="44"/>
      <c r="CC216" s="44"/>
    </row>
    <row r="217" spans="1:81" ht="13.8" customHeight="1" x14ac:dyDescent="0.3">
      <c r="A217" s="85"/>
      <c r="B217" s="38">
        <v>1</v>
      </c>
      <c r="C217" s="34" t="s">
        <v>196</v>
      </c>
      <c r="D217" s="61">
        <v>280</v>
      </c>
      <c r="E217" s="33" t="s">
        <v>140</v>
      </c>
      <c r="F217" s="56">
        <f>D217/D154</f>
        <v>2.5</v>
      </c>
      <c r="G217" s="33" t="s">
        <v>147</v>
      </c>
    </row>
    <row r="218" spans="1:81" x14ac:dyDescent="0.3">
      <c r="A218" s="37" t="s">
        <v>120</v>
      </c>
      <c r="B218" s="38">
        <v>1</v>
      </c>
      <c r="C218" s="34" t="s">
        <v>158</v>
      </c>
      <c r="D218" s="61">
        <v>112</v>
      </c>
      <c r="E218" s="33" t="s">
        <v>140</v>
      </c>
      <c r="F218" s="56">
        <f>D218/D154</f>
        <v>1</v>
      </c>
      <c r="G218" s="33" t="s">
        <v>147</v>
      </c>
    </row>
    <row r="219" spans="1:81" x14ac:dyDescent="0.3">
      <c r="A219" s="37" t="s">
        <v>126</v>
      </c>
      <c r="B219" s="38">
        <v>1</v>
      </c>
      <c r="C219" s="34" t="s">
        <v>164</v>
      </c>
      <c r="D219" s="61">
        <v>0.67513000000000001</v>
      </c>
      <c r="E219" s="33" t="s">
        <v>147</v>
      </c>
      <c r="F219" s="56"/>
      <c r="G219" s="33"/>
    </row>
    <row r="220" spans="1:81" x14ac:dyDescent="0.3">
      <c r="A220" s="44"/>
    </row>
  </sheetData>
  <mergeCells count="63">
    <mergeCell ref="A203:A204"/>
    <mergeCell ref="A212:A214"/>
    <mergeCell ref="A216:A217"/>
    <mergeCell ref="A184:A185"/>
    <mergeCell ref="A186:A187"/>
    <mergeCell ref="A188:A189"/>
    <mergeCell ref="A190:A191"/>
    <mergeCell ref="A197:A198"/>
    <mergeCell ref="A200:A202"/>
    <mergeCell ref="B155:B156"/>
    <mergeCell ref="C155:C156"/>
    <mergeCell ref="D155:D156"/>
    <mergeCell ref="E155:E156"/>
    <mergeCell ref="A180:A181"/>
    <mergeCell ref="A182:A183"/>
    <mergeCell ref="BR2:BS2"/>
    <mergeCell ref="BU2:BV2"/>
    <mergeCell ref="BY2:BZ2"/>
    <mergeCell ref="CB2:CC2"/>
    <mergeCell ref="B141:B142"/>
    <mergeCell ref="C141:C142"/>
    <mergeCell ref="D141:D142"/>
    <mergeCell ref="E141:E142"/>
    <mergeCell ref="AW2:AX2"/>
    <mergeCell ref="BA2:BB2"/>
    <mergeCell ref="BD2:BE2"/>
    <mergeCell ref="BH2:BI2"/>
    <mergeCell ref="BK2:BL2"/>
    <mergeCell ref="BO2:BP2"/>
    <mergeCell ref="Z2:AA2"/>
    <mergeCell ref="AD2:AE2"/>
    <mergeCell ref="AG2:AH2"/>
    <mergeCell ref="AK2:AL2"/>
    <mergeCell ref="AO2:AP2"/>
    <mergeCell ref="AS2:AT2"/>
    <mergeCell ref="BR1:BT1"/>
    <mergeCell ref="BU1:BW1"/>
    <mergeCell ref="BY1:CA1"/>
    <mergeCell ref="CB1:CD1"/>
    <mergeCell ref="D2:E2"/>
    <mergeCell ref="H2:I2"/>
    <mergeCell ref="L2:M2"/>
    <mergeCell ref="P2:Q2"/>
    <mergeCell ref="T2:U2"/>
    <mergeCell ref="W2:X2"/>
    <mergeCell ref="AW1:AY1"/>
    <mergeCell ref="BA1:BC1"/>
    <mergeCell ref="BD1:BF1"/>
    <mergeCell ref="BH1:BJ1"/>
    <mergeCell ref="BK1:BM1"/>
    <mergeCell ref="BO1:BQ1"/>
    <mergeCell ref="AS1:AU1"/>
    <mergeCell ref="D1:F1"/>
    <mergeCell ref="H1:J1"/>
    <mergeCell ref="L1:N1"/>
    <mergeCell ref="P1:R1"/>
    <mergeCell ref="T1:V1"/>
    <mergeCell ref="W1:Y1"/>
    <mergeCell ref="Z1:AB1"/>
    <mergeCell ref="AD1:AF1"/>
    <mergeCell ref="AG1:AI1"/>
    <mergeCell ref="AK1:AM1"/>
    <mergeCell ref="AO1:AQ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20"/>
  <sheetViews>
    <sheetView zoomScale="50" zoomScaleNormal="50" zoomScaleSheetLayoutView="70" workbookViewId="0">
      <pane xSplit="3" ySplit="3" topLeftCell="D158" activePane="bottomRight" state="frozen"/>
      <selection pane="topRight" activeCell="D1" sqref="D1"/>
      <selection pane="bottomLeft" activeCell="A4" sqref="A4"/>
      <selection pane="bottomRight" activeCell="G183" sqref="G183"/>
    </sheetView>
  </sheetViews>
  <sheetFormatPr defaultRowHeight="14.4" x14ac:dyDescent="0.3"/>
  <cols>
    <col min="1" max="1" width="28.33203125" style="49" customWidth="1"/>
    <col min="2" max="2" width="9.21875" style="44" customWidth="1"/>
    <col min="3" max="3" width="11.6640625" style="44" customWidth="1"/>
    <col min="4" max="4" width="13.109375" style="44" customWidth="1"/>
    <col min="5" max="5" width="11.6640625" style="44" customWidth="1"/>
    <col min="6" max="6" width="10" style="44" customWidth="1"/>
    <col min="7" max="9" width="11.6640625" style="44" customWidth="1"/>
    <col min="10" max="10" width="10" style="44" customWidth="1"/>
    <col min="11" max="13" width="11.6640625" style="44" customWidth="1"/>
    <col min="14" max="14" width="10" style="44" customWidth="1"/>
    <col min="15" max="17" width="11.6640625" style="44" customWidth="1"/>
    <col min="18" max="18" width="10" style="44" customWidth="1"/>
    <col min="19" max="21" width="11.6640625" style="44" customWidth="1"/>
    <col min="22" max="22" width="10" style="44" customWidth="1"/>
    <col min="23" max="24" width="11.6640625" style="44" customWidth="1"/>
    <col min="25" max="25" width="10" style="44" customWidth="1"/>
    <col min="26" max="27" width="11.6640625" style="44" customWidth="1"/>
    <col min="28" max="28" width="10" style="44" customWidth="1"/>
    <col min="29" max="31" width="11.6640625" style="44" customWidth="1"/>
    <col min="32" max="32" width="10" style="44" customWidth="1"/>
    <col min="33" max="34" width="11.6640625" style="44" customWidth="1"/>
    <col min="35" max="35" width="10" style="44" customWidth="1"/>
    <col min="36" max="38" width="11.6640625" style="44" customWidth="1"/>
    <col min="39" max="39" width="10" style="44" customWidth="1"/>
    <col min="40" max="42" width="11.6640625" style="44" customWidth="1"/>
    <col min="43" max="43" width="10" style="44" customWidth="1"/>
    <col min="44" max="46" width="11.6640625" style="44" customWidth="1"/>
    <col min="47" max="47" width="10" style="44" customWidth="1"/>
    <col min="48" max="50" width="11.6640625" style="44" customWidth="1"/>
    <col min="51" max="51" width="10" style="44" customWidth="1"/>
    <col min="52" max="54" width="11.6640625" style="44" customWidth="1"/>
    <col min="55" max="55" width="10" style="44" customWidth="1"/>
    <col min="56" max="56" width="11.6640625" style="44" customWidth="1"/>
    <col min="57" max="57" width="8.5546875" style="44" customWidth="1"/>
    <col min="58" max="58" width="10" style="44" customWidth="1"/>
    <col min="59" max="59" width="10.88671875" style="44" customWidth="1"/>
    <col min="60" max="60" width="13.77734375" style="44" customWidth="1"/>
    <col min="61" max="61" width="13.44140625" style="44" customWidth="1"/>
    <col min="62" max="62" width="10" style="44" customWidth="1"/>
    <col min="63" max="63" width="12.44140625" style="44" customWidth="1"/>
    <col min="64" max="64" width="11.6640625" style="44" customWidth="1"/>
    <col min="65" max="65" width="10" style="44" customWidth="1"/>
    <col min="66" max="68" width="11.6640625" style="44" customWidth="1"/>
    <col min="69" max="69" width="10" style="44" customWidth="1"/>
    <col min="70" max="71" width="11.6640625" style="44" customWidth="1"/>
    <col min="72" max="72" width="10" style="44" customWidth="1"/>
    <col min="73" max="74" width="11.6640625" style="44" customWidth="1"/>
    <col min="75" max="75" width="10" style="44" customWidth="1"/>
    <col min="76" max="78" width="11.6640625" style="44" customWidth="1"/>
    <col min="79" max="79" width="10" style="44" customWidth="1"/>
    <col min="80" max="80" width="11.6640625" style="44" customWidth="1"/>
    <col min="81" max="81" width="8.88671875" style="44" customWidth="1"/>
    <col min="82" max="82" width="10" style="44" customWidth="1"/>
    <col min="83" max="16384" width="8.88671875" style="44"/>
  </cols>
  <sheetData>
    <row r="1" spans="1:82" s="47" customFormat="1" ht="29.4" customHeight="1" x14ac:dyDescent="0.3">
      <c r="A1" s="46"/>
      <c r="B1" s="49"/>
      <c r="D1" s="83" t="s">
        <v>323</v>
      </c>
      <c r="E1" s="83"/>
      <c r="F1" s="83"/>
      <c r="H1" s="83" t="s">
        <v>324</v>
      </c>
      <c r="I1" s="83"/>
      <c r="J1" s="83"/>
      <c r="L1" s="83" t="s">
        <v>325</v>
      </c>
      <c r="M1" s="83"/>
      <c r="N1" s="83"/>
      <c r="P1" s="83" t="s">
        <v>326</v>
      </c>
      <c r="Q1" s="83"/>
      <c r="R1" s="83"/>
      <c r="T1" s="83" t="s">
        <v>327</v>
      </c>
      <c r="U1" s="83"/>
      <c r="V1" s="83"/>
      <c r="W1" s="83" t="s">
        <v>328</v>
      </c>
      <c r="X1" s="83"/>
      <c r="Y1" s="83"/>
      <c r="Z1" s="83" t="s">
        <v>329</v>
      </c>
      <c r="AA1" s="83"/>
      <c r="AB1" s="83"/>
      <c r="AD1" s="83" t="s">
        <v>330</v>
      </c>
      <c r="AE1" s="83"/>
      <c r="AF1" s="83"/>
      <c r="AG1" s="83" t="s">
        <v>331</v>
      </c>
      <c r="AH1" s="83"/>
      <c r="AI1" s="83"/>
      <c r="AK1" s="83" t="s">
        <v>332</v>
      </c>
      <c r="AL1" s="83"/>
      <c r="AM1" s="83"/>
      <c r="AO1" s="83" t="s">
        <v>333</v>
      </c>
      <c r="AP1" s="83"/>
      <c r="AQ1" s="83"/>
      <c r="AS1" s="83" t="s">
        <v>334</v>
      </c>
      <c r="AT1" s="83"/>
      <c r="AU1" s="83"/>
      <c r="AW1" s="83" t="s">
        <v>335</v>
      </c>
      <c r="AX1" s="83"/>
      <c r="AY1" s="83"/>
      <c r="BA1" s="83" t="s">
        <v>336</v>
      </c>
      <c r="BB1" s="83"/>
      <c r="BC1" s="83"/>
      <c r="BD1" s="83" t="s">
        <v>337</v>
      </c>
      <c r="BE1" s="83"/>
      <c r="BF1" s="83"/>
      <c r="BH1" s="83" t="s">
        <v>222</v>
      </c>
      <c r="BI1" s="83"/>
      <c r="BJ1" s="83"/>
      <c r="BK1" s="83" t="s">
        <v>223</v>
      </c>
      <c r="BL1" s="83"/>
      <c r="BM1" s="83"/>
      <c r="BO1" s="83" t="s">
        <v>224</v>
      </c>
      <c r="BP1" s="83"/>
      <c r="BQ1" s="83"/>
      <c r="BR1" s="83" t="s">
        <v>225</v>
      </c>
      <c r="BS1" s="83"/>
      <c r="BT1" s="83"/>
      <c r="BU1" s="83" t="s">
        <v>56</v>
      </c>
      <c r="BV1" s="83"/>
      <c r="BW1" s="83"/>
      <c r="BY1" s="83" t="s">
        <v>57</v>
      </c>
      <c r="BZ1" s="83"/>
      <c r="CA1" s="83"/>
      <c r="CB1" s="83" t="s">
        <v>58</v>
      </c>
      <c r="CC1" s="83"/>
      <c r="CD1" s="83"/>
    </row>
    <row r="2" spans="1:82" ht="15" hidden="1" customHeight="1" x14ac:dyDescent="0.3">
      <c r="B2" s="49"/>
      <c r="C2" s="50"/>
      <c r="D2" s="84">
        <v>1887</v>
      </c>
      <c r="E2" s="84"/>
      <c r="F2" s="51"/>
      <c r="G2" s="50"/>
      <c r="H2" s="84">
        <v>1888</v>
      </c>
      <c r="I2" s="84"/>
      <c r="J2" s="51"/>
      <c r="K2" s="50"/>
      <c r="L2" s="84">
        <v>1889</v>
      </c>
      <c r="M2" s="84"/>
      <c r="N2" s="51"/>
      <c r="O2" s="50"/>
      <c r="P2" s="84">
        <v>1890</v>
      </c>
      <c r="Q2" s="84"/>
      <c r="R2" s="51"/>
      <c r="S2" s="50"/>
      <c r="T2" s="84">
        <v>1891</v>
      </c>
      <c r="U2" s="84"/>
      <c r="V2" s="51"/>
      <c r="W2" s="84">
        <v>1892</v>
      </c>
      <c r="X2" s="84"/>
      <c r="Y2" s="51"/>
      <c r="Z2" s="84">
        <v>1893</v>
      </c>
      <c r="AA2" s="84"/>
      <c r="AB2" s="51"/>
      <c r="AD2" s="84">
        <v>1894</v>
      </c>
      <c r="AE2" s="84"/>
      <c r="AF2" s="51"/>
      <c r="AG2" s="84">
        <v>1895</v>
      </c>
      <c r="AH2" s="84"/>
      <c r="AI2" s="51"/>
      <c r="AJ2" s="50"/>
      <c r="AK2" s="84">
        <v>1896</v>
      </c>
      <c r="AL2" s="84"/>
      <c r="AM2" s="51"/>
      <c r="AN2" s="50"/>
      <c r="AO2" s="84">
        <v>1897</v>
      </c>
      <c r="AP2" s="84"/>
      <c r="AQ2" s="51"/>
      <c r="AR2" s="50"/>
      <c r="AS2" s="84">
        <v>1898</v>
      </c>
      <c r="AT2" s="84"/>
      <c r="AU2" s="51"/>
      <c r="AV2" s="50"/>
      <c r="AW2" s="84">
        <v>1899</v>
      </c>
      <c r="AX2" s="84"/>
      <c r="AY2" s="51"/>
      <c r="AZ2" s="50"/>
      <c r="BA2" s="84">
        <v>1900</v>
      </c>
      <c r="BB2" s="84"/>
      <c r="BC2" s="51"/>
      <c r="BD2" s="84">
        <v>1901</v>
      </c>
      <c r="BE2" s="84"/>
      <c r="BF2" s="51"/>
      <c r="BG2" s="50"/>
      <c r="BH2" s="84">
        <v>1906</v>
      </c>
      <c r="BI2" s="84"/>
      <c r="BJ2" s="51"/>
      <c r="BK2" s="84">
        <v>1907</v>
      </c>
      <c r="BL2" s="84"/>
      <c r="BM2" s="51"/>
      <c r="BN2" s="50"/>
      <c r="BO2" s="84">
        <v>1908</v>
      </c>
      <c r="BP2" s="84"/>
      <c r="BQ2" s="51"/>
      <c r="BR2" s="84">
        <v>1909</v>
      </c>
      <c r="BS2" s="84"/>
      <c r="BT2" s="51"/>
      <c r="BU2" s="84">
        <v>1910</v>
      </c>
      <c r="BV2" s="84"/>
      <c r="BW2" s="51"/>
      <c r="BX2" s="50"/>
      <c r="BY2" s="84">
        <v>1911</v>
      </c>
      <c r="BZ2" s="84"/>
      <c r="CA2" s="51"/>
      <c r="CB2" s="84">
        <v>1912</v>
      </c>
      <c r="CC2" s="84"/>
      <c r="CD2" s="51"/>
    </row>
    <row r="3" spans="1:82" s="47" customFormat="1" ht="29.4" customHeight="1" x14ac:dyDescent="0.3">
      <c r="A3" s="68" t="s">
        <v>0</v>
      </c>
      <c r="B3" s="69" t="s">
        <v>283</v>
      </c>
      <c r="C3" s="69" t="s">
        <v>3</v>
      </c>
      <c r="D3" s="70" t="s">
        <v>4</v>
      </c>
      <c r="E3" s="71" t="s">
        <v>201</v>
      </c>
      <c r="F3" s="71" t="s">
        <v>285</v>
      </c>
      <c r="G3" s="69" t="s">
        <v>3</v>
      </c>
      <c r="H3" s="70" t="s">
        <v>4</v>
      </c>
      <c r="I3" s="71" t="s">
        <v>201</v>
      </c>
      <c r="J3" s="71" t="s">
        <v>285</v>
      </c>
      <c r="K3" s="69" t="s">
        <v>3</v>
      </c>
      <c r="L3" s="70" t="s">
        <v>4</v>
      </c>
      <c r="M3" s="71" t="s">
        <v>201</v>
      </c>
      <c r="N3" s="71" t="s">
        <v>285</v>
      </c>
      <c r="O3" s="69" t="s">
        <v>3</v>
      </c>
      <c r="P3" s="70" t="s">
        <v>4</v>
      </c>
      <c r="Q3" s="71" t="s">
        <v>201</v>
      </c>
      <c r="R3" s="71" t="s">
        <v>285</v>
      </c>
      <c r="S3" s="69" t="s">
        <v>3</v>
      </c>
      <c r="T3" s="70" t="s">
        <v>4</v>
      </c>
      <c r="U3" s="71" t="s">
        <v>201</v>
      </c>
      <c r="V3" s="71" t="s">
        <v>285</v>
      </c>
      <c r="W3" s="70" t="s">
        <v>4</v>
      </c>
      <c r="X3" s="71" t="s">
        <v>201</v>
      </c>
      <c r="Y3" s="71" t="s">
        <v>285</v>
      </c>
      <c r="Z3" s="70" t="s">
        <v>4</v>
      </c>
      <c r="AA3" s="71" t="s">
        <v>201</v>
      </c>
      <c r="AB3" s="71" t="s">
        <v>285</v>
      </c>
      <c r="AC3" s="69" t="s">
        <v>3</v>
      </c>
      <c r="AD3" s="70" t="s">
        <v>4</v>
      </c>
      <c r="AE3" s="71" t="s">
        <v>201</v>
      </c>
      <c r="AF3" s="71" t="s">
        <v>285</v>
      </c>
      <c r="AG3" s="70" t="s">
        <v>4</v>
      </c>
      <c r="AH3" s="71" t="s">
        <v>201</v>
      </c>
      <c r="AI3" s="71" t="s">
        <v>285</v>
      </c>
      <c r="AJ3" s="69" t="s">
        <v>3</v>
      </c>
      <c r="AK3" s="70" t="s">
        <v>4</v>
      </c>
      <c r="AL3" s="71" t="s">
        <v>201</v>
      </c>
      <c r="AM3" s="71" t="s">
        <v>285</v>
      </c>
      <c r="AN3" s="69" t="s">
        <v>3</v>
      </c>
      <c r="AO3" s="70" t="s">
        <v>4</v>
      </c>
      <c r="AP3" s="71" t="s">
        <v>201</v>
      </c>
      <c r="AQ3" s="71" t="s">
        <v>285</v>
      </c>
      <c r="AR3" s="69" t="s">
        <v>3</v>
      </c>
      <c r="AS3" s="70" t="s">
        <v>4</v>
      </c>
      <c r="AT3" s="71" t="s">
        <v>201</v>
      </c>
      <c r="AU3" s="71" t="s">
        <v>285</v>
      </c>
      <c r="AV3" s="69" t="s">
        <v>3</v>
      </c>
      <c r="AW3" s="70" t="s">
        <v>4</v>
      </c>
      <c r="AX3" s="71" t="s">
        <v>201</v>
      </c>
      <c r="AY3" s="71" t="s">
        <v>285</v>
      </c>
      <c r="AZ3" s="69" t="s">
        <v>3</v>
      </c>
      <c r="BA3" s="70" t="s">
        <v>4</v>
      </c>
      <c r="BB3" s="71" t="s">
        <v>201</v>
      </c>
      <c r="BC3" s="71" t="s">
        <v>285</v>
      </c>
      <c r="BD3" s="70" t="s">
        <v>4</v>
      </c>
      <c r="BE3" s="71" t="s">
        <v>201</v>
      </c>
      <c r="BF3" s="71" t="s">
        <v>285</v>
      </c>
      <c r="BG3" s="69" t="s">
        <v>3</v>
      </c>
      <c r="BH3" s="70" t="s">
        <v>4</v>
      </c>
      <c r="BI3" s="71" t="s">
        <v>201</v>
      </c>
      <c r="BJ3" s="71" t="s">
        <v>285</v>
      </c>
      <c r="BK3" s="70" t="s">
        <v>4</v>
      </c>
      <c r="BL3" s="71" t="s">
        <v>201</v>
      </c>
      <c r="BM3" s="71" t="s">
        <v>285</v>
      </c>
      <c r="BN3" s="69" t="s">
        <v>3</v>
      </c>
      <c r="BO3" s="70" t="s">
        <v>4</v>
      </c>
      <c r="BP3" s="71" t="s">
        <v>201</v>
      </c>
      <c r="BQ3" s="71" t="s">
        <v>285</v>
      </c>
      <c r="BR3" s="70" t="s">
        <v>4</v>
      </c>
      <c r="BS3" s="71" t="s">
        <v>201</v>
      </c>
      <c r="BT3" s="71" t="s">
        <v>285</v>
      </c>
      <c r="BU3" s="70" t="s">
        <v>4</v>
      </c>
      <c r="BV3" s="71" t="s">
        <v>201</v>
      </c>
      <c r="BW3" s="71" t="s">
        <v>285</v>
      </c>
      <c r="BX3" s="69" t="s">
        <v>3</v>
      </c>
      <c r="BY3" s="70" t="s">
        <v>4</v>
      </c>
      <c r="BZ3" s="71" t="s">
        <v>201</v>
      </c>
      <c r="CA3" s="71" t="s">
        <v>285</v>
      </c>
      <c r="CB3" s="70" t="s">
        <v>4</v>
      </c>
      <c r="CC3" s="71" t="s">
        <v>201</v>
      </c>
      <c r="CD3" s="71" t="s">
        <v>285</v>
      </c>
    </row>
    <row r="4" spans="1:82" x14ac:dyDescent="0.3">
      <c r="A4" s="49" t="s">
        <v>5</v>
      </c>
      <c r="B4" s="49" t="s">
        <v>112</v>
      </c>
      <c r="C4" s="44" t="s">
        <v>34</v>
      </c>
      <c r="D4" s="44">
        <v>350</v>
      </c>
      <c r="E4" s="44">
        <v>911</v>
      </c>
      <c r="F4" s="62">
        <f>IFERROR(E4/D4,"")</f>
        <v>2.6028571428571428</v>
      </c>
      <c r="G4" s="44" t="s">
        <v>34</v>
      </c>
      <c r="H4" s="44">
        <v>274</v>
      </c>
      <c r="I4" s="44">
        <v>631</v>
      </c>
      <c r="J4" s="62">
        <f>IFERROR(I4/H4,"")</f>
        <v>2.3029197080291972</v>
      </c>
      <c r="K4" s="44" t="s">
        <v>39</v>
      </c>
      <c r="L4" s="44">
        <v>229</v>
      </c>
      <c r="M4" s="44">
        <v>786</v>
      </c>
      <c r="N4" s="62">
        <f>IFERROR(M4/L4,"")</f>
        <v>3.4323144104803491</v>
      </c>
      <c r="O4" s="44" t="s">
        <v>39</v>
      </c>
      <c r="P4" s="44">
        <v>100</v>
      </c>
      <c r="Q4" s="44">
        <v>435</v>
      </c>
      <c r="R4" s="62">
        <f>IFERROR(Q4/P4,"")</f>
        <v>4.3499999999999996</v>
      </c>
      <c r="S4" s="44" t="s">
        <v>39</v>
      </c>
      <c r="T4" s="44">
        <v>304</v>
      </c>
      <c r="U4" s="44">
        <v>864</v>
      </c>
      <c r="V4" s="62">
        <f>IFERROR(U4/T4,"")</f>
        <v>2.8421052631578947</v>
      </c>
      <c r="Y4" s="62" t="str">
        <f>IFERROR(X4/W4,"")</f>
        <v/>
      </c>
      <c r="Z4" s="44">
        <v>136</v>
      </c>
      <c r="AA4" s="44">
        <v>689</v>
      </c>
      <c r="AB4" s="62">
        <f>IFERROR(AA4/Z4,"")</f>
        <v>5.0661764705882355</v>
      </c>
      <c r="AC4" s="44" t="s">
        <v>39</v>
      </c>
      <c r="AD4" s="44">
        <v>297</v>
      </c>
      <c r="AE4" s="44">
        <v>754</v>
      </c>
      <c r="AF4" s="62">
        <f>IFERROR(AE4/AD4,"")</f>
        <v>2.5387205387205389</v>
      </c>
      <c r="AG4" s="44">
        <v>322</v>
      </c>
      <c r="AH4" s="44">
        <v>561</v>
      </c>
      <c r="AI4" s="62">
        <f>IFERROR(AH4/AG4,"")</f>
        <v>1.7422360248447204</v>
      </c>
      <c r="AM4" s="62" t="str">
        <f>IFERROR(AL4/AK4,"")</f>
        <v/>
      </c>
      <c r="AQ4" s="62" t="str">
        <f>IFERROR(AP4/AO4,"")</f>
        <v/>
      </c>
      <c r="AU4" s="62" t="str">
        <f>IFERROR(AT4/AS4,"")</f>
        <v/>
      </c>
      <c r="AY4" s="62" t="str">
        <f>IFERROR(AX4/AW4,"")</f>
        <v/>
      </c>
      <c r="BC4" s="62" t="str">
        <f>IFERROR(BB4/BA4,"")</f>
        <v/>
      </c>
      <c r="BF4" s="62" t="str">
        <f>IFERROR(BE4/BD4,"")</f>
        <v/>
      </c>
      <c r="BJ4" s="62" t="str">
        <f>IFERROR(BI4/BH4,"")</f>
        <v/>
      </c>
      <c r="BM4" s="62" t="str">
        <f>IFERROR(BL4/BK4,"")</f>
        <v/>
      </c>
      <c r="BQ4" s="62" t="str">
        <f>IFERROR(BP4/BO4,"")</f>
        <v/>
      </c>
      <c r="BT4" s="62" t="str">
        <f>IFERROR(BS4/BR4,"")</f>
        <v/>
      </c>
      <c r="BW4" s="62" t="str">
        <f>IFERROR(BV4/BU4,"")</f>
        <v/>
      </c>
      <c r="CA4" s="62" t="str">
        <f>IFERROR(BZ4/BY4,"")</f>
        <v/>
      </c>
      <c r="CD4" s="62" t="str">
        <f>IFERROR(CC4/CB4,"")</f>
        <v/>
      </c>
    </row>
    <row r="5" spans="1:82" x14ac:dyDescent="0.3">
      <c r="A5" s="49" t="s">
        <v>202</v>
      </c>
      <c r="B5" s="49" t="s">
        <v>112</v>
      </c>
      <c r="C5" s="44" t="s">
        <v>34</v>
      </c>
      <c r="F5" s="62" t="str">
        <f t="shared" ref="F5:F67" si="0">IFERROR(E5/D5,"")</f>
        <v/>
      </c>
      <c r="J5" s="62" t="str">
        <f t="shared" ref="J5:J67" si="1">IFERROR(I5/H5,"")</f>
        <v/>
      </c>
      <c r="N5" s="62" t="str">
        <f t="shared" ref="N5:N67" si="2">IFERROR(M5/L5,"")</f>
        <v/>
      </c>
      <c r="R5" s="62" t="str">
        <f t="shared" ref="R5:R67" si="3">IFERROR(Q5/P5,"")</f>
        <v/>
      </c>
      <c r="V5" s="62" t="str">
        <f t="shared" ref="V5:V67" si="4">IFERROR(U5/T5,"")</f>
        <v/>
      </c>
      <c r="Y5" s="62" t="str">
        <f t="shared" ref="Y5:Y67" si="5">IFERROR(X5/W5,"")</f>
        <v/>
      </c>
      <c r="AB5" s="62" t="str">
        <f t="shared" ref="AB5:AB67" si="6">IFERROR(AA5/Z5,"")</f>
        <v/>
      </c>
      <c r="AF5" s="62" t="str">
        <f t="shared" ref="AF5:AF67" si="7">IFERROR(AE5/AD5,"")</f>
        <v/>
      </c>
      <c r="AI5" s="62" t="str">
        <f t="shared" ref="AI5:AI67" si="8">IFERROR(AH5/AG5,"")</f>
        <v/>
      </c>
      <c r="AJ5" s="44" t="s">
        <v>39</v>
      </c>
      <c r="AK5" s="44">
        <v>7</v>
      </c>
      <c r="AL5" s="44">
        <v>88</v>
      </c>
      <c r="AM5" s="62">
        <f t="shared" ref="AM5:AM67" si="9">IFERROR(AL5/AK5,"")</f>
        <v>12.571428571428571</v>
      </c>
      <c r="AQ5" s="62" t="str">
        <f t="shared" ref="AQ5:AQ67" si="10">IFERROR(AP5/AO5,"")</f>
        <v/>
      </c>
      <c r="AU5" s="62" t="str">
        <f t="shared" ref="AU5:AU67" si="11">IFERROR(AT5/AS5,"")</f>
        <v/>
      </c>
      <c r="AY5" s="62" t="str">
        <f t="shared" ref="AY5:AY67" si="12">IFERROR(AX5/AW5,"")</f>
        <v/>
      </c>
      <c r="BC5" s="62" t="str">
        <f t="shared" ref="BC5:BC67" si="13">IFERROR(BB5/BA5,"")</f>
        <v/>
      </c>
      <c r="BF5" s="62" t="str">
        <f t="shared" ref="BF5:BF67" si="14">IFERROR(BE5/BD5,"")</f>
        <v/>
      </c>
      <c r="BG5" s="44" t="s">
        <v>39</v>
      </c>
      <c r="BH5" s="44">
        <v>7</v>
      </c>
      <c r="BI5" s="44">
        <v>48</v>
      </c>
      <c r="BJ5" s="62">
        <f t="shared" ref="BJ5:BJ67" si="15">IFERROR(BI5/BH5,"")</f>
        <v>6.8571428571428568</v>
      </c>
      <c r="BK5" s="44">
        <v>1</v>
      </c>
      <c r="BL5" s="44">
        <v>38</v>
      </c>
      <c r="BM5" s="62">
        <f t="shared" ref="BM5:BM67" si="16">IFERROR(BL5/BK5,"")</f>
        <v>38</v>
      </c>
      <c r="BN5" s="44" t="s">
        <v>39</v>
      </c>
      <c r="BO5" s="44">
        <v>1</v>
      </c>
      <c r="BP5" s="44">
        <v>10</v>
      </c>
      <c r="BQ5" s="62">
        <f t="shared" ref="BQ5:BQ67" si="17">IFERROR(BP5/BO5,"")</f>
        <v>10</v>
      </c>
      <c r="BT5" s="62" t="str">
        <f t="shared" ref="BT5:BT67" si="18">IFERROR(BS5/BR5,"")</f>
        <v/>
      </c>
      <c r="BW5" s="62" t="str">
        <f t="shared" ref="BW5:BW67" si="19">IFERROR(BV5/BU5,"")</f>
        <v/>
      </c>
      <c r="CA5" s="62" t="str">
        <f t="shared" ref="CA5:CA67" si="20">IFERROR(BZ5/BY5,"")</f>
        <v/>
      </c>
      <c r="CD5" s="62" t="str">
        <f t="shared" ref="CD5:CD67" si="21">IFERROR(CC5/CB5,"")</f>
        <v/>
      </c>
    </row>
    <row r="6" spans="1:82" x14ac:dyDescent="0.3">
      <c r="A6" s="49" t="s">
        <v>203</v>
      </c>
      <c r="B6" s="49" t="s">
        <v>112</v>
      </c>
      <c r="C6" s="44" t="s">
        <v>34</v>
      </c>
      <c r="F6" s="62" t="str">
        <f t="shared" si="0"/>
        <v/>
      </c>
      <c r="J6" s="62" t="str">
        <f t="shared" si="1"/>
        <v/>
      </c>
      <c r="N6" s="62" t="str">
        <f t="shared" si="2"/>
        <v/>
      </c>
      <c r="R6" s="62" t="str">
        <f t="shared" si="3"/>
        <v/>
      </c>
      <c r="V6" s="62" t="str">
        <f t="shared" si="4"/>
        <v/>
      </c>
      <c r="Y6" s="62" t="str">
        <f t="shared" si="5"/>
        <v/>
      </c>
      <c r="AB6" s="62" t="str">
        <f t="shared" si="6"/>
        <v/>
      </c>
      <c r="AF6" s="62" t="str">
        <f t="shared" si="7"/>
        <v/>
      </c>
      <c r="AI6" s="62" t="str">
        <f t="shared" si="8"/>
        <v/>
      </c>
      <c r="AJ6" s="44" t="s">
        <v>39</v>
      </c>
      <c r="AK6" s="44">
        <v>150</v>
      </c>
      <c r="AL6" s="44">
        <v>309</v>
      </c>
      <c r="AM6" s="62">
        <f t="shared" si="9"/>
        <v>2.06</v>
      </c>
      <c r="AN6" s="44" t="s">
        <v>39</v>
      </c>
      <c r="AO6" s="44">
        <v>105</v>
      </c>
      <c r="AP6" s="44">
        <v>197</v>
      </c>
      <c r="AQ6" s="62">
        <f t="shared" si="10"/>
        <v>1.8761904761904762</v>
      </c>
      <c r="AR6" s="44" t="s">
        <v>39</v>
      </c>
      <c r="AS6" s="44">
        <v>20</v>
      </c>
      <c r="AT6" s="44">
        <v>38</v>
      </c>
      <c r="AU6" s="62">
        <f t="shared" si="11"/>
        <v>1.9</v>
      </c>
      <c r="AV6" s="44" t="s">
        <v>39</v>
      </c>
      <c r="AW6" s="44">
        <v>25</v>
      </c>
      <c r="AX6" s="44">
        <v>50</v>
      </c>
      <c r="AY6" s="62">
        <f t="shared" si="12"/>
        <v>2</v>
      </c>
      <c r="AZ6" s="44" t="s">
        <v>39</v>
      </c>
      <c r="BA6" s="44">
        <v>90</v>
      </c>
      <c r="BB6" s="44">
        <v>180</v>
      </c>
      <c r="BC6" s="62">
        <f t="shared" si="13"/>
        <v>2</v>
      </c>
      <c r="BD6" s="44">
        <v>65</v>
      </c>
      <c r="BE6" s="44">
        <v>130</v>
      </c>
      <c r="BF6" s="62">
        <f t="shared" si="14"/>
        <v>2</v>
      </c>
      <c r="BG6" s="44" t="s">
        <v>39</v>
      </c>
      <c r="BH6" s="44">
        <v>68</v>
      </c>
      <c r="BI6" s="44">
        <v>175</v>
      </c>
      <c r="BJ6" s="62">
        <f t="shared" si="15"/>
        <v>2.5735294117647061</v>
      </c>
      <c r="BK6" s="44">
        <v>205</v>
      </c>
      <c r="BL6" s="44">
        <v>451</v>
      </c>
      <c r="BM6" s="62">
        <f t="shared" si="16"/>
        <v>2.2000000000000002</v>
      </c>
      <c r="BN6" s="44" t="s">
        <v>39</v>
      </c>
      <c r="BO6" s="44">
        <v>26</v>
      </c>
      <c r="BP6" s="44">
        <v>88</v>
      </c>
      <c r="BQ6" s="62">
        <f t="shared" si="17"/>
        <v>3.3846153846153846</v>
      </c>
      <c r="BR6" s="44">
        <v>7</v>
      </c>
      <c r="BS6" s="44">
        <v>28</v>
      </c>
      <c r="BT6" s="62">
        <f t="shared" si="18"/>
        <v>4</v>
      </c>
      <c r="BU6" s="44">
        <v>30</v>
      </c>
      <c r="BV6" s="44">
        <v>116</v>
      </c>
      <c r="BW6" s="62">
        <f t="shared" si="19"/>
        <v>3.8666666666666667</v>
      </c>
      <c r="BX6" s="44" t="s">
        <v>39</v>
      </c>
      <c r="BY6" s="44">
        <v>61</v>
      </c>
      <c r="BZ6" s="44">
        <v>264</v>
      </c>
      <c r="CA6" s="62">
        <f t="shared" si="20"/>
        <v>4.3278688524590168</v>
      </c>
      <c r="CB6" s="44">
        <v>17</v>
      </c>
      <c r="CC6" s="44">
        <v>88</v>
      </c>
      <c r="CD6" s="62">
        <f t="shared" si="21"/>
        <v>5.1764705882352944</v>
      </c>
    </row>
    <row r="7" spans="1:82" x14ac:dyDescent="0.3">
      <c r="A7" s="49" t="s">
        <v>204</v>
      </c>
      <c r="B7" s="49" t="s">
        <v>112</v>
      </c>
      <c r="C7" s="44" t="s">
        <v>34</v>
      </c>
      <c r="F7" s="62" t="str">
        <f t="shared" si="0"/>
        <v/>
      </c>
      <c r="J7" s="62" t="str">
        <f t="shared" si="1"/>
        <v/>
      </c>
      <c r="N7" s="62" t="str">
        <f t="shared" si="2"/>
        <v/>
      </c>
      <c r="R7" s="62" t="str">
        <f t="shared" si="3"/>
        <v/>
      </c>
      <c r="V7" s="62" t="str">
        <f t="shared" si="4"/>
        <v/>
      </c>
      <c r="Y7" s="62" t="str">
        <f t="shared" si="5"/>
        <v/>
      </c>
      <c r="AB7" s="62" t="str">
        <f t="shared" si="6"/>
        <v/>
      </c>
      <c r="AF7" s="62" t="str">
        <f t="shared" si="7"/>
        <v/>
      </c>
      <c r="AI7" s="62" t="str">
        <f t="shared" si="8"/>
        <v/>
      </c>
      <c r="AM7" s="62" t="str">
        <f t="shared" si="9"/>
        <v/>
      </c>
      <c r="AN7" s="44" t="s">
        <v>39</v>
      </c>
      <c r="AO7" s="44">
        <v>85</v>
      </c>
      <c r="AP7" s="44">
        <v>212</v>
      </c>
      <c r="AQ7" s="62">
        <f t="shared" si="10"/>
        <v>2.4941176470588236</v>
      </c>
      <c r="AR7" s="44" t="s">
        <v>39</v>
      </c>
      <c r="AS7" s="44">
        <v>20</v>
      </c>
      <c r="AT7" s="44">
        <v>50</v>
      </c>
      <c r="AU7" s="62">
        <f t="shared" si="11"/>
        <v>2.5</v>
      </c>
      <c r="AY7" s="62" t="str">
        <f t="shared" si="12"/>
        <v/>
      </c>
      <c r="BC7" s="62" t="str">
        <f t="shared" si="13"/>
        <v/>
      </c>
      <c r="BF7" s="62" t="str">
        <f t="shared" si="14"/>
        <v/>
      </c>
      <c r="BJ7" s="62" t="str">
        <f t="shared" si="15"/>
        <v/>
      </c>
      <c r="BM7" s="62" t="str">
        <f t="shared" si="16"/>
        <v/>
      </c>
      <c r="BN7" s="44" t="s">
        <v>39</v>
      </c>
      <c r="BO7" s="44">
        <v>9</v>
      </c>
      <c r="BP7" s="44">
        <v>40</v>
      </c>
      <c r="BQ7" s="62">
        <f t="shared" si="17"/>
        <v>4.4444444444444446</v>
      </c>
      <c r="BR7" s="44">
        <v>1</v>
      </c>
      <c r="BS7" s="44">
        <v>2</v>
      </c>
      <c r="BT7" s="62">
        <f t="shared" si="18"/>
        <v>2</v>
      </c>
      <c r="BU7" s="44">
        <v>1</v>
      </c>
      <c r="BV7" s="44">
        <v>1.5</v>
      </c>
      <c r="BW7" s="62">
        <f t="shared" si="19"/>
        <v>1.5</v>
      </c>
      <c r="BX7" s="44" t="s">
        <v>39</v>
      </c>
      <c r="BY7" s="44">
        <v>3</v>
      </c>
      <c r="BZ7" s="44">
        <v>40</v>
      </c>
      <c r="CA7" s="62">
        <f t="shared" si="20"/>
        <v>13.333333333333334</v>
      </c>
      <c r="CD7" s="62" t="str">
        <f t="shared" si="21"/>
        <v/>
      </c>
    </row>
    <row r="8" spans="1:82" x14ac:dyDescent="0.3">
      <c r="A8" s="52" t="s">
        <v>227</v>
      </c>
      <c r="B8" s="49" t="s">
        <v>291</v>
      </c>
      <c r="C8" s="44" t="s">
        <v>39</v>
      </c>
      <c r="D8" s="44">
        <v>14700</v>
      </c>
      <c r="E8" s="44">
        <v>3675</v>
      </c>
      <c r="F8" s="62">
        <f>IFERROR(E8/D8,"")</f>
        <v>0.25</v>
      </c>
      <c r="G8" s="44" t="s">
        <v>39</v>
      </c>
      <c r="H8" s="44">
        <v>16500</v>
      </c>
      <c r="I8" s="44">
        <v>3899</v>
      </c>
      <c r="J8" s="62">
        <f>IFERROR(I8/H8,"")</f>
        <v>0.23630303030303029</v>
      </c>
      <c r="K8" s="44" t="s">
        <v>39</v>
      </c>
      <c r="L8" s="44">
        <v>14000</v>
      </c>
      <c r="M8" s="44">
        <v>2872</v>
      </c>
      <c r="N8" s="62">
        <f>IFERROR(M8/L8,"")</f>
        <v>0.20514285714285715</v>
      </c>
      <c r="O8" s="44" t="s">
        <v>39</v>
      </c>
      <c r="P8" s="44">
        <v>16000</v>
      </c>
      <c r="Q8" s="44">
        <v>3692</v>
      </c>
      <c r="R8" s="62">
        <f>IFERROR(Q8/P8,"")</f>
        <v>0.23075000000000001</v>
      </c>
      <c r="S8" s="44" t="s">
        <v>39</v>
      </c>
      <c r="T8" s="44">
        <v>12000</v>
      </c>
      <c r="U8" s="44">
        <v>3000</v>
      </c>
      <c r="V8" s="62">
        <f>IFERROR(U8/T8,"")</f>
        <v>0.25</v>
      </c>
      <c r="W8" s="44">
        <v>10000</v>
      </c>
      <c r="X8" s="44">
        <v>1875</v>
      </c>
      <c r="Y8" s="62">
        <f>IFERROR(X8/W8,"")</f>
        <v>0.1875</v>
      </c>
      <c r="Z8" s="44">
        <v>7500</v>
      </c>
      <c r="AA8" s="44">
        <v>1615</v>
      </c>
      <c r="AB8" s="62">
        <f>IFERROR(AA8/Z8,"")</f>
        <v>0.21533333333333332</v>
      </c>
      <c r="AC8" s="44" t="s">
        <v>39</v>
      </c>
      <c r="AD8" s="44">
        <v>6500</v>
      </c>
      <c r="AE8" s="44">
        <v>1264</v>
      </c>
      <c r="AF8" s="62">
        <f>IFERROR(AE8/AD8,"")</f>
        <v>0.19446153846153846</v>
      </c>
      <c r="AG8" s="44">
        <v>5500</v>
      </c>
      <c r="AH8" s="44">
        <v>1069</v>
      </c>
      <c r="AI8" s="62">
        <f>IFERROR(AH8/AG8,"")</f>
        <v>0.19436363636363638</v>
      </c>
      <c r="AM8" s="62" t="str">
        <f>IFERROR(AL8/AK8,"")</f>
        <v/>
      </c>
      <c r="AQ8" s="62" t="str">
        <f>IFERROR(AP8/AO8,"")</f>
        <v/>
      </c>
      <c r="AU8" s="62" t="str">
        <f>IFERROR(AT8/AS8,"")</f>
        <v/>
      </c>
      <c r="AY8" s="62" t="str">
        <f>IFERROR(AX8/AW8,"")</f>
        <v/>
      </c>
      <c r="BC8" s="62" t="str">
        <f>IFERROR(BB8/BA8,"")</f>
        <v/>
      </c>
      <c r="BF8" s="62" t="str">
        <f>IFERROR(BE8/BD8,"")</f>
        <v/>
      </c>
      <c r="BJ8" s="62" t="str">
        <f>IFERROR(BI8/BH8,"")</f>
        <v/>
      </c>
      <c r="BM8" s="62" t="str">
        <f>IFERROR(BL8/BK8,"")</f>
        <v/>
      </c>
      <c r="BQ8" s="62" t="str">
        <f>IFERROR(BP8/BO8,"")</f>
        <v/>
      </c>
      <c r="BT8" s="62" t="str">
        <f>IFERROR(BS8/BR8,"")</f>
        <v/>
      </c>
      <c r="BW8" s="62" t="str">
        <f>IFERROR(BV8/BU8,"")</f>
        <v/>
      </c>
      <c r="CA8" s="62" t="str">
        <f>IFERROR(BZ8/BY8,"")</f>
        <v/>
      </c>
      <c r="CD8" s="62" t="str">
        <f>IFERROR(CC8/CB8,"")</f>
        <v/>
      </c>
    </row>
    <row r="9" spans="1:82" x14ac:dyDescent="0.3">
      <c r="A9" s="49" t="s">
        <v>205</v>
      </c>
      <c r="B9" s="49" t="s">
        <v>112</v>
      </c>
      <c r="C9" s="44" t="s">
        <v>34</v>
      </c>
      <c r="F9" s="62" t="str">
        <f t="shared" si="0"/>
        <v/>
      </c>
      <c r="J9" s="62" t="str">
        <f t="shared" si="1"/>
        <v/>
      </c>
      <c r="N9" s="62" t="str">
        <f t="shared" si="2"/>
        <v/>
      </c>
      <c r="R9" s="62" t="str">
        <f t="shared" si="3"/>
        <v/>
      </c>
      <c r="V9" s="62" t="str">
        <f t="shared" si="4"/>
        <v/>
      </c>
      <c r="Y9" s="62" t="str">
        <f t="shared" si="5"/>
        <v/>
      </c>
      <c r="AB9" s="62" t="str">
        <f t="shared" si="6"/>
        <v/>
      </c>
      <c r="AF9" s="62" t="str">
        <f t="shared" si="7"/>
        <v/>
      </c>
      <c r="AI9" s="62" t="str">
        <f t="shared" si="8"/>
        <v/>
      </c>
      <c r="AJ9" s="44" t="s">
        <v>39</v>
      </c>
      <c r="AK9" s="44">
        <v>80</v>
      </c>
      <c r="AL9" s="44">
        <v>188</v>
      </c>
      <c r="AM9" s="62">
        <f t="shared" si="9"/>
        <v>2.35</v>
      </c>
      <c r="AN9" s="44" t="s">
        <v>39</v>
      </c>
      <c r="AO9" s="44">
        <v>10</v>
      </c>
      <c r="AP9" s="44">
        <v>25</v>
      </c>
      <c r="AQ9" s="62">
        <f t="shared" si="10"/>
        <v>2.5</v>
      </c>
      <c r="AR9" s="44" t="s">
        <v>39</v>
      </c>
      <c r="AU9" s="62" t="str">
        <f t="shared" si="11"/>
        <v/>
      </c>
      <c r="AV9" s="44" t="s">
        <v>39</v>
      </c>
      <c r="AW9" s="44">
        <v>3</v>
      </c>
      <c r="AX9" s="44">
        <v>8</v>
      </c>
      <c r="AY9" s="62">
        <f t="shared" si="12"/>
        <v>2.6666666666666665</v>
      </c>
      <c r="AZ9" s="44" t="s">
        <v>39</v>
      </c>
      <c r="BA9" s="44">
        <v>8</v>
      </c>
      <c r="BB9" s="44">
        <v>21</v>
      </c>
      <c r="BC9" s="62">
        <f t="shared" si="13"/>
        <v>2.625</v>
      </c>
      <c r="BD9" s="44">
        <v>31</v>
      </c>
      <c r="BE9" s="44">
        <v>100</v>
      </c>
      <c r="BF9" s="62">
        <f t="shared" si="14"/>
        <v>3.225806451612903</v>
      </c>
      <c r="BG9" s="44" t="s">
        <v>39</v>
      </c>
      <c r="BH9" s="44">
        <v>44</v>
      </c>
      <c r="BI9" s="44">
        <v>6</v>
      </c>
      <c r="BJ9" s="62">
        <f t="shared" si="15"/>
        <v>0.13636363636363635</v>
      </c>
      <c r="BK9" s="44">
        <v>25</v>
      </c>
      <c r="BL9" s="44">
        <v>11</v>
      </c>
      <c r="BM9" s="62">
        <f t="shared" si="16"/>
        <v>0.44</v>
      </c>
      <c r="BN9" s="44" t="s">
        <v>39</v>
      </c>
      <c r="BO9" s="44">
        <v>63</v>
      </c>
      <c r="BP9" s="44">
        <v>13</v>
      </c>
      <c r="BQ9" s="62">
        <f t="shared" si="17"/>
        <v>0.20634920634920634</v>
      </c>
      <c r="BR9" s="44">
        <v>12</v>
      </c>
      <c r="BS9" s="44">
        <v>5</v>
      </c>
      <c r="BT9" s="62">
        <f t="shared" si="18"/>
        <v>0.41666666666666669</v>
      </c>
      <c r="BU9" s="44">
        <v>42</v>
      </c>
      <c r="BV9" s="44">
        <v>14.5</v>
      </c>
      <c r="BW9" s="62">
        <f t="shared" si="19"/>
        <v>0.34523809523809523</v>
      </c>
      <c r="BX9" s="44" t="s">
        <v>39</v>
      </c>
      <c r="BY9" s="44">
        <v>25</v>
      </c>
      <c r="BZ9" s="44">
        <v>17</v>
      </c>
      <c r="CA9" s="62">
        <f t="shared" si="20"/>
        <v>0.68</v>
      </c>
      <c r="CB9" s="44">
        <v>5</v>
      </c>
      <c r="CC9" s="44">
        <v>2</v>
      </c>
      <c r="CD9" s="62">
        <f t="shared" si="21"/>
        <v>0.4</v>
      </c>
    </row>
    <row r="10" spans="1:82" x14ac:dyDescent="0.3">
      <c r="A10" s="49" t="s">
        <v>46</v>
      </c>
      <c r="B10" s="49" t="s">
        <v>104</v>
      </c>
      <c r="C10" s="44" t="s">
        <v>38</v>
      </c>
      <c r="F10" s="62" t="str">
        <f t="shared" si="0"/>
        <v/>
      </c>
      <c r="J10" s="62" t="str">
        <f t="shared" si="1"/>
        <v/>
      </c>
      <c r="N10" s="62" t="str">
        <f t="shared" si="2"/>
        <v/>
      </c>
      <c r="R10" s="62" t="str">
        <f t="shared" si="3"/>
        <v/>
      </c>
      <c r="V10" s="62" t="str">
        <f t="shared" si="4"/>
        <v/>
      </c>
      <c r="Y10" s="62" t="str">
        <f t="shared" si="5"/>
        <v/>
      </c>
      <c r="AB10" s="62" t="str">
        <f t="shared" si="6"/>
        <v/>
      </c>
      <c r="AF10" s="62" t="str">
        <f t="shared" si="7"/>
        <v/>
      </c>
      <c r="AI10" s="62" t="str">
        <f t="shared" si="8"/>
        <v/>
      </c>
      <c r="AM10" s="62" t="str">
        <f t="shared" si="9"/>
        <v/>
      </c>
      <c r="AQ10" s="62" t="str">
        <f t="shared" si="10"/>
        <v/>
      </c>
      <c r="AU10" s="62" t="str">
        <f t="shared" si="11"/>
        <v/>
      </c>
      <c r="AY10" s="62" t="str">
        <f t="shared" si="12"/>
        <v/>
      </c>
      <c r="BC10" s="62" t="str">
        <f t="shared" si="13"/>
        <v/>
      </c>
      <c r="BF10" s="62" t="str">
        <f t="shared" si="14"/>
        <v/>
      </c>
      <c r="BG10" s="44" t="s">
        <v>38</v>
      </c>
      <c r="BH10" s="44">
        <v>1507</v>
      </c>
      <c r="BI10" s="44">
        <v>323</v>
      </c>
      <c r="BJ10" s="62">
        <f t="shared" si="15"/>
        <v>0.21433311214333112</v>
      </c>
      <c r="BK10" s="44">
        <v>5777</v>
      </c>
      <c r="BL10" s="44">
        <v>1642</v>
      </c>
      <c r="BM10" s="62">
        <f t="shared" si="16"/>
        <v>0.28423056949974035</v>
      </c>
      <c r="BN10" s="44" t="s">
        <v>38</v>
      </c>
      <c r="BO10" s="44">
        <v>1</v>
      </c>
      <c r="BP10" s="44">
        <v>16</v>
      </c>
      <c r="BQ10" s="62">
        <f t="shared" si="17"/>
        <v>16</v>
      </c>
      <c r="BR10" s="44">
        <v>26</v>
      </c>
      <c r="BS10" s="44">
        <v>113</v>
      </c>
      <c r="BT10" s="62">
        <f t="shared" si="18"/>
        <v>4.3461538461538458</v>
      </c>
      <c r="BW10" s="62" t="str">
        <f t="shared" si="19"/>
        <v/>
      </c>
      <c r="BX10" s="44" t="s">
        <v>38</v>
      </c>
      <c r="BY10" s="44">
        <v>720</v>
      </c>
      <c r="BZ10" s="44">
        <v>134</v>
      </c>
      <c r="CA10" s="62">
        <f t="shared" si="20"/>
        <v>0.18611111111111112</v>
      </c>
      <c r="CB10" s="44">
        <v>1550.25</v>
      </c>
      <c r="CC10" s="44">
        <v>191</v>
      </c>
      <c r="CD10" s="62">
        <f t="shared" si="21"/>
        <v>0.12320593452668924</v>
      </c>
    </row>
    <row r="11" spans="1:82" x14ac:dyDescent="0.3">
      <c r="A11" s="53" t="s">
        <v>338</v>
      </c>
      <c r="B11" s="49" t="s">
        <v>292</v>
      </c>
      <c r="C11" s="44" t="s">
        <v>35</v>
      </c>
      <c r="D11" s="44">
        <v>5000</v>
      </c>
      <c r="E11" s="44">
        <v>893</v>
      </c>
      <c r="F11" s="62">
        <f t="shared" si="0"/>
        <v>0.17860000000000001</v>
      </c>
      <c r="G11" s="44" t="s">
        <v>35</v>
      </c>
      <c r="H11" s="44">
        <v>5900</v>
      </c>
      <c r="I11" s="44">
        <v>1195</v>
      </c>
      <c r="J11" s="62">
        <f t="shared" si="1"/>
        <v>0.20254237288135593</v>
      </c>
      <c r="K11" s="44" t="s">
        <v>35</v>
      </c>
      <c r="L11" s="44">
        <v>7000</v>
      </c>
      <c r="M11" s="44">
        <v>1436</v>
      </c>
      <c r="N11" s="62">
        <f t="shared" si="2"/>
        <v>0.20514285714285715</v>
      </c>
      <c r="O11" s="44" t="s">
        <v>35</v>
      </c>
      <c r="P11" s="44">
        <v>9100</v>
      </c>
      <c r="Q11" s="44">
        <v>1869</v>
      </c>
      <c r="R11" s="62">
        <f t="shared" si="3"/>
        <v>0.20538461538461539</v>
      </c>
      <c r="S11" s="44" t="s">
        <v>35</v>
      </c>
      <c r="T11" s="44">
        <v>7600</v>
      </c>
      <c r="U11" s="44">
        <v>1514</v>
      </c>
      <c r="V11" s="62">
        <f t="shared" si="4"/>
        <v>0.19921052631578948</v>
      </c>
      <c r="W11" s="44">
        <v>6500</v>
      </c>
      <c r="X11" s="44">
        <v>1009</v>
      </c>
      <c r="Y11" s="62">
        <f t="shared" si="5"/>
        <v>0.15523076923076923</v>
      </c>
      <c r="Z11" s="44">
        <v>4550</v>
      </c>
      <c r="AA11" s="44">
        <v>825</v>
      </c>
      <c r="AB11" s="62">
        <f t="shared" si="6"/>
        <v>0.18131868131868131</v>
      </c>
      <c r="AC11" s="44" t="s">
        <v>35</v>
      </c>
      <c r="AD11" s="44">
        <v>3700</v>
      </c>
      <c r="AE11" s="44">
        <v>717</v>
      </c>
      <c r="AF11" s="62">
        <f t="shared" si="7"/>
        <v>0.19378378378378378</v>
      </c>
      <c r="AG11" s="44">
        <v>4300</v>
      </c>
      <c r="AH11" s="44">
        <v>861</v>
      </c>
      <c r="AI11" s="62">
        <f t="shared" si="8"/>
        <v>0.20023255813953489</v>
      </c>
      <c r="AJ11" s="44" t="s">
        <v>35</v>
      </c>
      <c r="AK11" s="44">
        <v>4400</v>
      </c>
      <c r="AL11" s="44">
        <v>1604</v>
      </c>
      <c r="AM11" s="62">
        <f t="shared" si="9"/>
        <v>0.36454545454545456</v>
      </c>
      <c r="AN11" s="44" t="s">
        <v>35</v>
      </c>
      <c r="AO11" s="54">
        <v>3750</v>
      </c>
      <c r="AP11" s="44">
        <v>878</v>
      </c>
      <c r="AQ11" s="62">
        <f t="shared" si="10"/>
        <v>0.23413333333333333</v>
      </c>
      <c r="AU11" s="62" t="str">
        <f t="shared" si="11"/>
        <v/>
      </c>
      <c r="AY11" s="62" t="str">
        <f t="shared" si="12"/>
        <v/>
      </c>
      <c r="BC11" s="62" t="str">
        <f t="shared" si="13"/>
        <v/>
      </c>
      <c r="BF11" s="62" t="str">
        <f t="shared" si="14"/>
        <v/>
      </c>
      <c r="BG11" s="44" t="s">
        <v>38</v>
      </c>
      <c r="BH11" s="44">
        <v>23</v>
      </c>
      <c r="BI11" s="44">
        <v>184</v>
      </c>
      <c r="BJ11" s="62">
        <f t="shared" si="15"/>
        <v>8</v>
      </c>
      <c r="BK11" s="44">
        <v>11</v>
      </c>
      <c r="BL11" s="44">
        <v>430</v>
      </c>
      <c r="BM11" s="62">
        <f t="shared" si="16"/>
        <v>39.090909090909093</v>
      </c>
      <c r="BN11" s="44" t="s">
        <v>38</v>
      </c>
      <c r="BO11" s="44">
        <v>9</v>
      </c>
      <c r="BP11" s="44">
        <v>202</v>
      </c>
      <c r="BQ11" s="62">
        <f t="shared" si="17"/>
        <v>22.444444444444443</v>
      </c>
      <c r="BR11" s="44">
        <v>19.5</v>
      </c>
      <c r="BS11" s="44">
        <v>262</v>
      </c>
      <c r="BT11" s="62">
        <f t="shared" si="18"/>
        <v>13.435897435897436</v>
      </c>
      <c r="BU11" s="44">
        <v>30</v>
      </c>
      <c r="BV11" s="44">
        <v>391</v>
      </c>
      <c r="BW11" s="62">
        <f t="shared" si="19"/>
        <v>13.033333333333333</v>
      </c>
      <c r="BX11" s="44" t="s">
        <v>38</v>
      </c>
      <c r="BY11" s="44">
        <v>51.25</v>
      </c>
      <c r="BZ11" s="44">
        <v>649</v>
      </c>
      <c r="CA11" s="62">
        <f t="shared" si="20"/>
        <v>12.663414634146342</v>
      </c>
      <c r="CB11" s="44">
        <v>76.5</v>
      </c>
      <c r="CC11" s="44">
        <v>919</v>
      </c>
      <c r="CD11" s="62">
        <f t="shared" si="21"/>
        <v>12.013071895424837</v>
      </c>
    </row>
    <row r="12" spans="1:82" x14ac:dyDescent="0.3">
      <c r="A12" s="53" t="s">
        <v>206</v>
      </c>
      <c r="B12" s="49" t="s">
        <v>112</v>
      </c>
      <c r="C12" s="44" t="s">
        <v>34</v>
      </c>
      <c r="F12" s="62" t="str">
        <f t="shared" si="0"/>
        <v/>
      </c>
      <c r="J12" s="62" t="str">
        <f t="shared" si="1"/>
        <v/>
      </c>
      <c r="N12" s="62" t="str">
        <f t="shared" si="2"/>
        <v/>
      </c>
      <c r="R12" s="62" t="str">
        <f t="shared" si="3"/>
        <v/>
      </c>
      <c r="V12" s="62" t="str">
        <f t="shared" si="4"/>
        <v/>
      </c>
      <c r="Y12" s="62" t="str">
        <f t="shared" si="5"/>
        <v/>
      </c>
      <c r="AB12" s="62" t="str">
        <f t="shared" si="6"/>
        <v/>
      </c>
      <c r="AF12" s="62" t="str">
        <f t="shared" si="7"/>
        <v/>
      </c>
      <c r="AI12" s="62" t="str">
        <f t="shared" si="8"/>
        <v/>
      </c>
      <c r="AM12" s="62" t="str">
        <f t="shared" si="9"/>
        <v/>
      </c>
      <c r="AQ12" s="62" t="str">
        <f t="shared" si="10"/>
        <v/>
      </c>
      <c r="AU12" s="62" t="str">
        <f t="shared" si="11"/>
        <v/>
      </c>
      <c r="AY12" s="62" t="str">
        <f t="shared" si="12"/>
        <v/>
      </c>
      <c r="AZ12" s="44" t="s">
        <v>34</v>
      </c>
      <c r="BA12" s="44">
        <v>21</v>
      </c>
      <c r="BB12" s="44">
        <v>168</v>
      </c>
      <c r="BC12" s="62">
        <f t="shared" si="13"/>
        <v>8</v>
      </c>
      <c r="BF12" s="62" t="str">
        <f t="shared" si="14"/>
        <v/>
      </c>
      <c r="BJ12" s="62" t="str">
        <f t="shared" si="15"/>
        <v/>
      </c>
      <c r="BM12" s="62" t="str">
        <f t="shared" si="16"/>
        <v/>
      </c>
      <c r="BQ12" s="62" t="str">
        <f t="shared" si="17"/>
        <v/>
      </c>
      <c r="BT12" s="62" t="str">
        <f t="shared" si="18"/>
        <v/>
      </c>
      <c r="BW12" s="62" t="str">
        <f t="shared" si="19"/>
        <v/>
      </c>
      <c r="CA12" s="62" t="str">
        <f t="shared" si="20"/>
        <v/>
      </c>
      <c r="CD12" s="62" t="str">
        <f t="shared" si="21"/>
        <v/>
      </c>
    </row>
    <row r="13" spans="1:82" x14ac:dyDescent="0.3">
      <c r="A13" s="52" t="s">
        <v>7</v>
      </c>
      <c r="B13" s="49" t="s">
        <v>293</v>
      </c>
      <c r="C13" s="44" t="s">
        <v>37</v>
      </c>
      <c r="F13" s="62" t="str">
        <f t="shared" si="0"/>
        <v/>
      </c>
      <c r="J13" s="62" t="str">
        <f t="shared" si="1"/>
        <v/>
      </c>
      <c r="K13" s="44" t="s">
        <v>41</v>
      </c>
      <c r="L13" s="44">
        <v>47</v>
      </c>
      <c r="M13" s="44">
        <v>950</v>
      </c>
      <c r="N13" s="62">
        <f t="shared" si="2"/>
        <v>20.212765957446809</v>
      </c>
      <c r="O13" s="44" t="s">
        <v>41</v>
      </c>
      <c r="P13" s="44">
        <v>68</v>
      </c>
      <c r="Q13" s="44">
        <v>1554</v>
      </c>
      <c r="R13" s="62">
        <f t="shared" si="3"/>
        <v>22.852941176470587</v>
      </c>
      <c r="S13" s="44" t="s">
        <v>37</v>
      </c>
      <c r="T13" s="44">
        <v>67</v>
      </c>
      <c r="U13" s="44">
        <v>1179</v>
      </c>
      <c r="V13" s="62">
        <f t="shared" si="4"/>
        <v>17.597014925373134</v>
      </c>
      <c r="W13" s="44">
        <v>50</v>
      </c>
      <c r="X13" s="44">
        <v>703</v>
      </c>
      <c r="Y13" s="62">
        <f t="shared" si="5"/>
        <v>14.06</v>
      </c>
      <c r="AB13" s="62" t="str">
        <f t="shared" si="6"/>
        <v/>
      </c>
      <c r="AC13" s="44" t="s">
        <v>37</v>
      </c>
      <c r="AD13" s="44">
        <v>50</v>
      </c>
      <c r="AE13" s="44">
        <v>625</v>
      </c>
      <c r="AF13" s="62">
        <f t="shared" si="7"/>
        <v>12.5</v>
      </c>
      <c r="AG13" s="44">
        <v>45</v>
      </c>
      <c r="AH13" s="44">
        <v>563</v>
      </c>
      <c r="AI13" s="62">
        <f t="shared" si="8"/>
        <v>12.511111111111111</v>
      </c>
      <c r="AM13" s="62" t="str">
        <f t="shared" si="9"/>
        <v/>
      </c>
      <c r="AQ13" s="62" t="str">
        <f t="shared" si="10"/>
        <v/>
      </c>
      <c r="AU13" s="62" t="str">
        <f t="shared" si="11"/>
        <v/>
      </c>
      <c r="AY13" s="62" t="str">
        <f t="shared" si="12"/>
        <v/>
      </c>
      <c r="BC13" s="62" t="str">
        <f t="shared" si="13"/>
        <v/>
      </c>
      <c r="BF13" s="62" t="str">
        <f t="shared" si="14"/>
        <v/>
      </c>
      <c r="BG13" s="44" t="s">
        <v>38</v>
      </c>
      <c r="BH13" s="44">
        <v>71</v>
      </c>
      <c r="BI13" s="44">
        <v>155</v>
      </c>
      <c r="BJ13" s="62">
        <f t="shared" si="15"/>
        <v>2.183098591549296</v>
      </c>
      <c r="BK13" s="44">
        <v>30</v>
      </c>
      <c r="BL13" s="44">
        <v>92</v>
      </c>
      <c r="BM13" s="62">
        <f t="shared" si="16"/>
        <v>3.0666666666666669</v>
      </c>
      <c r="BN13" s="44" t="s">
        <v>38</v>
      </c>
      <c r="BO13" s="44">
        <v>32</v>
      </c>
      <c r="BP13" s="44">
        <v>78</v>
      </c>
      <c r="BQ13" s="62">
        <f t="shared" si="17"/>
        <v>2.4375</v>
      </c>
      <c r="BR13" s="44">
        <v>6.5</v>
      </c>
      <c r="BS13" s="44">
        <v>40</v>
      </c>
      <c r="BT13" s="62">
        <f t="shared" si="18"/>
        <v>6.1538461538461542</v>
      </c>
      <c r="BU13" s="44">
        <v>30</v>
      </c>
      <c r="BV13" s="44">
        <v>81</v>
      </c>
      <c r="BW13" s="62">
        <f t="shared" si="19"/>
        <v>2.7</v>
      </c>
      <c r="BX13" s="44" t="s">
        <v>38</v>
      </c>
      <c r="BY13" s="44">
        <v>20</v>
      </c>
      <c r="BZ13" s="44">
        <v>74</v>
      </c>
      <c r="CA13" s="62">
        <f t="shared" si="20"/>
        <v>3.7</v>
      </c>
      <c r="CB13" s="44">
        <v>49</v>
      </c>
      <c r="CC13" s="44">
        <v>169</v>
      </c>
      <c r="CD13" s="62">
        <f t="shared" si="21"/>
        <v>3.4489795918367347</v>
      </c>
    </row>
    <row r="14" spans="1:82" x14ac:dyDescent="0.3">
      <c r="A14" s="52" t="s">
        <v>8</v>
      </c>
      <c r="B14" s="49" t="s">
        <v>134</v>
      </c>
      <c r="C14" s="44" t="s">
        <v>36</v>
      </c>
      <c r="D14" s="44">
        <v>5357</v>
      </c>
      <c r="E14" s="44">
        <v>650</v>
      </c>
      <c r="F14" s="62">
        <f t="shared" si="0"/>
        <v>0.12133656897517267</v>
      </c>
      <c r="G14" s="44" t="s">
        <v>36</v>
      </c>
      <c r="H14" s="44">
        <v>8518</v>
      </c>
      <c r="I14" s="44">
        <v>952</v>
      </c>
      <c r="J14" s="62">
        <f t="shared" si="1"/>
        <v>0.11176332472411364</v>
      </c>
      <c r="K14" s="44" t="s">
        <v>36</v>
      </c>
      <c r="L14" s="44">
        <v>5200</v>
      </c>
      <c r="M14" s="44">
        <v>889</v>
      </c>
      <c r="N14" s="62">
        <f t="shared" si="2"/>
        <v>0.17096153846153847</v>
      </c>
      <c r="O14" s="44" t="s">
        <v>36</v>
      </c>
      <c r="P14" s="44">
        <v>6900</v>
      </c>
      <c r="Q14" s="44">
        <v>923</v>
      </c>
      <c r="R14" s="62">
        <f t="shared" si="3"/>
        <v>0.13376811594202898</v>
      </c>
      <c r="S14" s="44" t="s">
        <v>36</v>
      </c>
      <c r="T14" s="44">
        <v>6000</v>
      </c>
      <c r="U14" s="44">
        <v>1205</v>
      </c>
      <c r="V14" s="62">
        <f t="shared" si="4"/>
        <v>0.20083333333333334</v>
      </c>
      <c r="W14" s="44">
        <v>5000</v>
      </c>
      <c r="X14" s="44">
        <v>625</v>
      </c>
      <c r="Y14" s="62">
        <f t="shared" si="5"/>
        <v>0.125</v>
      </c>
      <c r="Z14" s="44">
        <v>5500</v>
      </c>
      <c r="AA14" s="44">
        <v>677</v>
      </c>
      <c r="AB14" s="62">
        <f t="shared" si="6"/>
        <v>0.12309090909090908</v>
      </c>
      <c r="AC14" s="44" t="s">
        <v>36</v>
      </c>
      <c r="AD14" s="44">
        <v>5000</v>
      </c>
      <c r="AE14" s="44">
        <v>556</v>
      </c>
      <c r="AF14" s="62">
        <f t="shared" si="7"/>
        <v>0.11119999999999999</v>
      </c>
      <c r="AI14" s="62" t="str">
        <f t="shared" si="8"/>
        <v/>
      </c>
      <c r="AJ14" s="44" t="s">
        <v>36</v>
      </c>
      <c r="AK14" s="44">
        <v>3500</v>
      </c>
      <c r="AL14" s="44">
        <v>515</v>
      </c>
      <c r="AM14" s="62">
        <f t="shared" si="9"/>
        <v>0.14714285714285713</v>
      </c>
      <c r="AN14" s="44" t="s">
        <v>36</v>
      </c>
      <c r="AO14" s="44">
        <v>3000</v>
      </c>
      <c r="AP14" s="44">
        <v>469</v>
      </c>
      <c r="AQ14" s="62">
        <f t="shared" si="10"/>
        <v>0.15633333333333332</v>
      </c>
      <c r="AR14" s="44" t="s">
        <v>36</v>
      </c>
      <c r="AS14" s="44">
        <v>9000</v>
      </c>
      <c r="AT14" s="44">
        <v>1125</v>
      </c>
      <c r="AU14" s="62">
        <f t="shared" si="11"/>
        <v>0.125</v>
      </c>
      <c r="AV14" s="44" t="s">
        <v>36</v>
      </c>
      <c r="AW14" s="44">
        <v>6000</v>
      </c>
      <c r="AX14" s="44">
        <v>800</v>
      </c>
      <c r="AY14" s="62">
        <f t="shared" si="12"/>
        <v>0.13333333333333333</v>
      </c>
      <c r="AZ14" s="44" t="s">
        <v>36</v>
      </c>
      <c r="BA14" s="44">
        <v>8500</v>
      </c>
      <c r="BB14" s="44">
        <v>1133</v>
      </c>
      <c r="BC14" s="62">
        <f t="shared" si="13"/>
        <v>0.13329411764705881</v>
      </c>
      <c r="BD14" s="44">
        <v>12000</v>
      </c>
      <c r="BE14" s="44">
        <v>1600</v>
      </c>
      <c r="BF14" s="62">
        <f t="shared" si="14"/>
        <v>0.13333333333333333</v>
      </c>
      <c r="BJ14" s="62" t="str">
        <f t="shared" si="15"/>
        <v/>
      </c>
      <c r="BM14" s="62" t="str">
        <f t="shared" si="16"/>
        <v/>
      </c>
      <c r="BN14" s="76" t="s">
        <v>36</v>
      </c>
      <c r="BO14" s="44">
        <v>12261</v>
      </c>
      <c r="BP14" s="44">
        <v>2502</v>
      </c>
      <c r="BQ14" s="62">
        <f t="shared" si="17"/>
        <v>0.20406165891852215</v>
      </c>
      <c r="BR14" s="44">
        <v>15120.5</v>
      </c>
      <c r="BS14" s="44">
        <v>5897</v>
      </c>
      <c r="BT14" s="62">
        <f t="shared" si="18"/>
        <v>0.3900003306768956</v>
      </c>
      <c r="BU14" s="44">
        <v>10168</v>
      </c>
      <c r="BV14" s="44">
        <v>1875</v>
      </c>
      <c r="BW14" s="62">
        <f t="shared" si="19"/>
        <v>0.18440204563335955</v>
      </c>
      <c r="BX14" s="76" t="s">
        <v>36</v>
      </c>
      <c r="BY14" s="44">
        <v>8252.75</v>
      </c>
      <c r="BZ14" s="44">
        <v>1689</v>
      </c>
      <c r="CA14" s="62">
        <f t="shared" si="20"/>
        <v>0.20465905304292509</v>
      </c>
      <c r="CB14" s="44">
        <v>6101.5</v>
      </c>
      <c r="CC14" s="44">
        <v>1232</v>
      </c>
      <c r="CD14" s="62">
        <f t="shared" si="21"/>
        <v>0.20191756125542901</v>
      </c>
    </row>
    <row r="15" spans="1:82" x14ac:dyDescent="0.3">
      <c r="A15" s="53" t="s">
        <v>9</v>
      </c>
      <c r="B15" s="49" t="s">
        <v>104</v>
      </c>
      <c r="C15" s="44" t="s">
        <v>38</v>
      </c>
      <c r="F15" s="62" t="str">
        <f t="shared" si="0"/>
        <v/>
      </c>
      <c r="G15" s="44" t="s">
        <v>38</v>
      </c>
      <c r="H15" s="44">
        <f>$D$207*1200</f>
        <v>243.87096774193549</v>
      </c>
      <c r="I15" s="44">
        <v>729</v>
      </c>
      <c r="J15" s="62">
        <f t="shared" si="1"/>
        <v>2.9892857142857143</v>
      </c>
      <c r="K15" s="44" t="s">
        <v>38</v>
      </c>
      <c r="L15" s="44">
        <f>$D$207*900</f>
        <v>182.90322580645162</v>
      </c>
      <c r="M15" s="44">
        <v>554</v>
      </c>
      <c r="N15" s="62">
        <f t="shared" si="2"/>
        <v>3.0289241622574954</v>
      </c>
      <c r="O15" s="44" t="s">
        <v>38</v>
      </c>
      <c r="P15" s="44">
        <f>$D$207*1700</f>
        <v>345.48387096774189</v>
      </c>
      <c r="Q15" s="44">
        <v>981</v>
      </c>
      <c r="R15" s="62">
        <f t="shared" si="3"/>
        <v>2.8394957983193279</v>
      </c>
      <c r="S15" s="44" t="s">
        <v>38</v>
      </c>
      <c r="T15" s="44">
        <v>1360</v>
      </c>
      <c r="U15" s="44">
        <f>$D$207*777</f>
        <v>157.90645161290323</v>
      </c>
      <c r="V15" s="62">
        <f t="shared" si="4"/>
        <v>0.11610768500948766</v>
      </c>
      <c r="W15" s="44">
        <f>$D$207*1250</f>
        <v>254.03225806451613</v>
      </c>
      <c r="X15" s="44">
        <v>625</v>
      </c>
      <c r="Y15" s="62">
        <f t="shared" si="5"/>
        <v>2.4603174603174605</v>
      </c>
      <c r="AB15" s="62" t="str">
        <f t="shared" si="6"/>
        <v/>
      </c>
      <c r="AF15" s="62" t="str">
        <f t="shared" si="7"/>
        <v/>
      </c>
      <c r="AI15" s="62" t="str">
        <f t="shared" si="8"/>
        <v/>
      </c>
      <c r="AM15" s="62" t="str">
        <f t="shared" si="9"/>
        <v/>
      </c>
      <c r="AN15" s="44" t="s">
        <v>38</v>
      </c>
      <c r="AO15" s="44">
        <f>$D$207*350</f>
        <v>71.129032258064512</v>
      </c>
      <c r="AP15" s="44">
        <v>175</v>
      </c>
      <c r="AQ15" s="62">
        <f t="shared" si="10"/>
        <v>2.4603174603174605</v>
      </c>
      <c r="AR15" s="44" t="s">
        <v>38</v>
      </c>
      <c r="AS15" s="44">
        <f>$D$207*200</f>
        <v>40.645161290322577</v>
      </c>
      <c r="AT15" s="44">
        <v>94</v>
      </c>
      <c r="AU15" s="62">
        <f t="shared" si="11"/>
        <v>2.3126984126984129</v>
      </c>
      <c r="AV15" s="44" t="s">
        <v>38</v>
      </c>
      <c r="AW15" s="44">
        <f>$D$207*150</f>
        <v>30.483870967741936</v>
      </c>
      <c r="AX15" s="44">
        <v>70</v>
      </c>
      <c r="AY15" s="62">
        <f t="shared" si="12"/>
        <v>2.2962962962962963</v>
      </c>
      <c r="AZ15" s="44" t="s">
        <v>38</v>
      </c>
      <c r="BA15" s="44">
        <f>$D$207*200</f>
        <v>40.645161290322577</v>
      </c>
      <c r="BB15" s="44">
        <v>93</v>
      </c>
      <c r="BC15" s="62">
        <f t="shared" si="13"/>
        <v>2.2880952380952384</v>
      </c>
      <c r="BD15" s="44">
        <f>$D$207*180</f>
        <v>36.58064516129032</v>
      </c>
      <c r="BE15" s="44">
        <v>84</v>
      </c>
      <c r="BF15" s="62">
        <f t="shared" si="14"/>
        <v>2.2962962962962963</v>
      </c>
      <c r="BG15" s="44" t="s">
        <v>38</v>
      </c>
      <c r="BH15" s="44">
        <v>181</v>
      </c>
      <c r="BI15" s="44">
        <v>379</v>
      </c>
      <c r="BJ15" s="62">
        <f t="shared" si="15"/>
        <v>2.0939226519337018</v>
      </c>
      <c r="BK15" s="44">
        <v>21</v>
      </c>
      <c r="BL15" s="44">
        <v>43</v>
      </c>
      <c r="BM15" s="62">
        <f t="shared" si="16"/>
        <v>2.0476190476190474</v>
      </c>
      <c r="BN15" s="44" t="s">
        <v>38</v>
      </c>
      <c r="BO15" s="44">
        <v>36</v>
      </c>
      <c r="BP15" s="44">
        <v>64</v>
      </c>
      <c r="BQ15" s="62">
        <f t="shared" si="17"/>
        <v>1.7777777777777777</v>
      </c>
      <c r="BR15" s="44">
        <v>26</v>
      </c>
      <c r="BS15" s="44">
        <v>52</v>
      </c>
      <c r="BT15" s="62">
        <f t="shared" si="18"/>
        <v>2</v>
      </c>
      <c r="BU15" s="44">
        <v>2.5</v>
      </c>
      <c r="BV15" s="44">
        <v>6</v>
      </c>
      <c r="BW15" s="62">
        <f t="shared" si="19"/>
        <v>2.4</v>
      </c>
      <c r="BX15" s="44" t="s">
        <v>38</v>
      </c>
      <c r="BY15" s="44">
        <v>33</v>
      </c>
      <c r="BZ15" s="44">
        <v>73</v>
      </c>
      <c r="CA15" s="62">
        <f t="shared" si="20"/>
        <v>2.2121212121212119</v>
      </c>
      <c r="CB15" s="44">
        <v>19.75</v>
      </c>
      <c r="CC15" s="44">
        <v>24.5</v>
      </c>
      <c r="CD15" s="62">
        <f t="shared" si="21"/>
        <v>1.240506329113924</v>
      </c>
    </row>
    <row r="16" spans="1:82" x14ac:dyDescent="0.3">
      <c r="A16" s="49" t="s">
        <v>226</v>
      </c>
      <c r="B16" s="49" t="s">
        <v>104</v>
      </c>
      <c r="C16" s="44" t="s">
        <v>38</v>
      </c>
      <c r="D16" s="44">
        <v>804</v>
      </c>
      <c r="E16" s="44">
        <v>2857</v>
      </c>
      <c r="F16" s="62">
        <f t="shared" si="0"/>
        <v>3.5534825870646767</v>
      </c>
      <c r="G16" s="44" t="s">
        <v>38</v>
      </c>
      <c r="H16" s="44">
        <v>786</v>
      </c>
      <c r="I16" s="44">
        <v>3301</v>
      </c>
      <c r="J16" s="62">
        <f t="shared" si="1"/>
        <v>4.1997455470737917</v>
      </c>
      <c r="K16" s="44" t="s">
        <v>38</v>
      </c>
      <c r="L16" s="44">
        <v>1142</v>
      </c>
      <c r="M16" s="44">
        <v>4215</v>
      </c>
      <c r="N16" s="62">
        <f t="shared" si="2"/>
        <v>3.6908931698774081</v>
      </c>
      <c r="O16" s="44" t="s">
        <v>38</v>
      </c>
      <c r="P16" s="44">
        <v>1416</v>
      </c>
      <c r="Q16" s="44">
        <v>5231</v>
      </c>
      <c r="R16" s="62">
        <f t="shared" si="3"/>
        <v>3.6942090395480225</v>
      </c>
      <c r="S16" s="44" t="s">
        <v>38</v>
      </c>
      <c r="T16" s="44">
        <v>1600</v>
      </c>
      <c r="U16" s="44">
        <v>5500</v>
      </c>
      <c r="V16" s="62">
        <f t="shared" si="4"/>
        <v>3.4375</v>
      </c>
      <c r="W16" s="44">
        <v>1300</v>
      </c>
      <c r="X16" s="44">
        <v>4062</v>
      </c>
      <c r="Y16" s="62">
        <f t="shared" si="5"/>
        <v>3.1246153846153848</v>
      </c>
      <c r="Z16" s="44">
        <v>1100</v>
      </c>
      <c r="AA16" s="44">
        <v>3385</v>
      </c>
      <c r="AB16" s="62">
        <f t="shared" si="6"/>
        <v>3.0772727272727272</v>
      </c>
      <c r="AC16" s="44" t="s">
        <v>38</v>
      </c>
      <c r="AD16" s="44">
        <v>1300</v>
      </c>
      <c r="AE16" s="44">
        <v>3610</v>
      </c>
      <c r="AF16" s="62">
        <f t="shared" si="7"/>
        <v>2.7769230769230768</v>
      </c>
      <c r="AG16" s="44">
        <v>1000</v>
      </c>
      <c r="AH16" s="44">
        <v>3333</v>
      </c>
      <c r="AI16" s="62">
        <f t="shared" si="8"/>
        <v>3.3330000000000002</v>
      </c>
      <c r="AM16" s="62" t="str">
        <f t="shared" si="9"/>
        <v/>
      </c>
      <c r="AQ16" s="62" t="str">
        <f t="shared" si="10"/>
        <v/>
      </c>
      <c r="AU16" s="62" t="str">
        <f t="shared" si="11"/>
        <v/>
      </c>
      <c r="AY16" s="62" t="str">
        <f t="shared" si="12"/>
        <v/>
      </c>
      <c r="BC16" s="62" t="str">
        <f t="shared" si="13"/>
        <v/>
      </c>
      <c r="BF16" s="62" t="str">
        <f t="shared" si="14"/>
        <v/>
      </c>
      <c r="BJ16" s="62" t="str">
        <f t="shared" si="15"/>
        <v/>
      </c>
      <c r="BM16" s="62" t="str">
        <f t="shared" si="16"/>
        <v/>
      </c>
      <c r="BQ16" s="62" t="str">
        <f t="shared" si="17"/>
        <v/>
      </c>
      <c r="BT16" s="62" t="str">
        <f t="shared" si="18"/>
        <v/>
      </c>
      <c r="BW16" s="62" t="str">
        <f t="shared" si="19"/>
        <v/>
      </c>
      <c r="CA16" s="62" t="str">
        <f t="shared" si="20"/>
        <v/>
      </c>
      <c r="CD16" s="62" t="str">
        <f t="shared" si="21"/>
        <v/>
      </c>
    </row>
    <row r="17" spans="1:82" x14ac:dyDescent="0.3">
      <c r="A17" s="53" t="s">
        <v>10</v>
      </c>
      <c r="B17" s="49" t="s">
        <v>104</v>
      </c>
      <c r="C17" s="44" t="s">
        <v>38</v>
      </c>
      <c r="D17" s="44">
        <v>3234</v>
      </c>
      <c r="E17" s="44">
        <v>14500</v>
      </c>
      <c r="F17" s="62">
        <f t="shared" si="0"/>
        <v>4.4836116264687691</v>
      </c>
      <c r="G17" s="44" t="s">
        <v>38</v>
      </c>
      <c r="H17" s="44">
        <v>4500</v>
      </c>
      <c r="I17" s="44">
        <v>15122</v>
      </c>
      <c r="J17" s="62">
        <f t="shared" si="1"/>
        <v>3.3604444444444446</v>
      </c>
      <c r="K17" s="44" t="s">
        <v>38</v>
      </c>
      <c r="L17" s="44">
        <v>6300</v>
      </c>
      <c r="M17" s="44">
        <v>14256</v>
      </c>
      <c r="N17" s="62">
        <f t="shared" si="2"/>
        <v>2.2628571428571429</v>
      </c>
      <c r="O17" s="44" t="s">
        <v>38</v>
      </c>
      <c r="P17" s="44">
        <v>8160</v>
      </c>
      <c r="Q17" s="44">
        <v>19231</v>
      </c>
      <c r="R17" s="62">
        <f t="shared" si="3"/>
        <v>2.3567401960784315</v>
      </c>
      <c r="S17" s="44" t="s">
        <v>38</v>
      </c>
      <c r="T17" s="44">
        <v>7200</v>
      </c>
      <c r="U17" s="44">
        <v>30857</v>
      </c>
      <c r="V17" s="62">
        <f t="shared" si="4"/>
        <v>4.2856944444444443</v>
      </c>
      <c r="W17" s="44">
        <v>3750</v>
      </c>
      <c r="X17" s="44">
        <v>11718</v>
      </c>
      <c r="Y17" s="62">
        <f t="shared" si="5"/>
        <v>3.1248</v>
      </c>
      <c r="Z17" s="44">
        <v>3500</v>
      </c>
      <c r="AA17" s="44">
        <v>11846</v>
      </c>
      <c r="AB17" s="62">
        <f t="shared" si="6"/>
        <v>3.3845714285714288</v>
      </c>
      <c r="AC17" s="44" t="s">
        <v>38</v>
      </c>
      <c r="AD17" s="44">
        <v>3000</v>
      </c>
      <c r="AE17" s="44">
        <v>11665</v>
      </c>
      <c r="AF17" s="62">
        <f t="shared" si="7"/>
        <v>3.8883333333333332</v>
      </c>
      <c r="AG17" s="44">
        <v>2000</v>
      </c>
      <c r="AH17" s="44">
        <v>7778</v>
      </c>
      <c r="AI17" s="62">
        <f t="shared" si="8"/>
        <v>3.8889999999999998</v>
      </c>
      <c r="AJ17" s="44" t="s">
        <v>38</v>
      </c>
      <c r="AK17" s="44">
        <v>1500</v>
      </c>
      <c r="AL17" s="44">
        <v>5294</v>
      </c>
      <c r="AM17" s="62">
        <f t="shared" si="9"/>
        <v>3.5293333333333332</v>
      </c>
      <c r="AN17" s="44" t="s">
        <v>38</v>
      </c>
      <c r="AO17" s="44">
        <v>1200</v>
      </c>
      <c r="AP17" s="44">
        <v>3750</v>
      </c>
      <c r="AQ17" s="62">
        <f t="shared" si="10"/>
        <v>3.125</v>
      </c>
      <c r="AR17" s="44" t="s">
        <v>38</v>
      </c>
      <c r="AS17" s="44">
        <v>5000</v>
      </c>
      <c r="AT17" s="44">
        <v>9375</v>
      </c>
      <c r="AU17" s="62">
        <f t="shared" si="11"/>
        <v>1.875</v>
      </c>
      <c r="AV17" s="44" t="s">
        <v>38</v>
      </c>
      <c r="AW17" s="44">
        <v>4500</v>
      </c>
      <c r="AX17" s="44">
        <v>7500</v>
      </c>
      <c r="AY17" s="62">
        <f t="shared" si="12"/>
        <v>1.6666666666666667</v>
      </c>
      <c r="AZ17" s="44" t="s">
        <v>38</v>
      </c>
      <c r="BA17" s="44">
        <v>4000</v>
      </c>
      <c r="BB17" s="44">
        <v>6667</v>
      </c>
      <c r="BC17" s="62">
        <f t="shared" si="13"/>
        <v>1.66675</v>
      </c>
      <c r="BD17" s="44">
        <v>3600</v>
      </c>
      <c r="BE17" s="44">
        <v>6000</v>
      </c>
      <c r="BF17" s="62">
        <f t="shared" si="14"/>
        <v>1.6666666666666667</v>
      </c>
      <c r="BG17" s="44" t="s">
        <v>38</v>
      </c>
      <c r="BJ17" s="62" t="str">
        <f t="shared" si="15"/>
        <v/>
      </c>
      <c r="BK17" s="44">
        <v>6</v>
      </c>
      <c r="BL17" s="44">
        <v>30</v>
      </c>
      <c r="BM17" s="62">
        <f t="shared" si="16"/>
        <v>5</v>
      </c>
      <c r="BN17" s="44" t="s">
        <v>38</v>
      </c>
      <c r="BO17" s="44">
        <v>16</v>
      </c>
      <c r="BP17" s="44">
        <v>63</v>
      </c>
      <c r="BQ17" s="62">
        <f t="shared" si="17"/>
        <v>3.9375</v>
      </c>
      <c r="BR17" s="44">
        <v>14.75</v>
      </c>
      <c r="BS17" s="44">
        <v>206</v>
      </c>
      <c r="BT17" s="62">
        <f t="shared" si="18"/>
        <v>13.966101694915254</v>
      </c>
      <c r="BU17" s="44">
        <v>17.75</v>
      </c>
      <c r="BV17" s="44">
        <v>77</v>
      </c>
      <c r="BW17" s="62">
        <f t="shared" si="19"/>
        <v>4.3380281690140849</v>
      </c>
      <c r="BX17" s="44" t="s">
        <v>38</v>
      </c>
      <c r="BY17" s="44">
        <v>5</v>
      </c>
      <c r="BZ17" s="44">
        <v>18.75</v>
      </c>
      <c r="CA17" s="62">
        <f t="shared" si="20"/>
        <v>3.75</v>
      </c>
      <c r="CB17" s="44">
        <v>6.25</v>
      </c>
      <c r="CC17" s="44">
        <v>41</v>
      </c>
      <c r="CD17" s="62">
        <f t="shared" si="21"/>
        <v>6.56</v>
      </c>
    </row>
    <row r="18" spans="1:82" x14ac:dyDescent="0.3">
      <c r="A18" s="53" t="s">
        <v>228</v>
      </c>
      <c r="B18" s="49" t="s">
        <v>104</v>
      </c>
      <c r="C18" s="44" t="s">
        <v>38</v>
      </c>
      <c r="D18" s="44">
        <v>2411</v>
      </c>
      <c r="E18" s="44">
        <v>1714</v>
      </c>
      <c r="F18" s="62">
        <f t="shared" si="0"/>
        <v>0.71090833678971377</v>
      </c>
      <c r="G18" s="44" t="s">
        <v>38</v>
      </c>
      <c r="H18" s="44">
        <v>2893</v>
      </c>
      <c r="I18" s="44">
        <v>2025</v>
      </c>
      <c r="J18" s="62">
        <f t="shared" si="1"/>
        <v>0.69996543380573795</v>
      </c>
      <c r="K18" s="44" t="s">
        <v>38</v>
      </c>
      <c r="L18" s="44">
        <v>3600</v>
      </c>
      <c r="M18" s="44">
        <v>2954</v>
      </c>
      <c r="N18" s="62">
        <f t="shared" si="2"/>
        <v>0.82055555555555559</v>
      </c>
      <c r="O18" s="44" t="s">
        <v>38</v>
      </c>
      <c r="P18" s="44">
        <v>4000</v>
      </c>
      <c r="Q18" s="44">
        <v>3692</v>
      </c>
      <c r="R18" s="62">
        <f t="shared" si="3"/>
        <v>0.92300000000000004</v>
      </c>
      <c r="S18" s="44" t="s">
        <v>38</v>
      </c>
      <c r="T18" s="44">
        <v>2500</v>
      </c>
      <c r="U18" s="44">
        <v>2143</v>
      </c>
      <c r="V18" s="62">
        <f t="shared" si="4"/>
        <v>0.85719999999999996</v>
      </c>
      <c r="W18" s="44">
        <v>2000</v>
      </c>
      <c r="X18" s="44">
        <v>1500</v>
      </c>
      <c r="Y18" s="62">
        <f t="shared" si="5"/>
        <v>0.75</v>
      </c>
      <c r="Z18" s="44">
        <v>2050</v>
      </c>
      <c r="AA18" s="44">
        <v>1514</v>
      </c>
      <c r="AB18" s="62">
        <f t="shared" si="6"/>
        <v>0.73853658536585365</v>
      </c>
      <c r="AC18" s="44" t="s">
        <v>38</v>
      </c>
      <c r="AD18" s="44">
        <v>2000</v>
      </c>
      <c r="AE18" s="44">
        <v>1333</v>
      </c>
      <c r="AF18" s="62">
        <f t="shared" si="7"/>
        <v>0.66649999999999998</v>
      </c>
      <c r="AG18" s="44">
        <v>1200</v>
      </c>
      <c r="AH18" s="44">
        <v>778</v>
      </c>
      <c r="AI18" s="62">
        <f t="shared" si="8"/>
        <v>0.64833333333333332</v>
      </c>
      <c r="AJ18" s="44" t="s">
        <v>38</v>
      </c>
      <c r="AK18" s="44">
        <v>1300</v>
      </c>
      <c r="AL18" s="44">
        <v>882</v>
      </c>
      <c r="AM18" s="62">
        <f t="shared" si="9"/>
        <v>0.67846153846153845</v>
      </c>
      <c r="AN18" s="44" t="s">
        <v>38</v>
      </c>
      <c r="AO18" s="44">
        <v>1200</v>
      </c>
      <c r="AP18" s="44">
        <v>900</v>
      </c>
      <c r="AQ18" s="62">
        <f t="shared" si="10"/>
        <v>0.75</v>
      </c>
      <c r="AR18" s="44" t="s">
        <v>38</v>
      </c>
      <c r="AS18" s="44">
        <v>1000</v>
      </c>
      <c r="AT18" s="44">
        <v>750</v>
      </c>
      <c r="AU18" s="62">
        <f t="shared" si="11"/>
        <v>0.75</v>
      </c>
      <c r="AV18" s="44" t="s">
        <v>38</v>
      </c>
      <c r="AW18" s="44">
        <v>800</v>
      </c>
      <c r="AX18" s="44">
        <v>640</v>
      </c>
      <c r="AY18" s="62">
        <f t="shared" si="12"/>
        <v>0.8</v>
      </c>
      <c r="AZ18" s="44" t="s">
        <v>38</v>
      </c>
      <c r="BA18" s="44">
        <v>1200</v>
      </c>
      <c r="BB18" s="44">
        <v>960</v>
      </c>
      <c r="BC18" s="62">
        <f t="shared" si="13"/>
        <v>0.8</v>
      </c>
      <c r="BD18" s="44">
        <v>1500</v>
      </c>
      <c r="BE18" s="44">
        <v>1200</v>
      </c>
      <c r="BF18" s="62">
        <f t="shared" si="14"/>
        <v>0.8</v>
      </c>
      <c r="BG18" s="44" t="s">
        <v>38</v>
      </c>
      <c r="BH18" s="44">
        <v>878</v>
      </c>
      <c r="BI18" s="44">
        <v>661</v>
      </c>
      <c r="BJ18" s="62">
        <f t="shared" si="15"/>
        <v>0.75284738041002275</v>
      </c>
      <c r="BM18" s="62" t="str">
        <f t="shared" si="16"/>
        <v/>
      </c>
      <c r="BN18" s="44" t="s">
        <v>38</v>
      </c>
      <c r="BO18" s="44">
        <v>496</v>
      </c>
      <c r="BP18" s="44">
        <v>479</v>
      </c>
      <c r="BQ18" s="62">
        <f t="shared" si="17"/>
        <v>0.96572580645161288</v>
      </c>
      <c r="BR18" s="44">
        <v>596.75</v>
      </c>
      <c r="BS18" s="44">
        <v>427</v>
      </c>
      <c r="BT18" s="62">
        <f t="shared" si="18"/>
        <v>0.71554252199413493</v>
      </c>
      <c r="BU18" s="44">
        <v>1297.5</v>
      </c>
      <c r="BV18" s="44">
        <v>811</v>
      </c>
      <c r="BW18" s="62">
        <f t="shared" si="19"/>
        <v>0.62504816955684006</v>
      </c>
      <c r="BX18" s="44" t="s">
        <v>38</v>
      </c>
      <c r="BY18" s="44">
        <v>942.5</v>
      </c>
      <c r="BZ18" s="44">
        <v>557</v>
      </c>
      <c r="CA18" s="62">
        <f t="shared" si="20"/>
        <v>0.59098143236074274</v>
      </c>
      <c r="CD18" s="62" t="str">
        <f t="shared" si="21"/>
        <v/>
      </c>
    </row>
    <row r="19" spans="1:82" x14ac:dyDescent="0.3">
      <c r="A19" s="49" t="s">
        <v>229</v>
      </c>
      <c r="B19" s="49" t="s">
        <v>104</v>
      </c>
      <c r="C19" s="44" t="s">
        <v>38</v>
      </c>
      <c r="D19" s="44">
        <f>$F$205*2200</f>
        <v>6560.7142857142862</v>
      </c>
      <c r="E19" s="44">
        <v>86429</v>
      </c>
      <c r="F19" s="62">
        <f t="shared" si="0"/>
        <v>13.173718018508437</v>
      </c>
      <c r="G19" s="44" t="s">
        <v>38</v>
      </c>
      <c r="H19" s="44">
        <f>$F$205*2800</f>
        <v>8350</v>
      </c>
      <c r="I19" s="44">
        <v>96743</v>
      </c>
      <c r="J19" s="62">
        <f t="shared" si="1"/>
        <v>11.585988023952096</v>
      </c>
      <c r="K19" s="44" t="s">
        <v>38</v>
      </c>
      <c r="L19" s="44">
        <f>$F$205*3230</f>
        <v>9632.3214285714294</v>
      </c>
      <c r="M19" s="44">
        <v>104615</v>
      </c>
      <c r="N19" s="62">
        <f t="shared" si="2"/>
        <v>10.860829424741846</v>
      </c>
      <c r="O19" s="44" t="s">
        <v>38</v>
      </c>
      <c r="P19" s="44">
        <f>$F$205*3461</f>
        <v>10321.196428571429</v>
      </c>
      <c r="Q19" s="44">
        <v>123154</v>
      </c>
      <c r="R19" s="62">
        <f t="shared" si="3"/>
        <v>11.932143802542271</v>
      </c>
      <c r="S19" s="44" t="s">
        <v>38</v>
      </c>
      <c r="T19" s="44">
        <f>$F$205*5150</f>
        <v>15358.035714285714</v>
      </c>
      <c r="U19" s="44">
        <v>111250</v>
      </c>
      <c r="V19" s="62">
        <f t="shared" si="4"/>
        <v>7.2437648973896867</v>
      </c>
      <c r="W19" s="44">
        <f>$F$205*3980</f>
        <v>11868.928571428572</v>
      </c>
      <c r="X19" s="44">
        <v>91937</v>
      </c>
      <c r="Y19" s="62">
        <f t="shared" si="5"/>
        <v>7.7460235308277907</v>
      </c>
      <c r="Z19" s="44">
        <f>$F$205*3600</f>
        <v>10735.714285714286</v>
      </c>
      <c r="AA19" s="44">
        <v>85661</v>
      </c>
      <c r="AB19" s="62">
        <f t="shared" si="6"/>
        <v>7.9790685296074511</v>
      </c>
      <c r="AC19" s="44" t="s">
        <v>38</v>
      </c>
      <c r="AD19" s="44">
        <f>$F$205*3320</f>
        <v>9900.7142857142862</v>
      </c>
      <c r="AE19" s="44">
        <v>80749</v>
      </c>
      <c r="AF19" s="62">
        <f t="shared" si="7"/>
        <v>8.1558761994084108</v>
      </c>
      <c r="AG19" s="44">
        <f>$F$205*3200</f>
        <v>9542.8571428571431</v>
      </c>
      <c r="AH19" s="44">
        <v>67500</v>
      </c>
      <c r="AI19" s="62">
        <f t="shared" si="8"/>
        <v>7.0733532934131738</v>
      </c>
      <c r="AM19" s="62" t="str">
        <f t="shared" si="9"/>
        <v/>
      </c>
      <c r="AQ19" s="62" t="str">
        <f t="shared" si="10"/>
        <v/>
      </c>
      <c r="AU19" s="62" t="str">
        <f t="shared" si="11"/>
        <v/>
      </c>
      <c r="AY19" s="62" t="str">
        <f t="shared" si="12"/>
        <v/>
      </c>
      <c r="AZ19" s="44" t="s">
        <v>38</v>
      </c>
      <c r="BA19" s="44">
        <f>$F$205*1725</f>
        <v>5144.1964285714284</v>
      </c>
      <c r="BB19" s="44">
        <v>49667</v>
      </c>
      <c r="BC19" s="62">
        <f t="shared" si="13"/>
        <v>9.6549579102664236</v>
      </c>
      <c r="BD19" s="44">
        <f>$F$205*2382</f>
        <v>7103.4642857142862</v>
      </c>
      <c r="BE19" s="44">
        <v>44427</v>
      </c>
      <c r="BF19" s="62">
        <f t="shared" si="14"/>
        <v>6.254272311799574</v>
      </c>
      <c r="BG19" s="44" t="s">
        <v>38</v>
      </c>
      <c r="BH19" s="44">
        <v>8150</v>
      </c>
      <c r="BI19" s="44">
        <v>35277</v>
      </c>
      <c r="BJ19" s="62">
        <f t="shared" si="15"/>
        <v>4.3284662576687118</v>
      </c>
      <c r="BK19" s="44">
        <v>5315</v>
      </c>
      <c r="BL19" s="44">
        <v>37032</v>
      </c>
      <c r="BM19" s="62">
        <f t="shared" si="16"/>
        <v>6.9674506114769521</v>
      </c>
      <c r="BN19" s="44" t="s">
        <v>38</v>
      </c>
      <c r="BO19" s="44">
        <v>3812</v>
      </c>
      <c r="BP19" s="44">
        <v>21756</v>
      </c>
      <c r="BQ19" s="62">
        <f t="shared" si="17"/>
        <v>5.7072402938090239</v>
      </c>
      <c r="BR19" s="44">
        <v>3095</v>
      </c>
      <c r="BS19" s="44">
        <v>21039</v>
      </c>
      <c r="BT19" s="62">
        <f t="shared" si="18"/>
        <v>6.7977382875605814</v>
      </c>
      <c r="BU19" s="44">
        <v>3508.25</v>
      </c>
      <c r="BV19" s="44">
        <v>24116</v>
      </c>
      <c r="BW19" s="62">
        <f t="shared" si="19"/>
        <v>6.8740825197748165</v>
      </c>
      <c r="BX19" s="44" t="s">
        <v>38</v>
      </c>
      <c r="BY19" s="44">
        <v>5306.75</v>
      </c>
      <c r="BZ19" s="44">
        <v>54312</v>
      </c>
      <c r="CA19" s="62">
        <f t="shared" si="20"/>
        <v>10.234512648984783</v>
      </c>
      <c r="CB19" s="44">
        <v>5187</v>
      </c>
      <c r="CC19" s="44">
        <v>56916</v>
      </c>
      <c r="CD19" s="62">
        <f t="shared" si="21"/>
        <v>10.972816657027183</v>
      </c>
    </row>
    <row r="20" spans="1:82" x14ac:dyDescent="0.3">
      <c r="A20" s="49" t="s">
        <v>230</v>
      </c>
      <c r="B20" s="49" t="s">
        <v>104</v>
      </c>
      <c r="C20" s="44" t="s">
        <v>38</v>
      </c>
      <c r="F20" s="62" t="str">
        <f t="shared" si="0"/>
        <v/>
      </c>
      <c r="J20" s="62" t="str">
        <f t="shared" si="1"/>
        <v/>
      </c>
      <c r="N20" s="62" t="str">
        <f t="shared" si="2"/>
        <v/>
      </c>
      <c r="R20" s="62" t="str">
        <f t="shared" si="3"/>
        <v/>
      </c>
      <c r="V20" s="62" t="str">
        <f t="shared" si="4"/>
        <v/>
      </c>
      <c r="Y20" s="62" t="str">
        <f t="shared" si="5"/>
        <v/>
      </c>
      <c r="AB20" s="62" t="str">
        <f t="shared" si="6"/>
        <v/>
      </c>
      <c r="AF20" s="62" t="str">
        <f t="shared" si="7"/>
        <v/>
      </c>
      <c r="AI20" s="62" t="str">
        <f t="shared" si="8"/>
        <v/>
      </c>
      <c r="AJ20" s="44" t="s">
        <v>38</v>
      </c>
      <c r="AK20" s="44">
        <f>$F$205*315</f>
        <v>939.375</v>
      </c>
      <c r="AL20" s="44">
        <v>12353</v>
      </c>
      <c r="AM20" s="62">
        <f t="shared" si="9"/>
        <v>13.150232867598136</v>
      </c>
      <c r="AN20" s="44" t="s">
        <v>38</v>
      </c>
      <c r="AO20" s="44">
        <f>$F$205*280</f>
        <v>835</v>
      </c>
      <c r="AP20" s="44">
        <v>7000</v>
      </c>
      <c r="AQ20" s="62">
        <f t="shared" si="10"/>
        <v>8.3832335329341312</v>
      </c>
      <c r="AR20" s="44" t="s">
        <v>38</v>
      </c>
      <c r="AS20" s="44">
        <f>$F$205*250</f>
        <v>745.53571428571433</v>
      </c>
      <c r="AT20" s="44">
        <v>6250</v>
      </c>
      <c r="AU20" s="62">
        <f t="shared" si="11"/>
        <v>8.3832335329341312</v>
      </c>
      <c r="AV20" s="44" t="s">
        <v>38</v>
      </c>
      <c r="AW20" s="44">
        <f>$F$205*200</f>
        <v>596.42857142857144</v>
      </c>
      <c r="AX20" s="44">
        <v>5666</v>
      </c>
      <c r="AY20" s="62">
        <f t="shared" si="12"/>
        <v>9.4998802395209569</v>
      </c>
      <c r="BC20" s="62" t="str">
        <f t="shared" si="13"/>
        <v/>
      </c>
      <c r="BF20" s="62" t="str">
        <f t="shared" si="14"/>
        <v/>
      </c>
      <c r="BJ20" s="62" t="str">
        <f t="shared" si="15"/>
        <v/>
      </c>
      <c r="BM20" s="62" t="str">
        <f t="shared" si="16"/>
        <v/>
      </c>
      <c r="BQ20" s="62" t="str">
        <f t="shared" si="17"/>
        <v/>
      </c>
      <c r="BT20" s="62" t="str">
        <f t="shared" si="18"/>
        <v/>
      </c>
      <c r="BW20" s="62" t="str">
        <f t="shared" si="19"/>
        <v/>
      </c>
      <c r="CA20" s="62" t="str">
        <f t="shared" si="20"/>
        <v/>
      </c>
      <c r="CD20" s="62" t="str">
        <f t="shared" si="21"/>
        <v/>
      </c>
    </row>
    <row r="21" spans="1:82" x14ac:dyDescent="0.3">
      <c r="A21" s="49" t="s">
        <v>232</v>
      </c>
      <c r="B21" s="49" t="s">
        <v>104</v>
      </c>
      <c r="C21" s="44" t="s">
        <v>38</v>
      </c>
      <c r="F21" s="62" t="str">
        <f t="shared" si="0"/>
        <v/>
      </c>
      <c r="J21" s="62" t="str">
        <f t="shared" si="1"/>
        <v/>
      </c>
      <c r="N21" s="62" t="str">
        <f t="shared" si="2"/>
        <v/>
      </c>
      <c r="R21" s="62" t="str">
        <f t="shared" si="3"/>
        <v/>
      </c>
      <c r="V21" s="62" t="str">
        <f t="shared" si="4"/>
        <v/>
      </c>
      <c r="Y21" s="62" t="str">
        <f t="shared" si="5"/>
        <v/>
      </c>
      <c r="AB21" s="62" t="str">
        <f t="shared" si="6"/>
        <v/>
      </c>
      <c r="AF21" s="62" t="str">
        <f t="shared" si="7"/>
        <v/>
      </c>
      <c r="AI21" s="62" t="str">
        <f t="shared" si="8"/>
        <v/>
      </c>
      <c r="AJ21" s="44" t="s">
        <v>38</v>
      </c>
      <c r="AK21" s="44">
        <f>$F$205*900</f>
        <v>2683.9285714285716</v>
      </c>
      <c r="AL21" s="44">
        <v>28235</v>
      </c>
      <c r="AM21" s="62">
        <f t="shared" si="9"/>
        <v>10.520026613439786</v>
      </c>
      <c r="AQ21" s="62" t="str">
        <f t="shared" si="10"/>
        <v/>
      </c>
      <c r="AU21" s="62" t="str">
        <f t="shared" si="11"/>
        <v/>
      </c>
      <c r="AY21" s="62" t="str">
        <f t="shared" si="12"/>
        <v/>
      </c>
      <c r="BC21" s="62" t="str">
        <f t="shared" si="13"/>
        <v/>
      </c>
      <c r="BF21" s="62" t="str">
        <f t="shared" si="14"/>
        <v/>
      </c>
      <c r="BJ21" s="62" t="str">
        <f t="shared" si="15"/>
        <v/>
      </c>
      <c r="BM21" s="62" t="str">
        <f t="shared" si="16"/>
        <v/>
      </c>
      <c r="BQ21" s="62" t="str">
        <f t="shared" si="17"/>
        <v/>
      </c>
      <c r="BT21" s="62" t="str">
        <f t="shared" si="18"/>
        <v/>
      </c>
      <c r="BW21" s="62" t="str">
        <f t="shared" si="19"/>
        <v/>
      </c>
      <c r="CA21" s="62" t="str">
        <f t="shared" si="20"/>
        <v/>
      </c>
      <c r="CD21" s="62" t="str">
        <f t="shared" si="21"/>
        <v/>
      </c>
    </row>
    <row r="22" spans="1:82" x14ac:dyDescent="0.3">
      <c r="A22" s="49" t="s">
        <v>231</v>
      </c>
      <c r="B22" s="49" t="s">
        <v>104</v>
      </c>
      <c r="C22" s="44" t="s">
        <v>38</v>
      </c>
      <c r="F22" s="62" t="str">
        <f t="shared" si="0"/>
        <v/>
      </c>
      <c r="J22" s="62" t="str">
        <f t="shared" si="1"/>
        <v/>
      </c>
      <c r="N22" s="62" t="str">
        <f t="shared" si="2"/>
        <v/>
      </c>
      <c r="R22" s="62" t="str">
        <f t="shared" si="3"/>
        <v/>
      </c>
      <c r="V22" s="62" t="str">
        <f t="shared" si="4"/>
        <v/>
      </c>
      <c r="Y22" s="62" t="str">
        <f t="shared" si="5"/>
        <v/>
      </c>
      <c r="AB22" s="62" t="str">
        <f t="shared" si="6"/>
        <v/>
      </c>
      <c r="AF22" s="62" t="str">
        <f t="shared" si="7"/>
        <v/>
      </c>
      <c r="AI22" s="62" t="str">
        <f t="shared" si="8"/>
        <v/>
      </c>
      <c r="AJ22" s="44" t="s">
        <v>38</v>
      </c>
      <c r="AK22" s="44">
        <f>$F$205*660</f>
        <v>1968.2142857142858</v>
      </c>
      <c r="AL22" s="44">
        <v>11765</v>
      </c>
      <c r="AM22" s="62">
        <f t="shared" si="9"/>
        <v>5.9774995463618215</v>
      </c>
      <c r="AN22" s="44" t="s">
        <v>38</v>
      </c>
      <c r="AO22" s="44">
        <f>$F$205*600</f>
        <v>1789.2857142857142</v>
      </c>
      <c r="AP22" s="44">
        <v>11250</v>
      </c>
      <c r="AQ22" s="62">
        <f t="shared" si="10"/>
        <v>6.2874251497005993</v>
      </c>
      <c r="AR22" s="44" t="s">
        <v>38</v>
      </c>
      <c r="AS22" s="44">
        <f>$F$205*400</f>
        <v>1192.8571428571429</v>
      </c>
      <c r="AT22" s="44">
        <v>7500</v>
      </c>
      <c r="AU22" s="62">
        <f t="shared" si="11"/>
        <v>6.2874251497005984</v>
      </c>
      <c r="AV22" s="44" t="s">
        <v>38</v>
      </c>
      <c r="AW22" s="44">
        <f>$F$205*320</f>
        <v>954.28571428571433</v>
      </c>
      <c r="AX22" s="44">
        <v>6400</v>
      </c>
      <c r="AY22" s="62">
        <f t="shared" si="12"/>
        <v>6.706586826347305</v>
      </c>
      <c r="BC22" s="62" t="str">
        <f t="shared" si="13"/>
        <v/>
      </c>
      <c r="BF22" s="62" t="str">
        <f t="shared" si="14"/>
        <v/>
      </c>
      <c r="BJ22" s="62" t="str">
        <f t="shared" si="15"/>
        <v/>
      </c>
      <c r="BM22" s="62" t="str">
        <f t="shared" si="16"/>
        <v/>
      </c>
      <c r="BQ22" s="62" t="str">
        <f t="shared" si="17"/>
        <v/>
      </c>
      <c r="BT22" s="62" t="str">
        <f t="shared" si="18"/>
        <v/>
      </c>
      <c r="BW22" s="62" t="str">
        <f t="shared" si="19"/>
        <v/>
      </c>
      <c r="CA22" s="62" t="str">
        <f t="shared" si="20"/>
        <v/>
      </c>
      <c r="CD22" s="62" t="str">
        <f t="shared" si="21"/>
        <v/>
      </c>
    </row>
    <row r="23" spans="1:82" x14ac:dyDescent="0.3">
      <c r="A23" s="49" t="s">
        <v>233</v>
      </c>
      <c r="B23" s="49" t="s">
        <v>104</v>
      </c>
      <c r="C23" s="44" t="s">
        <v>38</v>
      </c>
      <c r="F23" s="62" t="str">
        <f t="shared" si="0"/>
        <v/>
      </c>
      <c r="J23" s="62" t="str">
        <f t="shared" si="1"/>
        <v/>
      </c>
      <c r="N23" s="62" t="str">
        <f t="shared" si="2"/>
        <v/>
      </c>
      <c r="R23" s="62" t="str">
        <f t="shared" si="3"/>
        <v/>
      </c>
      <c r="V23" s="62" t="str">
        <f t="shared" si="4"/>
        <v/>
      </c>
      <c r="Y23" s="62" t="str">
        <f t="shared" si="5"/>
        <v/>
      </c>
      <c r="AB23" s="62" t="str">
        <f t="shared" si="6"/>
        <v/>
      </c>
      <c r="AF23" s="62" t="str">
        <f t="shared" si="7"/>
        <v/>
      </c>
      <c r="AI23" s="62" t="str">
        <f t="shared" si="8"/>
        <v/>
      </c>
      <c r="AJ23" s="44" t="s">
        <v>38</v>
      </c>
      <c r="AK23" s="44">
        <f>$F$205*400</f>
        <v>1192.8571428571429</v>
      </c>
      <c r="AL23" s="44">
        <v>4706</v>
      </c>
      <c r="AM23" s="62">
        <f t="shared" si="9"/>
        <v>3.9451497005988023</v>
      </c>
      <c r="AN23" s="44" t="s">
        <v>38</v>
      </c>
      <c r="AO23" s="44">
        <f>$F$205*350</f>
        <v>1043.75</v>
      </c>
      <c r="AP23" s="44">
        <v>10937</v>
      </c>
      <c r="AQ23" s="62">
        <f t="shared" si="10"/>
        <v>10.478562874251496</v>
      </c>
      <c r="AR23" s="44" t="s">
        <v>38</v>
      </c>
      <c r="AS23" s="44">
        <f>$F$205*300</f>
        <v>894.64285714285711</v>
      </c>
      <c r="AT23" s="44">
        <v>9375</v>
      </c>
      <c r="AU23" s="62">
        <f t="shared" si="11"/>
        <v>10.479041916167665</v>
      </c>
      <c r="AV23" s="44" t="s">
        <v>38</v>
      </c>
      <c r="AW23" s="44">
        <f>$F$205*250</f>
        <v>745.53571428571433</v>
      </c>
      <c r="AX23" s="44">
        <v>8333</v>
      </c>
      <c r="AY23" s="62">
        <f t="shared" si="12"/>
        <v>11.177197604790418</v>
      </c>
      <c r="BC23" s="62" t="str">
        <f t="shared" si="13"/>
        <v/>
      </c>
      <c r="BF23" s="62" t="str">
        <f t="shared" si="14"/>
        <v/>
      </c>
      <c r="BJ23" s="62" t="str">
        <f t="shared" si="15"/>
        <v/>
      </c>
      <c r="BM23" s="62" t="str">
        <f t="shared" si="16"/>
        <v/>
      </c>
      <c r="BQ23" s="62" t="str">
        <f t="shared" si="17"/>
        <v/>
      </c>
      <c r="BT23" s="62" t="str">
        <f t="shared" si="18"/>
        <v/>
      </c>
      <c r="BW23" s="62" t="str">
        <f t="shared" si="19"/>
        <v/>
      </c>
      <c r="CA23" s="62" t="str">
        <f t="shared" si="20"/>
        <v/>
      </c>
      <c r="CD23" s="62" t="str">
        <f t="shared" si="21"/>
        <v/>
      </c>
    </row>
    <row r="24" spans="1:82" x14ac:dyDescent="0.3">
      <c r="A24" s="49" t="s">
        <v>234</v>
      </c>
      <c r="B24" s="49" t="s">
        <v>104</v>
      </c>
      <c r="C24" s="44" t="s">
        <v>38</v>
      </c>
      <c r="F24" s="62" t="str">
        <f t="shared" si="0"/>
        <v/>
      </c>
      <c r="J24" s="62" t="str">
        <f t="shared" si="1"/>
        <v/>
      </c>
      <c r="N24" s="62" t="str">
        <f t="shared" si="2"/>
        <v/>
      </c>
      <c r="R24" s="62" t="str">
        <f t="shared" si="3"/>
        <v/>
      </c>
      <c r="V24" s="62" t="str">
        <f t="shared" si="4"/>
        <v/>
      </c>
      <c r="Y24" s="62" t="str">
        <f t="shared" si="5"/>
        <v/>
      </c>
      <c r="AB24" s="62" t="str">
        <f t="shared" si="6"/>
        <v/>
      </c>
      <c r="AF24" s="62" t="str">
        <f t="shared" si="7"/>
        <v/>
      </c>
      <c r="AI24" s="62" t="str">
        <f t="shared" si="8"/>
        <v/>
      </c>
      <c r="AJ24" s="44" t="s">
        <v>38</v>
      </c>
      <c r="AK24" s="44">
        <f>$F$205*65</f>
        <v>193.83928571428572</v>
      </c>
      <c r="AL24" s="44">
        <v>1000</v>
      </c>
      <c r="AM24" s="62">
        <f t="shared" si="9"/>
        <v>5.158912943344081</v>
      </c>
      <c r="AQ24" s="62" t="str">
        <f t="shared" si="10"/>
        <v/>
      </c>
      <c r="AU24" s="62" t="str">
        <f t="shared" si="11"/>
        <v/>
      </c>
      <c r="AY24" s="62" t="str">
        <f t="shared" si="12"/>
        <v/>
      </c>
      <c r="BC24" s="62" t="str">
        <f t="shared" si="13"/>
        <v/>
      </c>
      <c r="BF24" s="62" t="str">
        <f t="shared" si="14"/>
        <v/>
      </c>
      <c r="BJ24" s="62" t="str">
        <f t="shared" si="15"/>
        <v/>
      </c>
      <c r="BM24" s="62" t="str">
        <f t="shared" si="16"/>
        <v/>
      </c>
      <c r="BQ24" s="62" t="str">
        <f t="shared" si="17"/>
        <v/>
      </c>
      <c r="BT24" s="62" t="str">
        <f t="shared" si="18"/>
        <v/>
      </c>
      <c r="BW24" s="62" t="str">
        <f t="shared" si="19"/>
        <v/>
      </c>
      <c r="CA24" s="62" t="str">
        <f t="shared" si="20"/>
        <v/>
      </c>
      <c r="CD24" s="62" t="str">
        <f t="shared" si="21"/>
        <v/>
      </c>
    </row>
    <row r="25" spans="1:82" x14ac:dyDescent="0.3">
      <c r="A25" s="49" t="s">
        <v>235</v>
      </c>
      <c r="B25" s="49" t="s">
        <v>104</v>
      </c>
      <c r="C25" s="44" t="s">
        <v>38</v>
      </c>
      <c r="F25" s="62" t="str">
        <f t="shared" si="0"/>
        <v/>
      </c>
      <c r="J25" s="62" t="str">
        <f t="shared" si="1"/>
        <v/>
      </c>
      <c r="N25" s="62" t="str">
        <f t="shared" si="2"/>
        <v/>
      </c>
      <c r="R25" s="62" t="str">
        <f t="shared" si="3"/>
        <v/>
      </c>
      <c r="V25" s="62" t="str">
        <f t="shared" si="4"/>
        <v/>
      </c>
      <c r="Y25" s="62" t="str">
        <f t="shared" si="5"/>
        <v/>
      </c>
      <c r="AB25" s="62" t="str">
        <f t="shared" si="6"/>
        <v/>
      </c>
      <c r="AF25" s="62" t="str">
        <f t="shared" si="7"/>
        <v/>
      </c>
      <c r="AI25" s="62" t="str">
        <f t="shared" si="8"/>
        <v/>
      </c>
      <c r="AJ25" s="44" t="s">
        <v>38</v>
      </c>
      <c r="AK25" s="44">
        <f>$F$205*180</f>
        <v>536.78571428571433</v>
      </c>
      <c r="AL25" s="44">
        <v>4235</v>
      </c>
      <c r="AM25" s="62">
        <f t="shared" si="9"/>
        <v>7.8895542248835655</v>
      </c>
      <c r="AN25" s="44" t="s">
        <v>38</v>
      </c>
      <c r="AO25" s="44">
        <f>$F$205*1010</f>
        <v>3011.9642857142858</v>
      </c>
      <c r="AP25" s="44">
        <v>30625</v>
      </c>
      <c r="AQ25" s="62">
        <f t="shared" si="10"/>
        <v>10.167783245390407</v>
      </c>
      <c r="AR25" s="44" t="s">
        <v>38</v>
      </c>
      <c r="AS25" s="44">
        <f>$F$205*750</f>
        <v>2236.6071428571431</v>
      </c>
      <c r="AT25" s="44">
        <v>22812</v>
      </c>
      <c r="AU25" s="62">
        <f t="shared" si="11"/>
        <v>10.19937724550898</v>
      </c>
      <c r="AV25" s="44" t="s">
        <v>38</v>
      </c>
      <c r="AW25" s="44">
        <f>$F$205*529</f>
        <v>1577.5535714285716</v>
      </c>
      <c r="AX25" s="44">
        <v>17100</v>
      </c>
      <c r="AY25" s="62">
        <f t="shared" si="12"/>
        <v>10.839568500050937</v>
      </c>
      <c r="BC25" s="62" t="str">
        <f t="shared" si="13"/>
        <v/>
      </c>
      <c r="BF25" s="62" t="str">
        <f t="shared" si="14"/>
        <v/>
      </c>
      <c r="BJ25" s="62" t="str">
        <f t="shared" si="15"/>
        <v/>
      </c>
      <c r="BM25" s="62" t="str">
        <f t="shared" si="16"/>
        <v/>
      </c>
      <c r="BQ25" s="62" t="str">
        <f t="shared" si="17"/>
        <v/>
      </c>
      <c r="BT25" s="62" t="str">
        <f t="shared" si="18"/>
        <v/>
      </c>
      <c r="BW25" s="62" t="str">
        <f t="shared" si="19"/>
        <v/>
      </c>
      <c r="CA25" s="62" t="str">
        <f t="shared" si="20"/>
        <v/>
      </c>
      <c r="CD25" s="62" t="str">
        <f t="shared" si="21"/>
        <v/>
      </c>
    </row>
    <row r="26" spans="1:82" x14ac:dyDescent="0.3">
      <c r="A26" s="49" t="s">
        <v>11</v>
      </c>
      <c r="B26" s="49" t="s">
        <v>104</v>
      </c>
      <c r="C26" s="44" t="s">
        <v>38</v>
      </c>
      <c r="D26" s="44">
        <v>402</v>
      </c>
      <c r="E26" s="44">
        <v>836</v>
      </c>
      <c r="F26" s="62">
        <f t="shared" si="0"/>
        <v>2.0796019900497513</v>
      </c>
      <c r="G26" s="44" t="s">
        <v>38</v>
      </c>
      <c r="H26" s="44">
        <v>715</v>
      </c>
      <c r="I26" s="44">
        <v>1067</v>
      </c>
      <c r="J26" s="62">
        <f t="shared" si="1"/>
        <v>1.4923076923076923</v>
      </c>
      <c r="K26" s="44" t="s">
        <v>38</v>
      </c>
      <c r="L26" s="44">
        <v>900</v>
      </c>
      <c r="M26" s="44">
        <v>1231</v>
      </c>
      <c r="N26" s="62">
        <f t="shared" si="2"/>
        <v>1.3677777777777778</v>
      </c>
      <c r="O26" s="44" t="s">
        <v>38</v>
      </c>
      <c r="P26" s="44">
        <v>1072</v>
      </c>
      <c r="Q26" s="44">
        <v>1500</v>
      </c>
      <c r="R26" s="62">
        <f t="shared" si="3"/>
        <v>1.3992537313432836</v>
      </c>
      <c r="S26" s="44" t="s">
        <v>38</v>
      </c>
      <c r="T26" s="44">
        <v>733</v>
      </c>
      <c r="U26" s="44">
        <v>786</v>
      </c>
      <c r="V26" s="62">
        <f t="shared" si="4"/>
        <v>1.0723055934515688</v>
      </c>
      <c r="W26" s="44">
        <v>590</v>
      </c>
      <c r="X26" s="44">
        <v>653</v>
      </c>
      <c r="Y26" s="62">
        <f t="shared" si="5"/>
        <v>1.1067796610169491</v>
      </c>
      <c r="Z26" s="44">
        <v>350</v>
      </c>
      <c r="AA26" s="44">
        <v>677</v>
      </c>
      <c r="AB26" s="62">
        <f t="shared" si="6"/>
        <v>1.9342857142857144</v>
      </c>
      <c r="AC26" s="44" t="s">
        <v>38</v>
      </c>
      <c r="AD26" s="44">
        <v>750</v>
      </c>
      <c r="AE26" s="44">
        <v>767</v>
      </c>
      <c r="AF26" s="62">
        <f t="shared" si="7"/>
        <v>1.0226666666666666</v>
      </c>
      <c r="AG26" s="44">
        <v>800</v>
      </c>
      <c r="AH26" s="44">
        <v>881</v>
      </c>
      <c r="AI26" s="62">
        <f t="shared" si="8"/>
        <v>1.1012500000000001</v>
      </c>
      <c r="AJ26" s="44" t="s">
        <v>38</v>
      </c>
      <c r="AK26" s="44">
        <v>400</v>
      </c>
      <c r="AL26" s="44">
        <v>353</v>
      </c>
      <c r="AM26" s="62">
        <f t="shared" si="9"/>
        <v>0.88249999999999995</v>
      </c>
      <c r="AN26" s="44" t="s">
        <v>38</v>
      </c>
      <c r="AO26" s="44">
        <v>400</v>
      </c>
      <c r="AP26" s="44">
        <v>393</v>
      </c>
      <c r="AQ26" s="62">
        <f t="shared" si="10"/>
        <v>0.98250000000000004</v>
      </c>
      <c r="AR26" s="44" t="s">
        <v>38</v>
      </c>
      <c r="AS26" s="44">
        <v>480</v>
      </c>
      <c r="AT26" s="44">
        <v>375</v>
      </c>
      <c r="AU26" s="62">
        <f t="shared" si="11"/>
        <v>0.78125</v>
      </c>
      <c r="AV26" s="44" t="s">
        <v>38</v>
      </c>
      <c r="AW26" s="44">
        <v>560</v>
      </c>
      <c r="AX26" s="44">
        <v>580</v>
      </c>
      <c r="AY26" s="62">
        <f t="shared" si="12"/>
        <v>1.0357142857142858</v>
      </c>
      <c r="AZ26" s="44" t="s">
        <v>38</v>
      </c>
      <c r="BA26" s="44">
        <v>460</v>
      </c>
      <c r="BB26" s="44">
        <v>533</v>
      </c>
      <c r="BC26" s="62">
        <f t="shared" si="13"/>
        <v>1.1586956521739131</v>
      </c>
      <c r="BD26" s="44">
        <v>350</v>
      </c>
      <c r="BE26" s="44">
        <v>366</v>
      </c>
      <c r="BF26" s="62">
        <f t="shared" si="14"/>
        <v>1.0457142857142858</v>
      </c>
      <c r="BG26" s="44" t="s">
        <v>38</v>
      </c>
      <c r="BJ26" s="62" t="str">
        <f t="shared" si="15"/>
        <v/>
      </c>
      <c r="BK26" s="44">
        <v>32</v>
      </c>
      <c r="BL26" s="44">
        <v>55</v>
      </c>
      <c r="BM26" s="62">
        <f t="shared" si="16"/>
        <v>1.71875</v>
      </c>
      <c r="BN26" s="44" t="s">
        <v>38</v>
      </c>
      <c r="BQ26" s="62" t="str">
        <f t="shared" si="17"/>
        <v/>
      </c>
      <c r="BT26" s="62" t="str">
        <f t="shared" si="18"/>
        <v/>
      </c>
      <c r="BU26" s="44">
        <v>44</v>
      </c>
      <c r="BV26" s="44">
        <v>48</v>
      </c>
      <c r="BW26" s="62">
        <f t="shared" si="19"/>
        <v>1.0909090909090908</v>
      </c>
      <c r="BX26" s="44" t="s">
        <v>38</v>
      </c>
      <c r="BY26" s="44">
        <v>98.75</v>
      </c>
      <c r="BZ26" s="44">
        <v>210</v>
      </c>
      <c r="CA26" s="62">
        <f t="shared" si="20"/>
        <v>2.1265822784810124</v>
      </c>
      <c r="CB26" s="44">
        <v>23</v>
      </c>
      <c r="CC26" s="44">
        <v>54</v>
      </c>
      <c r="CD26" s="62">
        <f t="shared" si="21"/>
        <v>2.347826086956522</v>
      </c>
    </row>
    <row r="27" spans="1:82" x14ac:dyDescent="0.3">
      <c r="A27" s="49" t="s">
        <v>339</v>
      </c>
      <c r="B27" s="49" t="s">
        <v>104</v>
      </c>
      <c r="C27" s="44" t="s">
        <v>38</v>
      </c>
      <c r="D27" s="44">
        <v>836</v>
      </c>
      <c r="E27" s="44">
        <v>2571</v>
      </c>
      <c r="F27" s="62">
        <f t="shared" si="0"/>
        <v>3.0753588516746411</v>
      </c>
      <c r="G27" s="44" t="s">
        <v>38</v>
      </c>
      <c r="H27" s="44">
        <v>763</v>
      </c>
      <c r="I27" s="44">
        <v>2970</v>
      </c>
      <c r="J27" s="62">
        <f t="shared" si="1"/>
        <v>3.8925294888597639</v>
      </c>
      <c r="K27" s="44" t="s">
        <v>38</v>
      </c>
      <c r="L27" s="44">
        <v>1200</v>
      </c>
      <c r="M27" s="44">
        <v>3282</v>
      </c>
      <c r="N27" s="62">
        <f t="shared" si="2"/>
        <v>2.7349999999999999</v>
      </c>
      <c r="O27" s="44" t="s">
        <v>38</v>
      </c>
      <c r="P27" s="44">
        <v>1500</v>
      </c>
      <c r="Q27" s="44">
        <v>4615</v>
      </c>
      <c r="R27" s="62">
        <f t="shared" si="3"/>
        <v>3.0766666666666667</v>
      </c>
      <c r="S27" s="44" t="s">
        <v>38</v>
      </c>
      <c r="T27" s="44">
        <v>2153</v>
      </c>
      <c r="U27" s="44">
        <v>5536</v>
      </c>
      <c r="V27" s="62">
        <f t="shared" si="4"/>
        <v>2.5712958662331631</v>
      </c>
      <c r="W27" s="44">
        <v>1900</v>
      </c>
      <c r="X27" s="44">
        <v>4275</v>
      </c>
      <c r="Y27" s="62">
        <f t="shared" si="5"/>
        <v>2.25</v>
      </c>
      <c r="Z27" s="44">
        <v>1700</v>
      </c>
      <c r="AA27" s="44">
        <v>3766</v>
      </c>
      <c r="AB27" s="62">
        <f t="shared" si="6"/>
        <v>2.2152941176470589</v>
      </c>
      <c r="AC27" s="44" t="s">
        <v>38</v>
      </c>
      <c r="AD27" s="44">
        <v>1500</v>
      </c>
      <c r="AE27" s="44">
        <v>3943</v>
      </c>
      <c r="AF27" s="62">
        <f t="shared" si="7"/>
        <v>2.6286666666666667</v>
      </c>
      <c r="AG27" s="44">
        <v>1200</v>
      </c>
      <c r="AH27" s="44">
        <v>2711</v>
      </c>
      <c r="AI27" s="62">
        <f t="shared" si="8"/>
        <v>2.2591666666666668</v>
      </c>
      <c r="AJ27" s="44" t="s">
        <v>38</v>
      </c>
      <c r="AK27" s="44">
        <v>300</v>
      </c>
      <c r="AL27" s="44">
        <v>882</v>
      </c>
      <c r="AM27" s="62">
        <f t="shared" si="9"/>
        <v>2.94</v>
      </c>
      <c r="AN27" s="44" t="s">
        <v>38</v>
      </c>
      <c r="AO27" s="44">
        <v>250</v>
      </c>
      <c r="AP27" s="44">
        <v>781</v>
      </c>
      <c r="AQ27" s="62">
        <f t="shared" si="10"/>
        <v>3.1240000000000001</v>
      </c>
      <c r="AR27" s="44" t="s">
        <v>38</v>
      </c>
      <c r="AS27" s="44">
        <v>500</v>
      </c>
      <c r="AT27" s="44">
        <v>1563</v>
      </c>
      <c r="AU27" s="62">
        <f t="shared" si="11"/>
        <v>3.1259999999999999</v>
      </c>
      <c r="AV27" s="44" t="s">
        <v>38</v>
      </c>
      <c r="AW27" s="44">
        <v>351</v>
      </c>
      <c r="AX27" s="44">
        <v>1170</v>
      </c>
      <c r="AY27" s="62">
        <f t="shared" si="12"/>
        <v>3.3333333333333335</v>
      </c>
      <c r="AZ27" s="44" t="s">
        <v>38</v>
      </c>
      <c r="BA27" s="44">
        <v>525</v>
      </c>
      <c r="BB27" s="44">
        <v>1750</v>
      </c>
      <c r="BC27" s="62">
        <f t="shared" si="13"/>
        <v>3.3333333333333335</v>
      </c>
      <c r="BD27" s="44">
        <v>1154</v>
      </c>
      <c r="BE27" s="44">
        <v>3880</v>
      </c>
      <c r="BF27" s="62">
        <f t="shared" si="14"/>
        <v>3.3622183708838822</v>
      </c>
      <c r="BG27" s="44" t="s">
        <v>38</v>
      </c>
      <c r="BJ27" s="62" t="str">
        <f t="shared" si="15"/>
        <v/>
      </c>
      <c r="BK27" s="44">
        <v>1288</v>
      </c>
      <c r="BL27" s="44">
        <v>3823</v>
      </c>
      <c r="BM27" s="62">
        <f t="shared" si="16"/>
        <v>2.9681677018633539</v>
      </c>
      <c r="BN27" s="44" t="s">
        <v>38</v>
      </c>
      <c r="BO27" s="44">
        <v>640</v>
      </c>
      <c r="BP27" s="44">
        <v>2061</v>
      </c>
      <c r="BQ27" s="62">
        <f t="shared" si="17"/>
        <v>3.2203124999999999</v>
      </c>
      <c r="BR27" s="44">
        <v>703</v>
      </c>
      <c r="BS27" s="44">
        <v>1824</v>
      </c>
      <c r="BT27" s="62">
        <f t="shared" si="18"/>
        <v>2.5945945945945947</v>
      </c>
      <c r="BU27" s="44">
        <v>906</v>
      </c>
      <c r="BV27" s="44">
        <v>2690</v>
      </c>
      <c r="BW27" s="62">
        <f t="shared" si="19"/>
        <v>2.9690949227373067</v>
      </c>
      <c r="BX27" s="44" t="s">
        <v>38</v>
      </c>
      <c r="BY27" s="44">
        <v>1383</v>
      </c>
      <c r="BZ27" s="44">
        <v>5104</v>
      </c>
      <c r="CA27" s="62">
        <f t="shared" si="20"/>
        <v>3.6905278380332609</v>
      </c>
      <c r="CB27" s="44">
        <v>1571</v>
      </c>
      <c r="CC27" s="44">
        <v>6015</v>
      </c>
      <c r="CD27" s="62">
        <f t="shared" si="21"/>
        <v>3.8287714831317632</v>
      </c>
    </row>
    <row r="28" spans="1:82" x14ac:dyDescent="0.3">
      <c r="A28" s="49" t="s">
        <v>1</v>
      </c>
      <c r="B28" s="49" t="s">
        <v>104</v>
      </c>
      <c r="C28" s="44" t="s">
        <v>38</v>
      </c>
      <c r="D28" s="44">
        <v>31848</v>
      </c>
      <c r="E28" s="44">
        <v>5521</v>
      </c>
      <c r="F28" s="62">
        <f t="shared" si="0"/>
        <v>0.17335468475257473</v>
      </c>
      <c r="G28" s="44" t="s">
        <v>38</v>
      </c>
      <c r="H28" s="44">
        <v>34088</v>
      </c>
      <c r="I28" s="44">
        <v>4685</v>
      </c>
      <c r="J28" s="62">
        <f t="shared" si="1"/>
        <v>0.13743839474301808</v>
      </c>
      <c r="K28" s="44" t="s">
        <v>38</v>
      </c>
      <c r="L28" s="44">
        <v>29750</v>
      </c>
      <c r="M28" s="44">
        <v>4068</v>
      </c>
      <c r="N28" s="62">
        <f t="shared" si="2"/>
        <v>0.13673949579831932</v>
      </c>
      <c r="O28" s="44" t="s">
        <v>38</v>
      </c>
      <c r="P28" s="44">
        <v>27000</v>
      </c>
      <c r="Q28" s="44">
        <v>6231</v>
      </c>
      <c r="R28" s="62">
        <f t="shared" si="3"/>
        <v>0.23077777777777778</v>
      </c>
      <c r="S28" s="44" t="s">
        <v>38</v>
      </c>
      <c r="T28" s="44">
        <v>45000</v>
      </c>
      <c r="U28" s="44">
        <v>7643</v>
      </c>
      <c r="V28" s="62">
        <f t="shared" si="4"/>
        <v>0.16984444444444444</v>
      </c>
      <c r="W28" s="44">
        <v>50000</v>
      </c>
      <c r="X28" s="44">
        <v>7812</v>
      </c>
      <c r="Y28" s="62">
        <f t="shared" si="5"/>
        <v>0.15623999999999999</v>
      </c>
      <c r="Z28" s="44">
        <v>61000</v>
      </c>
      <c r="AA28" s="44">
        <v>11262</v>
      </c>
      <c r="AB28" s="62">
        <f t="shared" si="6"/>
        <v>0.18462295081967214</v>
      </c>
      <c r="AC28" s="44" t="s">
        <v>38</v>
      </c>
      <c r="AD28" s="44">
        <v>70000</v>
      </c>
      <c r="AE28" s="44">
        <v>9721</v>
      </c>
      <c r="AF28" s="62">
        <f t="shared" si="7"/>
        <v>0.13887142857142856</v>
      </c>
      <c r="AG28" s="44">
        <v>55000</v>
      </c>
      <c r="AH28" s="44">
        <v>7639</v>
      </c>
      <c r="AI28" s="62">
        <f t="shared" si="8"/>
        <v>0.13889090909090909</v>
      </c>
      <c r="AJ28" s="44" t="s">
        <v>38</v>
      </c>
      <c r="AK28" s="44">
        <v>32000</v>
      </c>
      <c r="AL28" s="44">
        <v>5647</v>
      </c>
      <c r="AM28" s="62">
        <f t="shared" si="9"/>
        <v>0.17646875000000001</v>
      </c>
      <c r="AN28" s="44" t="s">
        <v>38</v>
      </c>
      <c r="AO28" s="44">
        <v>91000</v>
      </c>
      <c r="AP28" s="44">
        <v>17062</v>
      </c>
      <c r="AQ28" s="62">
        <f t="shared" si="10"/>
        <v>0.1874945054945055</v>
      </c>
      <c r="AR28" s="44" t="s">
        <v>38</v>
      </c>
      <c r="AS28" s="44">
        <v>50000</v>
      </c>
      <c r="AT28" s="44">
        <v>12500</v>
      </c>
      <c r="AU28" s="62">
        <f t="shared" si="11"/>
        <v>0.25</v>
      </c>
      <c r="AV28" s="44" t="s">
        <v>38</v>
      </c>
      <c r="AW28" s="44">
        <v>34300</v>
      </c>
      <c r="AX28" s="44">
        <v>10764</v>
      </c>
      <c r="AY28" s="62">
        <f t="shared" si="12"/>
        <v>0.31381924198250727</v>
      </c>
      <c r="AZ28" s="44" t="s">
        <v>38</v>
      </c>
      <c r="BA28" s="44">
        <v>26000</v>
      </c>
      <c r="BB28" s="44">
        <v>6466</v>
      </c>
      <c r="BC28" s="62">
        <f t="shared" si="13"/>
        <v>0.24869230769230768</v>
      </c>
      <c r="BD28" s="44">
        <v>14000</v>
      </c>
      <c r="BE28" s="44">
        <v>3067</v>
      </c>
      <c r="BF28" s="62">
        <f t="shared" si="14"/>
        <v>0.21907142857142858</v>
      </c>
      <c r="BG28" s="44" t="s">
        <v>38</v>
      </c>
      <c r="BH28" s="44">
        <v>2372</v>
      </c>
      <c r="BI28" s="44">
        <v>586</v>
      </c>
      <c r="BJ28" s="62">
        <f t="shared" si="15"/>
        <v>0.24704890387858347</v>
      </c>
      <c r="BK28" s="44">
        <v>2568</v>
      </c>
      <c r="BL28" s="44">
        <v>2169</v>
      </c>
      <c r="BM28" s="62">
        <f t="shared" si="16"/>
        <v>0.84462616822429903</v>
      </c>
      <c r="BN28" s="44" t="s">
        <v>38</v>
      </c>
      <c r="BO28" s="44">
        <v>891</v>
      </c>
      <c r="BP28" s="44">
        <v>1938</v>
      </c>
      <c r="BQ28" s="62">
        <f t="shared" si="17"/>
        <v>2.1750841750841752</v>
      </c>
      <c r="BR28" s="44">
        <v>4391</v>
      </c>
      <c r="BS28" s="44">
        <v>1508</v>
      </c>
      <c r="BT28" s="62">
        <f t="shared" si="18"/>
        <v>0.34342974265543158</v>
      </c>
      <c r="BU28" s="44">
        <v>6730</v>
      </c>
      <c r="BV28" s="44">
        <v>2478.5</v>
      </c>
      <c r="BW28" s="62">
        <f t="shared" si="19"/>
        <v>0.36827637444279349</v>
      </c>
      <c r="BX28" s="44" t="s">
        <v>38</v>
      </c>
      <c r="BY28" s="44">
        <v>4392.5</v>
      </c>
      <c r="BZ28" s="44">
        <v>1452</v>
      </c>
      <c r="CA28" s="62">
        <f t="shared" si="20"/>
        <v>0.33056346044393853</v>
      </c>
      <c r="CB28" s="44">
        <v>2958.5</v>
      </c>
      <c r="CC28" s="44">
        <v>949.5</v>
      </c>
      <c r="CD28" s="62">
        <f t="shared" si="21"/>
        <v>0.32093966537096502</v>
      </c>
    </row>
    <row r="29" spans="1:82" x14ac:dyDescent="0.3">
      <c r="A29" s="53" t="s">
        <v>12</v>
      </c>
      <c r="B29" s="49" t="s">
        <v>104</v>
      </c>
      <c r="C29" s="44" t="s">
        <v>38</v>
      </c>
      <c r="D29" s="44">
        <v>1671</v>
      </c>
      <c r="E29" s="44">
        <v>4200</v>
      </c>
      <c r="F29" s="62">
        <f t="shared" si="0"/>
        <v>2.5134649910233393</v>
      </c>
      <c r="G29" s="44" t="s">
        <v>38</v>
      </c>
      <c r="H29" s="44">
        <v>7232</v>
      </c>
      <c r="I29" s="44">
        <v>1298</v>
      </c>
      <c r="J29" s="62">
        <f t="shared" si="1"/>
        <v>0.17948008849557523</v>
      </c>
      <c r="K29" s="44" t="s">
        <v>38</v>
      </c>
      <c r="L29" s="44">
        <v>4063</v>
      </c>
      <c r="M29" s="44">
        <v>2222</v>
      </c>
      <c r="N29" s="62">
        <f t="shared" si="2"/>
        <v>0.54688653704159484</v>
      </c>
      <c r="O29" s="44" t="s">
        <v>38</v>
      </c>
      <c r="P29" s="44">
        <v>4400</v>
      </c>
      <c r="Q29" s="44">
        <v>2646</v>
      </c>
      <c r="R29" s="62">
        <f t="shared" si="3"/>
        <v>0.60136363636363632</v>
      </c>
      <c r="S29" s="44" t="s">
        <v>38</v>
      </c>
      <c r="T29" s="44">
        <v>5100</v>
      </c>
      <c r="U29" s="44">
        <v>2950</v>
      </c>
      <c r="V29" s="62">
        <f t="shared" si="4"/>
        <v>0.57843137254901966</v>
      </c>
      <c r="W29" s="44">
        <v>4200</v>
      </c>
      <c r="X29" s="44">
        <v>2100</v>
      </c>
      <c r="Y29" s="62">
        <f t="shared" si="5"/>
        <v>0.5</v>
      </c>
      <c r="Z29" s="44">
        <v>3750</v>
      </c>
      <c r="AA29" s="44">
        <v>2308</v>
      </c>
      <c r="AB29" s="62">
        <f t="shared" si="6"/>
        <v>0.61546666666666672</v>
      </c>
      <c r="AC29" s="44" t="s">
        <v>38</v>
      </c>
      <c r="AD29" s="44">
        <v>3050</v>
      </c>
      <c r="AE29" s="44">
        <v>1694</v>
      </c>
      <c r="AF29" s="62">
        <f t="shared" si="7"/>
        <v>0.55540983606557381</v>
      </c>
      <c r="AG29" s="44">
        <v>2600</v>
      </c>
      <c r="AH29" s="44">
        <v>1444</v>
      </c>
      <c r="AI29" s="62">
        <f t="shared" si="8"/>
        <v>0.55538461538461537</v>
      </c>
      <c r="AJ29" s="44" t="s">
        <v>38</v>
      </c>
      <c r="AK29" s="44">
        <v>1475</v>
      </c>
      <c r="AL29" s="44">
        <v>947</v>
      </c>
      <c r="AM29" s="62">
        <f t="shared" si="9"/>
        <v>0.64203389830508473</v>
      </c>
      <c r="AN29" s="44" t="s">
        <v>38</v>
      </c>
      <c r="AO29" s="54">
        <v>610</v>
      </c>
      <c r="AP29" s="44">
        <v>403</v>
      </c>
      <c r="AQ29" s="62">
        <f t="shared" si="10"/>
        <v>0.66065573770491803</v>
      </c>
      <c r="AU29" s="62" t="str">
        <f t="shared" si="11"/>
        <v/>
      </c>
      <c r="AY29" s="62" t="str">
        <f t="shared" si="12"/>
        <v/>
      </c>
      <c r="BC29" s="62" t="str">
        <f t="shared" si="13"/>
        <v/>
      </c>
      <c r="BF29" s="62" t="str">
        <f t="shared" si="14"/>
        <v/>
      </c>
      <c r="BG29" s="44" t="s">
        <v>38</v>
      </c>
      <c r="BH29" s="44">
        <v>501</v>
      </c>
      <c r="BI29" s="44">
        <v>752</v>
      </c>
      <c r="BJ29" s="62">
        <f t="shared" si="15"/>
        <v>1.5009980039920159</v>
      </c>
      <c r="BK29" s="44">
        <v>687</v>
      </c>
      <c r="BL29" s="44">
        <v>485</v>
      </c>
      <c r="BM29" s="62">
        <f t="shared" si="16"/>
        <v>0.70596797671033484</v>
      </c>
      <c r="BQ29" s="62" t="str">
        <f t="shared" si="17"/>
        <v/>
      </c>
      <c r="BT29" s="62" t="str">
        <f t="shared" si="18"/>
        <v/>
      </c>
      <c r="BW29" s="62" t="str">
        <f t="shared" si="19"/>
        <v/>
      </c>
      <c r="CA29" s="62" t="str">
        <f t="shared" si="20"/>
        <v/>
      </c>
      <c r="CD29" s="62" t="str">
        <f t="shared" si="21"/>
        <v/>
      </c>
    </row>
    <row r="30" spans="1:82" x14ac:dyDescent="0.3">
      <c r="A30" s="53" t="s">
        <v>340</v>
      </c>
      <c r="B30" s="49" t="s">
        <v>104</v>
      </c>
      <c r="C30" s="44" t="s">
        <v>38</v>
      </c>
      <c r="D30" s="44">
        <v>2142</v>
      </c>
      <c r="E30" s="44">
        <v>1129</v>
      </c>
      <c r="F30" s="62">
        <f t="shared" si="0"/>
        <v>0.52707749766573297</v>
      </c>
      <c r="G30" s="44" t="s">
        <v>38</v>
      </c>
      <c r="H30" s="44">
        <v>2083</v>
      </c>
      <c r="I30" s="44">
        <v>1806</v>
      </c>
      <c r="J30" s="62">
        <f t="shared" si="1"/>
        <v>0.86701872299567928</v>
      </c>
      <c r="K30" s="44" t="s">
        <v>38</v>
      </c>
      <c r="L30" s="44">
        <v>6000</v>
      </c>
      <c r="M30" s="44">
        <v>2051</v>
      </c>
      <c r="N30" s="62">
        <f t="shared" si="2"/>
        <v>0.34183333333333332</v>
      </c>
      <c r="O30" s="44" t="s">
        <v>38</v>
      </c>
      <c r="P30" s="44">
        <v>5780</v>
      </c>
      <c r="Q30" s="44">
        <v>2223</v>
      </c>
      <c r="R30" s="62">
        <f t="shared" si="3"/>
        <v>0.38460207612456748</v>
      </c>
      <c r="S30" s="44" t="s">
        <v>38</v>
      </c>
      <c r="T30" s="44">
        <v>6700</v>
      </c>
      <c r="U30" s="44">
        <v>2393</v>
      </c>
      <c r="V30" s="62">
        <f t="shared" si="4"/>
        <v>0.35716417910447762</v>
      </c>
      <c r="W30" s="44">
        <v>6000</v>
      </c>
      <c r="X30" s="44">
        <v>2250</v>
      </c>
      <c r="Y30" s="62">
        <f t="shared" si="5"/>
        <v>0.375</v>
      </c>
      <c r="Z30" s="44">
        <v>5100</v>
      </c>
      <c r="AA30" s="44">
        <v>1883</v>
      </c>
      <c r="AB30" s="62">
        <f t="shared" si="6"/>
        <v>0.36921568627450979</v>
      </c>
      <c r="AC30" s="44" t="s">
        <v>38</v>
      </c>
      <c r="AD30" s="44">
        <v>5500</v>
      </c>
      <c r="AE30" s="44">
        <v>1833</v>
      </c>
      <c r="AF30" s="62">
        <f t="shared" si="7"/>
        <v>0.33327272727272728</v>
      </c>
      <c r="AG30" s="44">
        <v>4465</v>
      </c>
      <c r="AH30" s="44">
        <v>1489</v>
      </c>
      <c r="AI30" s="62">
        <f t="shared" si="8"/>
        <v>0.33348264277715567</v>
      </c>
      <c r="AJ30" s="44" t="s">
        <v>38</v>
      </c>
      <c r="AK30" s="44">
        <v>3031</v>
      </c>
      <c r="AL30" s="44">
        <v>1531</v>
      </c>
      <c r="AM30" s="62">
        <f t="shared" si="9"/>
        <v>0.50511382382052128</v>
      </c>
      <c r="AN30" s="44" t="s">
        <v>38</v>
      </c>
      <c r="AO30" s="44">
        <v>4390</v>
      </c>
      <c r="AP30" s="44">
        <v>2149</v>
      </c>
      <c r="AQ30" s="62">
        <f t="shared" si="10"/>
        <v>0.48952164009111615</v>
      </c>
      <c r="AR30" s="44" t="s">
        <v>38</v>
      </c>
      <c r="AS30" s="44">
        <v>1765</v>
      </c>
      <c r="AT30" s="44">
        <v>1100</v>
      </c>
      <c r="AU30" s="62">
        <f t="shared" si="11"/>
        <v>0.62322946175637395</v>
      </c>
      <c r="AV30" s="44" t="s">
        <v>38</v>
      </c>
      <c r="AW30" s="44">
        <v>1560</v>
      </c>
      <c r="AX30" s="44">
        <v>815</v>
      </c>
      <c r="AY30" s="62">
        <f t="shared" si="12"/>
        <v>0.52243589743589747</v>
      </c>
      <c r="AZ30" s="44" t="s">
        <v>38</v>
      </c>
      <c r="BA30" s="44">
        <v>765</v>
      </c>
      <c r="BB30" s="44">
        <v>808</v>
      </c>
      <c r="BC30" s="62">
        <f t="shared" si="13"/>
        <v>1.0562091503267974</v>
      </c>
      <c r="BD30" s="44">
        <v>1460</v>
      </c>
      <c r="BE30" s="44">
        <v>1039</v>
      </c>
      <c r="BF30" s="62">
        <f t="shared" si="14"/>
        <v>0.7116438356164384</v>
      </c>
      <c r="BG30" s="44" t="s">
        <v>38</v>
      </c>
      <c r="BJ30" s="62" t="str">
        <f t="shared" si="15"/>
        <v/>
      </c>
      <c r="BK30" s="44">
        <v>21</v>
      </c>
      <c r="BL30" s="44">
        <v>162</v>
      </c>
      <c r="BM30" s="62">
        <f t="shared" si="16"/>
        <v>7.7142857142857144</v>
      </c>
      <c r="BN30" s="44" t="s">
        <v>38</v>
      </c>
      <c r="BO30" s="44">
        <v>12</v>
      </c>
      <c r="BP30" s="44">
        <v>14</v>
      </c>
      <c r="BQ30" s="62">
        <f t="shared" si="17"/>
        <v>1.1666666666666667</v>
      </c>
      <c r="BR30" s="44">
        <v>14.75</v>
      </c>
      <c r="BS30" s="44">
        <v>14</v>
      </c>
      <c r="BT30" s="62">
        <f t="shared" si="18"/>
        <v>0.94915254237288138</v>
      </c>
      <c r="BU30" s="44">
        <v>8.5</v>
      </c>
      <c r="BV30" s="44">
        <v>13</v>
      </c>
      <c r="BW30" s="62">
        <f t="shared" si="19"/>
        <v>1.5294117647058822</v>
      </c>
      <c r="BX30" s="44" t="s">
        <v>38</v>
      </c>
      <c r="BY30" s="44">
        <v>16.25</v>
      </c>
      <c r="BZ30" s="44">
        <v>26</v>
      </c>
      <c r="CA30" s="62">
        <f t="shared" si="20"/>
        <v>1.6</v>
      </c>
      <c r="CB30" s="44">
        <v>25.5</v>
      </c>
      <c r="CC30" s="44">
        <v>62</v>
      </c>
      <c r="CD30" s="62">
        <f t="shared" si="21"/>
        <v>2.4313725490196076</v>
      </c>
    </row>
    <row r="31" spans="1:82" x14ac:dyDescent="0.3">
      <c r="A31" s="53" t="s">
        <v>13</v>
      </c>
      <c r="B31" s="49" t="s">
        <v>104</v>
      </c>
      <c r="C31" s="44" t="s">
        <v>38</v>
      </c>
      <c r="F31" s="62" t="str">
        <f t="shared" si="0"/>
        <v/>
      </c>
      <c r="J31" s="62" t="str">
        <f t="shared" si="1"/>
        <v/>
      </c>
      <c r="N31" s="62" t="str">
        <f t="shared" si="2"/>
        <v/>
      </c>
      <c r="R31" s="62" t="str">
        <f t="shared" si="3"/>
        <v/>
      </c>
      <c r="V31" s="62" t="str">
        <f t="shared" si="4"/>
        <v/>
      </c>
      <c r="Y31" s="62" t="str">
        <f t="shared" si="5"/>
        <v/>
      </c>
      <c r="AB31" s="62" t="str">
        <f t="shared" si="6"/>
        <v/>
      </c>
      <c r="AF31" s="62" t="str">
        <f t="shared" si="7"/>
        <v/>
      </c>
      <c r="AI31" s="62" t="str">
        <f t="shared" si="8"/>
        <v/>
      </c>
      <c r="AM31" s="62" t="str">
        <f t="shared" si="9"/>
        <v/>
      </c>
      <c r="AQ31" s="62" t="str">
        <f t="shared" si="10"/>
        <v/>
      </c>
      <c r="AU31" s="62" t="str">
        <f t="shared" si="11"/>
        <v/>
      </c>
      <c r="AY31" s="62" t="str">
        <f t="shared" si="12"/>
        <v/>
      </c>
      <c r="BC31" s="62" t="str">
        <f t="shared" si="13"/>
        <v/>
      </c>
      <c r="BF31" s="62" t="str">
        <f t="shared" si="14"/>
        <v/>
      </c>
      <c r="BG31" s="44" t="s">
        <v>38</v>
      </c>
      <c r="BH31" s="44">
        <v>524</v>
      </c>
      <c r="BI31" s="44">
        <v>694</v>
      </c>
      <c r="BJ31" s="62">
        <f t="shared" si="15"/>
        <v>1.3244274809160306</v>
      </c>
      <c r="BM31" s="62" t="str">
        <f t="shared" si="16"/>
        <v/>
      </c>
      <c r="BN31" s="44" t="s">
        <v>38</v>
      </c>
      <c r="BQ31" s="62" t="str">
        <f t="shared" si="17"/>
        <v/>
      </c>
      <c r="BR31" s="44">
        <v>14.75</v>
      </c>
      <c r="BS31" s="44">
        <v>5</v>
      </c>
      <c r="BT31" s="62">
        <f t="shared" si="18"/>
        <v>0.33898305084745761</v>
      </c>
      <c r="BU31" s="44">
        <v>10</v>
      </c>
      <c r="BV31" s="44">
        <v>2</v>
      </c>
      <c r="BW31" s="62">
        <f t="shared" si="19"/>
        <v>0.2</v>
      </c>
      <c r="BX31" s="44" t="s">
        <v>38</v>
      </c>
      <c r="BY31" s="44">
        <v>21.25</v>
      </c>
      <c r="BZ31" s="44">
        <v>6</v>
      </c>
      <c r="CA31" s="62">
        <f t="shared" si="20"/>
        <v>0.28235294117647058</v>
      </c>
      <c r="CB31" s="44">
        <v>38.75</v>
      </c>
      <c r="CC31" s="44">
        <v>17</v>
      </c>
      <c r="CD31" s="62">
        <f t="shared" si="21"/>
        <v>0.43870967741935485</v>
      </c>
    </row>
    <row r="32" spans="1:82" x14ac:dyDescent="0.3">
      <c r="A32" s="53" t="s">
        <v>59</v>
      </c>
      <c r="B32" s="49" t="s">
        <v>104</v>
      </c>
      <c r="C32" s="44" t="s">
        <v>38</v>
      </c>
      <c r="F32" s="62" t="str">
        <f t="shared" si="0"/>
        <v/>
      </c>
      <c r="J32" s="62" t="str">
        <f t="shared" si="1"/>
        <v/>
      </c>
      <c r="N32" s="62" t="str">
        <f t="shared" si="2"/>
        <v/>
      </c>
      <c r="R32" s="62" t="str">
        <f t="shared" si="3"/>
        <v/>
      </c>
      <c r="V32" s="62" t="str">
        <f t="shared" si="4"/>
        <v/>
      </c>
      <c r="Y32" s="62" t="str">
        <f t="shared" si="5"/>
        <v/>
      </c>
      <c r="AB32" s="62" t="str">
        <f t="shared" si="6"/>
        <v/>
      </c>
      <c r="AF32" s="62" t="str">
        <f t="shared" si="7"/>
        <v/>
      </c>
      <c r="AI32" s="62" t="str">
        <f t="shared" si="8"/>
        <v/>
      </c>
      <c r="AM32" s="62" t="str">
        <f t="shared" si="9"/>
        <v/>
      </c>
      <c r="AQ32" s="62" t="str">
        <f t="shared" si="10"/>
        <v/>
      </c>
      <c r="AU32" s="62" t="str">
        <f t="shared" si="11"/>
        <v/>
      </c>
      <c r="AY32" s="62" t="str">
        <f t="shared" si="12"/>
        <v/>
      </c>
      <c r="BC32" s="62" t="str">
        <f t="shared" si="13"/>
        <v/>
      </c>
      <c r="BF32" s="62" t="str">
        <f t="shared" si="14"/>
        <v/>
      </c>
      <c r="BJ32" s="62" t="str">
        <f t="shared" si="15"/>
        <v/>
      </c>
      <c r="BM32" s="62" t="str">
        <f t="shared" si="16"/>
        <v/>
      </c>
      <c r="BN32" s="44" t="s">
        <v>38</v>
      </c>
      <c r="BQ32" s="62" t="str">
        <f t="shared" si="17"/>
        <v/>
      </c>
      <c r="BR32" s="44">
        <v>78.5</v>
      </c>
      <c r="BS32" s="44">
        <v>182</v>
      </c>
      <c r="BT32" s="62">
        <f t="shared" si="18"/>
        <v>2.3184713375796178</v>
      </c>
      <c r="BU32" s="44">
        <v>95</v>
      </c>
      <c r="BV32" s="44">
        <v>199</v>
      </c>
      <c r="BW32" s="62">
        <f t="shared" si="19"/>
        <v>2.094736842105263</v>
      </c>
      <c r="BX32" s="44" t="s">
        <v>38</v>
      </c>
      <c r="BY32" s="44">
        <v>271.25</v>
      </c>
      <c r="BZ32" s="44">
        <v>893</v>
      </c>
      <c r="CA32" s="62">
        <f t="shared" si="20"/>
        <v>3.2921658986175113</v>
      </c>
      <c r="CB32" s="44">
        <v>371.5</v>
      </c>
      <c r="CC32" s="44">
        <v>1212</v>
      </c>
      <c r="CD32" s="62">
        <f t="shared" si="21"/>
        <v>3.262449528936743</v>
      </c>
    </row>
    <row r="33" spans="1:82" x14ac:dyDescent="0.3">
      <c r="A33" s="53" t="s">
        <v>60</v>
      </c>
      <c r="B33" s="49" t="s">
        <v>104</v>
      </c>
      <c r="C33" s="44" t="s">
        <v>38</v>
      </c>
      <c r="F33" s="62" t="str">
        <f t="shared" si="0"/>
        <v/>
      </c>
      <c r="J33" s="62" t="str">
        <f t="shared" si="1"/>
        <v/>
      </c>
      <c r="N33" s="62" t="str">
        <f t="shared" si="2"/>
        <v/>
      </c>
      <c r="R33" s="62" t="str">
        <f t="shared" si="3"/>
        <v/>
      </c>
      <c r="V33" s="62" t="str">
        <f t="shared" si="4"/>
        <v/>
      </c>
      <c r="Y33" s="62" t="str">
        <f t="shared" si="5"/>
        <v/>
      </c>
      <c r="AB33" s="62" t="str">
        <f t="shared" si="6"/>
        <v/>
      </c>
      <c r="AF33" s="62" t="str">
        <f t="shared" si="7"/>
        <v/>
      </c>
      <c r="AI33" s="62" t="str">
        <f t="shared" si="8"/>
        <v/>
      </c>
      <c r="AM33" s="62" t="str">
        <f t="shared" si="9"/>
        <v/>
      </c>
      <c r="AQ33" s="62" t="str">
        <f t="shared" si="10"/>
        <v/>
      </c>
      <c r="AU33" s="62" t="str">
        <f t="shared" si="11"/>
        <v/>
      </c>
      <c r="AY33" s="62" t="str">
        <f t="shared" si="12"/>
        <v/>
      </c>
      <c r="BC33" s="62" t="str">
        <f t="shared" si="13"/>
        <v/>
      </c>
      <c r="BF33" s="62" t="str">
        <f t="shared" si="14"/>
        <v/>
      </c>
      <c r="BJ33" s="62" t="str">
        <f t="shared" si="15"/>
        <v/>
      </c>
      <c r="BM33" s="62" t="str">
        <f t="shared" si="16"/>
        <v/>
      </c>
      <c r="BN33" s="44" t="s">
        <v>38</v>
      </c>
      <c r="BO33" s="44">
        <v>2234</v>
      </c>
      <c r="BP33" s="44">
        <v>219</v>
      </c>
      <c r="BQ33" s="62">
        <f t="shared" si="17"/>
        <v>9.8030438675022383E-2</v>
      </c>
      <c r="BT33" s="62" t="str">
        <f t="shared" si="18"/>
        <v/>
      </c>
      <c r="BU33" s="44">
        <v>353</v>
      </c>
      <c r="BV33" s="44">
        <v>38</v>
      </c>
      <c r="BW33" s="62">
        <f t="shared" si="19"/>
        <v>0.10764872521246459</v>
      </c>
      <c r="BX33" s="44" t="s">
        <v>38</v>
      </c>
      <c r="BY33" s="44">
        <v>35</v>
      </c>
      <c r="BZ33" s="44">
        <v>7</v>
      </c>
      <c r="CA33" s="62">
        <f t="shared" si="20"/>
        <v>0.2</v>
      </c>
      <c r="CB33" s="44">
        <v>7</v>
      </c>
      <c r="CC33" s="44">
        <v>2</v>
      </c>
      <c r="CD33" s="62">
        <f t="shared" si="21"/>
        <v>0.2857142857142857</v>
      </c>
    </row>
    <row r="34" spans="1:82" x14ac:dyDescent="0.3">
      <c r="A34" s="53" t="s">
        <v>14</v>
      </c>
      <c r="B34" s="49" t="s">
        <v>104</v>
      </c>
      <c r="C34" s="44" t="s">
        <v>38</v>
      </c>
      <c r="D34" s="44">
        <v>9600</v>
      </c>
      <c r="E34" s="44">
        <v>4929</v>
      </c>
      <c r="F34" s="62">
        <f t="shared" si="0"/>
        <v>0.51343749999999999</v>
      </c>
      <c r="G34" s="44" t="s">
        <v>38</v>
      </c>
      <c r="H34" s="44">
        <v>11040</v>
      </c>
      <c r="I34" s="44">
        <v>5357</v>
      </c>
      <c r="J34" s="62">
        <f t="shared" si="1"/>
        <v>0.48523550724637682</v>
      </c>
      <c r="K34" s="44" t="s">
        <v>38</v>
      </c>
      <c r="L34" s="44">
        <v>6950</v>
      </c>
      <c r="M34" s="44">
        <v>5703</v>
      </c>
      <c r="N34" s="62">
        <f t="shared" si="2"/>
        <v>0.82057553956834528</v>
      </c>
      <c r="O34" s="44" t="s">
        <v>38</v>
      </c>
      <c r="P34" s="44">
        <v>5879</v>
      </c>
      <c r="Q34" s="44">
        <v>5426</v>
      </c>
      <c r="R34" s="62">
        <f t="shared" si="3"/>
        <v>0.92294607926518113</v>
      </c>
      <c r="S34" s="44" t="s">
        <v>38</v>
      </c>
      <c r="T34" s="44">
        <v>5308</v>
      </c>
      <c r="U34" s="44">
        <v>4550</v>
      </c>
      <c r="V34" s="62">
        <f t="shared" si="4"/>
        <v>0.85719668425018836</v>
      </c>
      <c r="W34" s="44">
        <v>5000</v>
      </c>
      <c r="X34" s="44">
        <v>4056</v>
      </c>
      <c r="Y34" s="62">
        <f t="shared" si="5"/>
        <v>0.81120000000000003</v>
      </c>
      <c r="Z34" s="44">
        <v>3657</v>
      </c>
      <c r="AA34" s="44">
        <v>3151</v>
      </c>
      <c r="AB34" s="62">
        <f t="shared" si="6"/>
        <v>0.86163522012578619</v>
      </c>
      <c r="AC34" s="44" t="s">
        <v>38</v>
      </c>
      <c r="AD34" s="44">
        <v>3325</v>
      </c>
      <c r="AE34" s="44">
        <v>2585</v>
      </c>
      <c r="AF34" s="62">
        <f t="shared" si="7"/>
        <v>0.77744360902255638</v>
      </c>
      <c r="AG34" s="44">
        <v>3371</v>
      </c>
      <c r="AH34" s="44">
        <v>2247</v>
      </c>
      <c r="AI34" s="62">
        <f t="shared" si="8"/>
        <v>0.66656778404034411</v>
      </c>
      <c r="AJ34" s="44" t="s">
        <v>38</v>
      </c>
      <c r="AK34" s="44">
        <v>2200</v>
      </c>
      <c r="AL34" s="44">
        <v>1341</v>
      </c>
      <c r="AM34" s="62">
        <f t="shared" si="9"/>
        <v>0.6095454545454545</v>
      </c>
      <c r="AQ34" s="62" t="str">
        <f t="shared" si="10"/>
        <v/>
      </c>
      <c r="AU34" s="62" t="str">
        <f t="shared" si="11"/>
        <v/>
      </c>
      <c r="AY34" s="62" t="str">
        <f t="shared" si="12"/>
        <v/>
      </c>
      <c r="BC34" s="62" t="str">
        <f t="shared" si="13"/>
        <v/>
      </c>
      <c r="BF34" s="62" t="str">
        <f t="shared" si="14"/>
        <v/>
      </c>
      <c r="BG34" s="44" t="s">
        <v>38</v>
      </c>
      <c r="BH34" s="44">
        <v>2511</v>
      </c>
      <c r="BI34" s="44">
        <v>1050</v>
      </c>
      <c r="BJ34" s="62">
        <f t="shared" si="15"/>
        <v>0.41816009557945044</v>
      </c>
      <c r="BK34" s="44">
        <v>1872</v>
      </c>
      <c r="BL34" s="44">
        <v>1507</v>
      </c>
      <c r="BM34" s="62">
        <f t="shared" si="16"/>
        <v>0.80502136752136755</v>
      </c>
      <c r="BN34" s="44" t="s">
        <v>38</v>
      </c>
      <c r="BO34" s="44">
        <v>1984</v>
      </c>
      <c r="BP34" s="44">
        <v>993</v>
      </c>
      <c r="BQ34" s="62">
        <f t="shared" si="17"/>
        <v>0.5005040322580645</v>
      </c>
      <c r="BR34" s="44">
        <v>2891.75</v>
      </c>
      <c r="BS34" s="44">
        <v>2088.5</v>
      </c>
      <c r="BT34" s="62">
        <f t="shared" si="18"/>
        <v>0.72222702515777648</v>
      </c>
      <c r="BU34" s="44">
        <v>943</v>
      </c>
      <c r="BV34" s="44">
        <v>373.5</v>
      </c>
      <c r="BW34" s="62">
        <f t="shared" si="19"/>
        <v>0.39607635206786851</v>
      </c>
      <c r="BX34" s="44" t="s">
        <v>38</v>
      </c>
      <c r="BY34" s="44">
        <v>1404</v>
      </c>
      <c r="BZ34" s="44">
        <v>1691.5</v>
      </c>
      <c r="CA34" s="62">
        <f t="shared" si="20"/>
        <v>1.2047720797720798</v>
      </c>
      <c r="CB34" s="44">
        <v>1223</v>
      </c>
      <c r="CC34" s="44">
        <v>1015</v>
      </c>
      <c r="CD34" s="62">
        <f t="shared" si="21"/>
        <v>0.82992641046606708</v>
      </c>
    </row>
    <row r="35" spans="1:82" x14ac:dyDescent="0.3">
      <c r="A35" s="53" t="s">
        <v>157</v>
      </c>
      <c r="B35" s="49" t="s">
        <v>104</v>
      </c>
      <c r="C35" s="44" t="s">
        <v>38</v>
      </c>
      <c r="F35" s="62" t="str">
        <f t="shared" si="0"/>
        <v/>
      </c>
      <c r="J35" s="62" t="str">
        <f t="shared" si="1"/>
        <v/>
      </c>
      <c r="N35" s="62" t="str">
        <f t="shared" si="2"/>
        <v/>
      </c>
      <c r="R35" s="62" t="str">
        <f t="shared" si="3"/>
        <v/>
      </c>
      <c r="V35" s="62" t="str">
        <f t="shared" si="4"/>
        <v/>
      </c>
      <c r="Y35" s="62" t="str">
        <f t="shared" si="5"/>
        <v/>
      </c>
      <c r="AB35" s="62" t="str">
        <f t="shared" si="6"/>
        <v/>
      </c>
      <c r="AF35" s="62" t="str">
        <f t="shared" si="7"/>
        <v/>
      </c>
      <c r="AI35" s="62" t="str">
        <f t="shared" si="8"/>
        <v/>
      </c>
      <c r="AM35" s="62" t="str">
        <f t="shared" si="9"/>
        <v/>
      </c>
      <c r="AN35" s="44" t="s">
        <v>38</v>
      </c>
      <c r="AO35" s="44">
        <v>360</v>
      </c>
      <c r="AP35" s="44">
        <v>270</v>
      </c>
      <c r="AQ35" s="62">
        <f t="shared" si="10"/>
        <v>0.75</v>
      </c>
      <c r="AR35" s="44" t="s">
        <v>38</v>
      </c>
      <c r="AS35" s="44">
        <v>300</v>
      </c>
      <c r="AT35" s="44">
        <v>281</v>
      </c>
      <c r="AU35" s="62">
        <f t="shared" si="11"/>
        <v>0.93666666666666665</v>
      </c>
      <c r="AV35" s="44" t="s">
        <v>38</v>
      </c>
      <c r="AW35" s="44">
        <v>1200</v>
      </c>
      <c r="AX35" s="44">
        <v>1200</v>
      </c>
      <c r="AY35" s="62">
        <f t="shared" si="12"/>
        <v>1</v>
      </c>
      <c r="AZ35" s="44" t="s">
        <v>38</v>
      </c>
      <c r="BA35" s="44">
        <v>500</v>
      </c>
      <c r="BB35" s="44">
        <v>500</v>
      </c>
      <c r="BC35" s="62">
        <f t="shared" si="13"/>
        <v>1</v>
      </c>
      <c r="BF35" s="62" t="str">
        <f t="shared" si="14"/>
        <v/>
      </c>
      <c r="BJ35" s="62" t="str">
        <f t="shared" si="15"/>
        <v/>
      </c>
      <c r="BM35" s="62" t="str">
        <f t="shared" si="16"/>
        <v/>
      </c>
      <c r="BQ35" s="62" t="str">
        <f t="shared" si="17"/>
        <v/>
      </c>
      <c r="BT35" s="62" t="str">
        <f t="shared" si="18"/>
        <v/>
      </c>
      <c r="BW35" s="62" t="str">
        <f t="shared" si="19"/>
        <v/>
      </c>
      <c r="CA35" s="62" t="str">
        <f t="shared" si="20"/>
        <v/>
      </c>
      <c r="CD35" s="62" t="str">
        <f t="shared" si="21"/>
        <v/>
      </c>
    </row>
    <row r="36" spans="1:82" x14ac:dyDescent="0.3">
      <c r="A36" s="53" t="s">
        <v>236</v>
      </c>
      <c r="B36" s="49" t="s">
        <v>104</v>
      </c>
      <c r="C36" s="44" t="s">
        <v>38</v>
      </c>
      <c r="F36" s="62" t="str">
        <f t="shared" si="0"/>
        <v/>
      </c>
      <c r="J36" s="62" t="str">
        <f t="shared" si="1"/>
        <v/>
      </c>
      <c r="N36" s="62" t="str">
        <f t="shared" si="2"/>
        <v/>
      </c>
      <c r="R36" s="62" t="str">
        <f t="shared" si="3"/>
        <v/>
      </c>
      <c r="V36" s="62" t="str">
        <f t="shared" si="4"/>
        <v/>
      </c>
      <c r="Y36" s="62" t="str">
        <f t="shared" si="5"/>
        <v/>
      </c>
      <c r="AB36" s="62" t="str">
        <f t="shared" si="6"/>
        <v/>
      </c>
      <c r="AF36" s="62" t="str">
        <f t="shared" si="7"/>
        <v/>
      </c>
      <c r="AI36" s="62" t="str">
        <f t="shared" si="8"/>
        <v/>
      </c>
      <c r="AM36" s="62" t="str">
        <f t="shared" si="9"/>
        <v/>
      </c>
      <c r="AN36" s="44" t="s">
        <v>38</v>
      </c>
      <c r="AO36" s="44">
        <v>1500</v>
      </c>
      <c r="AP36" s="44">
        <v>656</v>
      </c>
      <c r="AQ36" s="62">
        <f t="shared" si="10"/>
        <v>0.43733333333333335</v>
      </c>
      <c r="AR36" s="44" t="s">
        <v>38</v>
      </c>
      <c r="AS36" s="44">
        <v>750</v>
      </c>
      <c r="AT36" s="44">
        <v>469</v>
      </c>
      <c r="AU36" s="62">
        <f t="shared" si="11"/>
        <v>0.6253333333333333</v>
      </c>
      <c r="AV36" s="44" t="s">
        <v>38</v>
      </c>
      <c r="AW36" s="44">
        <v>1500</v>
      </c>
      <c r="AX36" s="44">
        <v>1000</v>
      </c>
      <c r="AY36" s="62">
        <f t="shared" si="12"/>
        <v>0.66666666666666663</v>
      </c>
      <c r="AZ36" s="44" t="s">
        <v>38</v>
      </c>
      <c r="BA36" s="44">
        <v>600</v>
      </c>
      <c r="BB36" s="44">
        <v>400</v>
      </c>
      <c r="BC36" s="62">
        <f t="shared" si="13"/>
        <v>0.66666666666666663</v>
      </c>
      <c r="BF36" s="62" t="str">
        <f t="shared" si="14"/>
        <v/>
      </c>
      <c r="BJ36" s="62" t="str">
        <f t="shared" si="15"/>
        <v/>
      </c>
      <c r="BM36" s="62" t="str">
        <f t="shared" si="16"/>
        <v/>
      </c>
      <c r="BQ36" s="62" t="str">
        <f t="shared" si="17"/>
        <v/>
      </c>
      <c r="BT36" s="62" t="str">
        <f t="shared" si="18"/>
        <v/>
      </c>
      <c r="BW36" s="62" t="str">
        <f t="shared" si="19"/>
        <v/>
      </c>
      <c r="CA36" s="62" t="str">
        <f t="shared" si="20"/>
        <v/>
      </c>
      <c r="CD36" s="62" t="str">
        <f t="shared" si="21"/>
        <v/>
      </c>
    </row>
    <row r="37" spans="1:82" x14ac:dyDescent="0.3">
      <c r="A37" s="53" t="s">
        <v>237</v>
      </c>
      <c r="B37" s="49" t="s">
        <v>104</v>
      </c>
      <c r="C37" s="44" t="s">
        <v>38</v>
      </c>
      <c r="F37" s="62" t="str">
        <f t="shared" si="0"/>
        <v/>
      </c>
      <c r="J37" s="62" t="str">
        <f t="shared" si="1"/>
        <v/>
      </c>
      <c r="N37" s="62" t="str">
        <f t="shared" si="2"/>
        <v/>
      </c>
      <c r="R37" s="62" t="str">
        <f t="shared" si="3"/>
        <v/>
      </c>
      <c r="V37" s="62" t="str">
        <f t="shared" si="4"/>
        <v/>
      </c>
      <c r="Y37" s="62" t="str">
        <f t="shared" si="5"/>
        <v/>
      </c>
      <c r="AB37" s="62" t="str">
        <f t="shared" si="6"/>
        <v/>
      </c>
      <c r="AF37" s="62" t="str">
        <f t="shared" si="7"/>
        <v/>
      </c>
      <c r="AI37" s="62" t="str">
        <f t="shared" si="8"/>
        <v/>
      </c>
      <c r="AM37" s="62" t="str">
        <f t="shared" si="9"/>
        <v/>
      </c>
      <c r="AN37" s="44" t="s">
        <v>38</v>
      </c>
      <c r="AO37" s="44">
        <v>650</v>
      </c>
      <c r="AP37" s="44">
        <v>405</v>
      </c>
      <c r="AQ37" s="62">
        <f t="shared" si="10"/>
        <v>0.62307692307692308</v>
      </c>
      <c r="AR37" s="44" t="s">
        <v>38</v>
      </c>
      <c r="AS37" s="44">
        <v>530</v>
      </c>
      <c r="AT37" s="44">
        <v>331</v>
      </c>
      <c r="AU37" s="62">
        <f t="shared" si="11"/>
        <v>0.62452830188679243</v>
      </c>
      <c r="AV37" s="44" t="s">
        <v>38</v>
      </c>
      <c r="AW37" s="44">
        <v>750</v>
      </c>
      <c r="AX37" s="44">
        <v>500</v>
      </c>
      <c r="AY37" s="62">
        <f t="shared" si="12"/>
        <v>0.66666666666666663</v>
      </c>
      <c r="AZ37" s="44" t="s">
        <v>38</v>
      </c>
      <c r="BA37" s="44">
        <v>700</v>
      </c>
      <c r="BB37" s="44">
        <v>500</v>
      </c>
      <c r="BC37" s="62">
        <f t="shared" si="13"/>
        <v>0.7142857142857143</v>
      </c>
      <c r="BD37" s="44">
        <v>1200</v>
      </c>
      <c r="BE37" s="44">
        <v>800</v>
      </c>
      <c r="BF37" s="62">
        <f t="shared" si="14"/>
        <v>0.66666666666666663</v>
      </c>
      <c r="BJ37" s="62" t="str">
        <f t="shared" si="15"/>
        <v/>
      </c>
      <c r="BM37" s="62" t="str">
        <f t="shared" si="16"/>
        <v/>
      </c>
      <c r="BQ37" s="62" t="str">
        <f t="shared" si="17"/>
        <v/>
      </c>
      <c r="BT37" s="62" t="str">
        <f t="shared" si="18"/>
        <v/>
      </c>
      <c r="BW37" s="62" t="str">
        <f t="shared" si="19"/>
        <v/>
      </c>
      <c r="CA37" s="62" t="str">
        <f t="shared" si="20"/>
        <v/>
      </c>
      <c r="CD37" s="62" t="str">
        <f t="shared" si="21"/>
        <v/>
      </c>
    </row>
    <row r="38" spans="1:82" x14ac:dyDescent="0.3">
      <c r="A38" s="49" t="s">
        <v>15</v>
      </c>
      <c r="B38" s="49" t="s">
        <v>134</v>
      </c>
      <c r="C38" s="44" t="s">
        <v>36</v>
      </c>
      <c r="D38" s="44">
        <v>10164</v>
      </c>
      <c r="E38" s="44">
        <v>4964</v>
      </c>
      <c r="F38" s="62">
        <f t="shared" si="0"/>
        <v>0.48839039748130658</v>
      </c>
      <c r="G38" s="44" t="s">
        <v>36</v>
      </c>
      <c r="H38" s="44">
        <v>10506</v>
      </c>
      <c r="I38" s="44">
        <v>5056</v>
      </c>
      <c r="J38" s="62">
        <f t="shared" si="1"/>
        <v>0.48124881020369314</v>
      </c>
      <c r="K38" s="44" t="s">
        <v>36</v>
      </c>
      <c r="L38" s="44">
        <v>8500</v>
      </c>
      <c r="M38" s="44">
        <v>4650</v>
      </c>
      <c r="N38" s="62">
        <f t="shared" si="2"/>
        <v>0.54705882352941182</v>
      </c>
      <c r="O38" s="44" t="s">
        <v>36</v>
      </c>
      <c r="P38" s="44">
        <v>9750</v>
      </c>
      <c r="Q38" s="44">
        <v>6000</v>
      </c>
      <c r="R38" s="62">
        <f t="shared" si="3"/>
        <v>0.61538461538461542</v>
      </c>
      <c r="S38" s="44" t="s">
        <v>36</v>
      </c>
      <c r="T38" s="44">
        <v>10500</v>
      </c>
      <c r="U38" s="44">
        <v>6000</v>
      </c>
      <c r="V38" s="62">
        <f t="shared" si="4"/>
        <v>0.5714285714285714</v>
      </c>
      <c r="W38" s="44">
        <v>12800</v>
      </c>
      <c r="X38" s="44">
        <v>5600</v>
      </c>
      <c r="Y38" s="62">
        <f t="shared" si="5"/>
        <v>0.4375</v>
      </c>
      <c r="Z38" s="44">
        <v>9440</v>
      </c>
      <c r="AA38" s="44">
        <v>4647</v>
      </c>
      <c r="AB38" s="62">
        <f t="shared" si="6"/>
        <v>0.49226694915254238</v>
      </c>
      <c r="AC38" s="44" t="s">
        <v>36</v>
      </c>
      <c r="AD38" s="44">
        <v>8000</v>
      </c>
      <c r="AE38" s="44">
        <v>4000</v>
      </c>
      <c r="AF38" s="62">
        <f t="shared" si="7"/>
        <v>0.5</v>
      </c>
      <c r="AG38" s="44">
        <v>6850</v>
      </c>
      <c r="AH38" s="44">
        <v>3806</v>
      </c>
      <c r="AI38" s="62">
        <f t="shared" si="8"/>
        <v>0.55562043795620442</v>
      </c>
      <c r="AM38" s="62" t="str">
        <f t="shared" si="9"/>
        <v/>
      </c>
      <c r="AQ38" s="62" t="str">
        <f t="shared" si="10"/>
        <v/>
      </c>
      <c r="AU38" s="62" t="str">
        <f t="shared" si="11"/>
        <v/>
      </c>
      <c r="AY38" s="62" t="str">
        <f t="shared" si="12"/>
        <v/>
      </c>
      <c r="BC38" s="62" t="str">
        <f t="shared" si="13"/>
        <v/>
      </c>
      <c r="BF38" s="62" t="str">
        <f t="shared" si="14"/>
        <v/>
      </c>
      <c r="BJ38" s="62" t="str">
        <f t="shared" si="15"/>
        <v/>
      </c>
      <c r="BM38" s="62" t="str">
        <f t="shared" si="16"/>
        <v/>
      </c>
      <c r="BQ38" s="62" t="str">
        <f t="shared" si="17"/>
        <v/>
      </c>
      <c r="BT38" s="62" t="str">
        <f t="shared" si="18"/>
        <v/>
      </c>
      <c r="BW38" s="62" t="str">
        <f t="shared" si="19"/>
        <v/>
      </c>
      <c r="CA38" s="62" t="str">
        <f t="shared" si="20"/>
        <v/>
      </c>
      <c r="CD38" s="62" t="str">
        <f t="shared" si="21"/>
        <v/>
      </c>
    </row>
    <row r="39" spans="1:82" x14ac:dyDescent="0.3">
      <c r="A39" s="49" t="s">
        <v>132</v>
      </c>
      <c r="B39" s="49" t="s">
        <v>104</v>
      </c>
      <c r="C39" s="44" t="s">
        <v>38</v>
      </c>
      <c r="F39" s="62" t="str">
        <f t="shared" si="0"/>
        <v/>
      </c>
      <c r="J39" s="62" t="str">
        <f t="shared" si="1"/>
        <v/>
      </c>
      <c r="N39" s="62" t="str">
        <f t="shared" si="2"/>
        <v/>
      </c>
      <c r="R39" s="62" t="str">
        <f t="shared" si="3"/>
        <v/>
      </c>
      <c r="V39" s="62" t="str">
        <f t="shared" si="4"/>
        <v/>
      </c>
      <c r="Y39" s="62" t="str">
        <f t="shared" si="5"/>
        <v/>
      </c>
      <c r="AB39" s="62" t="str">
        <f t="shared" si="6"/>
        <v/>
      </c>
      <c r="AF39" s="62" t="str">
        <f t="shared" si="7"/>
        <v/>
      </c>
      <c r="AI39" s="62" t="str">
        <f t="shared" si="8"/>
        <v/>
      </c>
      <c r="AM39" s="62" t="str">
        <f t="shared" si="9"/>
        <v/>
      </c>
      <c r="AN39" s="44" t="s">
        <v>38</v>
      </c>
      <c r="AO39" s="44">
        <f>$D$146*56</f>
        <v>1120</v>
      </c>
      <c r="AP39" s="44">
        <v>87</v>
      </c>
      <c r="AQ39" s="62">
        <f t="shared" si="10"/>
        <v>7.767857142857143E-2</v>
      </c>
      <c r="AR39" s="44" t="s">
        <v>38</v>
      </c>
      <c r="AS39" s="44">
        <f>$D$146*30</f>
        <v>600</v>
      </c>
      <c r="AT39" s="44">
        <v>58</v>
      </c>
      <c r="AU39" s="62">
        <f t="shared" si="11"/>
        <v>9.6666666666666665E-2</v>
      </c>
      <c r="AV39" s="44" t="s">
        <v>38</v>
      </c>
      <c r="AW39" s="44">
        <v>1130</v>
      </c>
      <c r="AX39" s="44">
        <v>151</v>
      </c>
      <c r="AY39" s="62">
        <f t="shared" si="12"/>
        <v>0.13362831858407079</v>
      </c>
      <c r="AZ39" s="44" t="s">
        <v>38</v>
      </c>
      <c r="BA39" s="44">
        <v>3750</v>
      </c>
      <c r="BB39" s="44">
        <v>499</v>
      </c>
      <c r="BC39" s="62">
        <f t="shared" si="13"/>
        <v>0.13306666666666667</v>
      </c>
      <c r="BD39" s="44">
        <v>10500</v>
      </c>
      <c r="BE39" s="44">
        <v>1400</v>
      </c>
      <c r="BF39" s="62">
        <f t="shared" si="14"/>
        <v>0.13333333333333333</v>
      </c>
      <c r="BJ39" s="62" t="str">
        <f t="shared" si="15"/>
        <v/>
      </c>
      <c r="BM39" s="62" t="str">
        <f t="shared" si="16"/>
        <v/>
      </c>
      <c r="BQ39" s="62" t="str">
        <f t="shared" si="17"/>
        <v/>
      </c>
      <c r="BT39" s="62" t="str">
        <f t="shared" si="18"/>
        <v/>
      </c>
      <c r="BW39" s="62" t="str">
        <f t="shared" si="19"/>
        <v/>
      </c>
      <c r="CA39" s="62" t="str">
        <f t="shared" si="20"/>
        <v/>
      </c>
      <c r="CD39" s="62" t="str">
        <f t="shared" si="21"/>
        <v/>
      </c>
    </row>
    <row r="40" spans="1:82" x14ac:dyDescent="0.3">
      <c r="A40" s="49" t="s">
        <v>238</v>
      </c>
      <c r="B40" s="49" t="s">
        <v>104</v>
      </c>
      <c r="C40" s="44" t="s">
        <v>38</v>
      </c>
      <c r="F40" s="62" t="str">
        <f t="shared" si="0"/>
        <v/>
      </c>
      <c r="J40" s="62" t="str">
        <f t="shared" si="1"/>
        <v/>
      </c>
      <c r="N40" s="62" t="str">
        <f t="shared" si="2"/>
        <v/>
      </c>
      <c r="R40" s="62" t="str">
        <f t="shared" si="3"/>
        <v/>
      </c>
      <c r="V40" s="62" t="str">
        <f t="shared" si="4"/>
        <v/>
      </c>
      <c r="Y40" s="62" t="str">
        <f t="shared" si="5"/>
        <v/>
      </c>
      <c r="AB40" s="62" t="str">
        <f t="shared" si="6"/>
        <v/>
      </c>
      <c r="AF40" s="62" t="str">
        <f t="shared" si="7"/>
        <v/>
      </c>
      <c r="AI40" s="62" t="str">
        <f t="shared" si="8"/>
        <v/>
      </c>
      <c r="AM40" s="62" t="str">
        <f t="shared" si="9"/>
        <v/>
      </c>
      <c r="AQ40" s="62" t="str">
        <f t="shared" si="10"/>
        <v/>
      </c>
      <c r="AU40" s="62" t="str">
        <f t="shared" si="11"/>
        <v/>
      </c>
      <c r="AY40" s="62" t="str">
        <f t="shared" si="12"/>
        <v/>
      </c>
      <c r="BC40" s="62" t="str">
        <f t="shared" si="13"/>
        <v/>
      </c>
      <c r="BF40" s="62" t="str">
        <f t="shared" si="14"/>
        <v/>
      </c>
      <c r="BG40" s="44" t="s">
        <v>38</v>
      </c>
      <c r="BH40" s="44">
        <v>1732</v>
      </c>
      <c r="BI40" s="44">
        <v>303</v>
      </c>
      <c r="BJ40" s="62">
        <f t="shared" si="15"/>
        <v>0.17494226327944573</v>
      </c>
      <c r="BK40" s="44">
        <v>100</v>
      </c>
      <c r="BL40" s="44">
        <v>21</v>
      </c>
      <c r="BM40" s="62">
        <f t="shared" si="16"/>
        <v>0.21</v>
      </c>
      <c r="BN40" s="44" t="s">
        <v>38</v>
      </c>
      <c r="BO40" s="44">
        <v>1599</v>
      </c>
      <c r="BP40" s="44">
        <v>338</v>
      </c>
      <c r="BQ40" s="62">
        <f t="shared" si="17"/>
        <v>0.21138211382113822</v>
      </c>
      <c r="BR40" s="44">
        <v>1174</v>
      </c>
      <c r="BS40" s="44">
        <v>231</v>
      </c>
      <c r="BT40" s="62">
        <f t="shared" si="18"/>
        <v>0.19676320272572401</v>
      </c>
      <c r="BU40" s="44">
        <v>1894</v>
      </c>
      <c r="BV40" s="44">
        <v>306</v>
      </c>
      <c r="BW40" s="62">
        <f t="shared" si="19"/>
        <v>0.16156282998944033</v>
      </c>
      <c r="BX40" s="44" t="s">
        <v>38</v>
      </c>
      <c r="BY40" s="44">
        <v>4308.75</v>
      </c>
      <c r="BZ40" s="44">
        <v>944</v>
      </c>
      <c r="CA40" s="62">
        <f t="shared" si="20"/>
        <v>0.21908906295329272</v>
      </c>
      <c r="CB40" s="44">
        <v>1574</v>
      </c>
      <c r="CC40" s="44">
        <v>463</v>
      </c>
      <c r="CD40" s="62">
        <f t="shared" si="21"/>
        <v>0.29415501905972047</v>
      </c>
    </row>
    <row r="41" spans="1:82" x14ac:dyDescent="0.3">
      <c r="A41" s="49" t="s">
        <v>239</v>
      </c>
      <c r="B41" s="49" t="s">
        <v>104</v>
      </c>
      <c r="C41" s="44" t="s">
        <v>38</v>
      </c>
      <c r="F41" s="62" t="str">
        <f t="shared" si="0"/>
        <v/>
      </c>
      <c r="J41" s="62" t="str">
        <f t="shared" si="1"/>
        <v/>
      </c>
      <c r="N41" s="62" t="str">
        <f t="shared" si="2"/>
        <v/>
      </c>
      <c r="R41" s="62" t="str">
        <f t="shared" si="3"/>
        <v/>
      </c>
      <c r="V41" s="62" t="str">
        <f t="shared" si="4"/>
        <v/>
      </c>
      <c r="Y41" s="62" t="str">
        <f t="shared" si="5"/>
        <v/>
      </c>
      <c r="AB41" s="62" t="str">
        <f t="shared" si="6"/>
        <v/>
      </c>
      <c r="AF41" s="62" t="str">
        <f t="shared" si="7"/>
        <v/>
      </c>
      <c r="AI41" s="62" t="str">
        <f t="shared" si="8"/>
        <v/>
      </c>
      <c r="AJ41" s="44" t="s">
        <v>38</v>
      </c>
      <c r="AK41" s="44">
        <f>$D$146*5900</f>
        <v>118000</v>
      </c>
      <c r="AL41" s="44">
        <v>3235</v>
      </c>
      <c r="AM41" s="62">
        <f t="shared" si="9"/>
        <v>2.7415254237288137E-2</v>
      </c>
      <c r="AN41" s="44" t="s">
        <v>38</v>
      </c>
      <c r="AO41" s="44">
        <f>$D$146*4960</f>
        <v>99200</v>
      </c>
      <c r="AP41" s="44">
        <v>3062</v>
      </c>
      <c r="AQ41" s="62">
        <f t="shared" si="10"/>
        <v>3.0866935483870969E-2</v>
      </c>
      <c r="AR41" s="44" t="s">
        <v>38</v>
      </c>
      <c r="AS41" s="44">
        <f>$D$146*6500</f>
        <v>130000</v>
      </c>
      <c r="AT41" s="44">
        <f>2844</f>
        <v>2844</v>
      </c>
      <c r="AU41" s="62">
        <f t="shared" si="11"/>
        <v>2.1876923076923079E-2</v>
      </c>
      <c r="AV41" s="44" t="s">
        <v>38</v>
      </c>
      <c r="AW41" s="44">
        <f>$D$146*9500</f>
        <v>190000</v>
      </c>
      <c r="AX41" s="44">
        <v>4434</v>
      </c>
      <c r="AY41" s="62">
        <f t="shared" si="12"/>
        <v>2.3336842105263159E-2</v>
      </c>
      <c r="AZ41" s="44" t="s">
        <v>38</v>
      </c>
      <c r="BA41" s="44">
        <f>$D$146*11000</f>
        <v>220000</v>
      </c>
      <c r="BB41" s="44">
        <v>5335</v>
      </c>
      <c r="BC41" s="62">
        <f t="shared" si="13"/>
        <v>2.4250000000000001E-2</v>
      </c>
      <c r="BD41" s="44">
        <f>$D$146*13500</f>
        <v>270000</v>
      </c>
      <c r="BE41" s="44">
        <v>6300</v>
      </c>
      <c r="BF41" s="62">
        <f t="shared" si="14"/>
        <v>2.3333333333333334E-2</v>
      </c>
      <c r="BG41" s="44" t="s">
        <v>38</v>
      </c>
      <c r="BH41" s="44">
        <v>4037</v>
      </c>
      <c r="BI41" s="44">
        <v>791</v>
      </c>
      <c r="BJ41" s="62">
        <f t="shared" si="15"/>
        <v>0.19593757740896706</v>
      </c>
      <c r="BK41" s="44">
        <v>8654</v>
      </c>
      <c r="BL41" s="44">
        <v>1239</v>
      </c>
      <c r="BM41" s="62">
        <f t="shared" si="16"/>
        <v>0.14317078807487868</v>
      </c>
      <c r="BN41" s="44" t="s">
        <v>38</v>
      </c>
      <c r="BO41" s="44">
        <v>30618</v>
      </c>
      <c r="BP41" s="44">
        <v>1357</v>
      </c>
      <c r="BQ41" s="62">
        <f t="shared" si="17"/>
        <v>4.4320334443791236E-2</v>
      </c>
      <c r="BT41" s="62" t="str">
        <f t="shared" si="18"/>
        <v/>
      </c>
      <c r="BW41" s="62" t="str">
        <f t="shared" si="19"/>
        <v/>
      </c>
      <c r="BX41" s="44" t="s">
        <v>38</v>
      </c>
      <c r="BY41" s="44">
        <v>1075.25</v>
      </c>
      <c r="BZ41" s="44">
        <v>54.5</v>
      </c>
      <c r="CA41" s="62">
        <f t="shared" si="20"/>
        <v>5.0685887003022553E-2</v>
      </c>
      <c r="CD41" s="62" t="str">
        <f t="shared" si="21"/>
        <v/>
      </c>
    </row>
    <row r="42" spans="1:82" x14ac:dyDescent="0.3">
      <c r="A42" s="49" t="s">
        <v>16</v>
      </c>
      <c r="B42" s="49" t="s">
        <v>104</v>
      </c>
      <c r="C42" s="44" t="s">
        <v>38</v>
      </c>
      <c r="F42" s="62" t="str">
        <f t="shared" si="0"/>
        <v/>
      </c>
      <c r="J42" s="62" t="str">
        <f t="shared" si="1"/>
        <v/>
      </c>
      <c r="L42" s="32"/>
      <c r="M42" s="32"/>
      <c r="N42" s="62" t="str">
        <f t="shared" si="2"/>
        <v/>
      </c>
      <c r="R42" s="62" t="str">
        <f t="shared" si="3"/>
        <v/>
      </c>
      <c r="V42" s="62" t="str">
        <f t="shared" si="4"/>
        <v/>
      </c>
      <c r="Y42" s="62" t="str">
        <f t="shared" si="5"/>
        <v/>
      </c>
      <c r="AB42" s="62" t="str">
        <f t="shared" si="6"/>
        <v/>
      </c>
      <c r="AF42" s="62" t="str">
        <f t="shared" si="7"/>
        <v/>
      </c>
      <c r="AI42" s="62" t="str">
        <f t="shared" si="8"/>
        <v/>
      </c>
      <c r="AM42" s="62" t="str">
        <f t="shared" si="9"/>
        <v/>
      </c>
      <c r="AQ42" s="62" t="str">
        <f t="shared" si="10"/>
        <v/>
      </c>
      <c r="AU42" s="62" t="str">
        <f t="shared" si="11"/>
        <v/>
      </c>
      <c r="AY42" s="62" t="str">
        <f t="shared" si="12"/>
        <v/>
      </c>
      <c r="BC42" s="62" t="str">
        <f t="shared" si="13"/>
        <v/>
      </c>
      <c r="BF42" s="62" t="str">
        <f t="shared" si="14"/>
        <v/>
      </c>
      <c r="BG42" s="44" t="s">
        <v>38</v>
      </c>
      <c r="BH42" s="44">
        <v>170</v>
      </c>
      <c r="BI42" s="44">
        <v>274</v>
      </c>
      <c r="BJ42" s="62">
        <f t="shared" si="15"/>
        <v>1.611764705882353</v>
      </c>
      <c r="BK42" s="44">
        <v>160</v>
      </c>
      <c r="BL42" s="44">
        <v>362</v>
      </c>
      <c r="BM42" s="62">
        <f t="shared" si="16"/>
        <v>2.2625000000000002</v>
      </c>
      <c r="BQ42" s="62" t="str">
        <f t="shared" si="17"/>
        <v/>
      </c>
      <c r="BT42" s="62" t="str">
        <f t="shared" si="18"/>
        <v/>
      </c>
      <c r="BW42" s="62" t="str">
        <f t="shared" si="19"/>
        <v/>
      </c>
      <c r="BX42" s="44" t="s">
        <v>38</v>
      </c>
      <c r="CA42" s="62" t="str">
        <f t="shared" si="20"/>
        <v/>
      </c>
      <c r="CB42" s="44">
        <v>117</v>
      </c>
      <c r="CC42" s="44">
        <v>215.5</v>
      </c>
      <c r="CD42" s="62">
        <f t="shared" si="21"/>
        <v>1.8418803418803418</v>
      </c>
    </row>
    <row r="43" spans="1:82" x14ac:dyDescent="0.3">
      <c r="A43" s="49" t="s">
        <v>187</v>
      </c>
      <c r="B43" s="49" t="s">
        <v>104</v>
      </c>
      <c r="C43" s="44" t="s">
        <v>38</v>
      </c>
      <c r="F43" s="62" t="str">
        <f t="shared" si="0"/>
        <v/>
      </c>
      <c r="J43" s="62" t="str">
        <f t="shared" si="1"/>
        <v/>
      </c>
      <c r="L43" s="32"/>
      <c r="M43" s="32"/>
      <c r="N43" s="62" t="str">
        <f t="shared" si="2"/>
        <v/>
      </c>
      <c r="R43" s="62" t="str">
        <f t="shared" si="3"/>
        <v/>
      </c>
      <c r="V43" s="62" t="str">
        <f t="shared" si="4"/>
        <v/>
      </c>
      <c r="Y43" s="62" t="str">
        <f t="shared" si="5"/>
        <v/>
      </c>
      <c r="AB43" s="62" t="str">
        <f t="shared" si="6"/>
        <v/>
      </c>
      <c r="AF43" s="62" t="str">
        <f t="shared" si="7"/>
        <v/>
      </c>
      <c r="AI43" s="62" t="str">
        <f t="shared" si="8"/>
        <v/>
      </c>
      <c r="AM43" s="62" t="str">
        <f t="shared" si="9"/>
        <v/>
      </c>
      <c r="AQ43" s="62" t="str">
        <f t="shared" si="10"/>
        <v/>
      </c>
      <c r="AU43" s="62" t="str">
        <f t="shared" si="11"/>
        <v/>
      </c>
      <c r="AY43" s="62" t="str">
        <f t="shared" si="12"/>
        <v/>
      </c>
      <c r="BC43" s="62" t="str">
        <f t="shared" si="13"/>
        <v/>
      </c>
      <c r="BF43" s="62" t="str">
        <f t="shared" si="14"/>
        <v/>
      </c>
      <c r="BG43" s="44" t="s">
        <v>38</v>
      </c>
      <c r="BH43" s="44">
        <v>63</v>
      </c>
      <c r="BI43" s="44">
        <v>139</v>
      </c>
      <c r="BJ43" s="62">
        <f t="shared" si="15"/>
        <v>2.2063492063492065</v>
      </c>
      <c r="BK43" s="44">
        <v>64</v>
      </c>
      <c r="BL43" s="44">
        <v>303</v>
      </c>
      <c r="BM43" s="62">
        <f t="shared" si="16"/>
        <v>4.734375</v>
      </c>
      <c r="BN43" s="44" t="s">
        <v>38</v>
      </c>
      <c r="BO43" s="44">
        <v>45</v>
      </c>
      <c r="BP43" s="44">
        <v>88</v>
      </c>
      <c r="BQ43" s="62">
        <f t="shared" si="17"/>
        <v>1.9555555555555555</v>
      </c>
      <c r="BR43" s="44">
        <v>13</v>
      </c>
      <c r="BS43" s="44">
        <v>33</v>
      </c>
      <c r="BT43" s="62">
        <f t="shared" si="18"/>
        <v>2.5384615384615383</v>
      </c>
      <c r="BU43" s="44">
        <v>78</v>
      </c>
      <c r="BV43" s="44">
        <v>154</v>
      </c>
      <c r="BW43" s="62">
        <f t="shared" si="19"/>
        <v>1.9743589743589745</v>
      </c>
      <c r="BX43" s="44" t="s">
        <v>38</v>
      </c>
      <c r="BY43" s="44">
        <v>76.5</v>
      </c>
      <c r="BZ43" s="44">
        <v>194</v>
      </c>
      <c r="CA43" s="62">
        <f t="shared" si="20"/>
        <v>2.5359477124183005</v>
      </c>
      <c r="CB43" s="44">
        <v>115</v>
      </c>
      <c r="CC43" s="44">
        <v>317</v>
      </c>
      <c r="CD43" s="62">
        <f t="shared" si="21"/>
        <v>2.7565217391304349</v>
      </c>
    </row>
    <row r="44" spans="1:82" x14ac:dyDescent="0.3">
      <c r="A44" s="49" t="s">
        <v>240</v>
      </c>
      <c r="B44" s="49" t="s">
        <v>104</v>
      </c>
      <c r="C44" s="44" t="s">
        <v>38</v>
      </c>
      <c r="F44" s="62" t="str">
        <f t="shared" si="0"/>
        <v/>
      </c>
      <c r="J44" s="62" t="str">
        <f t="shared" si="1"/>
        <v/>
      </c>
      <c r="L44" s="32"/>
      <c r="M44" s="32"/>
      <c r="N44" s="62" t="str">
        <f t="shared" si="2"/>
        <v/>
      </c>
      <c r="R44" s="62" t="str">
        <f t="shared" si="3"/>
        <v/>
      </c>
      <c r="V44" s="62" t="str">
        <f t="shared" si="4"/>
        <v/>
      </c>
      <c r="Y44" s="62" t="str">
        <f t="shared" si="5"/>
        <v/>
      </c>
      <c r="AB44" s="62" t="str">
        <f t="shared" si="6"/>
        <v/>
      </c>
      <c r="AF44" s="62" t="str">
        <f t="shared" si="7"/>
        <v/>
      </c>
      <c r="AI44" s="62" t="str">
        <f t="shared" si="8"/>
        <v/>
      </c>
      <c r="AM44" s="62" t="str">
        <f t="shared" si="9"/>
        <v/>
      </c>
      <c r="AQ44" s="62" t="str">
        <f t="shared" si="10"/>
        <v/>
      </c>
      <c r="AU44" s="62" t="str">
        <f t="shared" si="11"/>
        <v/>
      </c>
      <c r="AY44" s="62" t="str">
        <f t="shared" si="12"/>
        <v/>
      </c>
      <c r="BC44" s="62" t="str">
        <f t="shared" si="13"/>
        <v/>
      </c>
      <c r="BF44" s="62" t="str">
        <f t="shared" si="14"/>
        <v/>
      </c>
      <c r="BG44" s="44" t="s">
        <v>38</v>
      </c>
      <c r="BH44" s="44">
        <v>6</v>
      </c>
      <c r="BI44" s="44">
        <v>9</v>
      </c>
      <c r="BJ44" s="62">
        <f t="shared" si="15"/>
        <v>1.5</v>
      </c>
      <c r="BM44" s="62" t="str">
        <f t="shared" si="16"/>
        <v/>
      </c>
      <c r="BQ44" s="62" t="str">
        <f t="shared" si="17"/>
        <v/>
      </c>
      <c r="BT44" s="62" t="str">
        <f t="shared" si="18"/>
        <v/>
      </c>
      <c r="BW44" s="62" t="str">
        <f t="shared" si="19"/>
        <v/>
      </c>
      <c r="CA44" s="62" t="str">
        <f t="shared" si="20"/>
        <v/>
      </c>
      <c r="CD44" s="62" t="str">
        <f t="shared" si="21"/>
        <v/>
      </c>
    </row>
    <row r="45" spans="1:82" x14ac:dyDescent="0.3">
      <c r="A45" s="49" t="s">
        <v>241</v>
      </c>
      <c r="B45" s="49" t="s">
        <v>106</v>
      </c>
      <c r="C45" s="44" t="s">
        <v>42</v>
      </c>
      <c r="D45" s="44">
        <v>375</v>
      </c>
      <c r="E45" s="44">
        <v>968</v>
      </c>
      <c r="F45" s="62">
        <f t="shared" si="0"/>
        <v>2.5813333333333333</v>
      </c>
      <c r="G45" s="44" t="s">
        <v>42</v>
      </c>
      <c r="H45" s="44">
        <v>555</v>
      </c>
      <c r="I45" s="44">
        <v>1310</v>
      </c>
      <c r="J45" s="62">
        <f t="shared" si="1"/>
        <v>2.3603603603603602</v>
      </c>
      <c r="K45" s="44" t="s">
        <v>42</v>
      </c>
      <c r="L45" s="32">
        <v>615</v>
      </c>
      <c r="M45" s="32">
        <v>841</v>
      </c>
      <c r="N45" s="62">
        <f t="shared" si="2"/>
        <v>1.3674796747967479</v>
      </c>
      <c r="O45" s="44" t="s">
        <v>42</v>
      </c>
      <c r="P45" s="44">
        <v>600</v>
      </c>
      <c r="Q45" s="44">
        <v>923</v>
      </c>
      <c r="R45" s="62">
        <f t="shared" si="3"/>
        <v>1.5383333333333333</v>
      </c>
      <c r="S45" s="44" t="s">
        <v>42</v>
      </c>
      <c r="T45" s="44">
        <v>670</v>
      </c>
      <c r="U45" s="44">
        <v>957</v>
      </c>
      <c r="V45" s="62">
        <f t="shared" si="4"/>
        <v>1.4283582089552238</v>
      </c>
      <c r="W45" s="44">
        <v>550</v>
      </c>
      <c r="X45" s="44">
        <v>687</v>
      </c>
      <c r="Y45" s="62">
        <f t="shared" si="5"/>
        <v>1.249090909090909</v>
      </c>
      <c r="Z45" s="44">
        <v>600</v>
      </c>
      <c r="AA45" s="44">
        <v>738</v>
      </c>
      <c r="AB45" s="62">
        <f t="shared" si="6"/>
        <v>1.23</v>
      </c>
      <c r="AF45" s="62" t="str">
        <f t="shared" si="7"/>
        <v/>
      </c>
      <c r="AI45" s="62" t="str">
        <f t="shared" si="8"/>
        <v/>
      </c>
      <c r="AM45" s="62" t="str">
        <f t="shared" si="9"/>
        <v/>
      </c>
      <c r="AQ45" s="62" t="str">
        <f t="shared" si="10"/>
        <v/>
      </c>
      <c r="AU45" s="62" t="str">
        <f t="shared" si="11"/>
        <v/>
      </c>
      <c r="AY45" s="62" t="str">
        <f t="shared" si="12"/>
        <v/>
      </c>
      <c r="BC45" s="62" t="str">
        <f t="shared" si="13"/>
        <v/>
      </c>
      <c r="BF45" s="62" t="str">
        <f t="shared" si="14"/>
        <v/>
      </c>
      <c r="BG45" s="44" t="s">
        <v>38</v>
      </c>
      <c r="BH45" s="44">
        <v>2</v>
      </c>
      <c r="BI45" s="44">
        <v>65</v>
      </c>
      <c r="BJ45" s="62">
        <f t="shared" si="15"/>
        <v>32.5</v>
      </c>
      <c r="BK45" s="44">
        <v>5</v>
      </c>
      <c r="BL45" s="44">
        <v>174</v>
      </c>
      <c r="BM45" s="62">
        <f t="shared" si="16"/>
        <v>34.799999999999997</v>
      </c>
      <c r="BN45" s="44" t="s">
        <v>38</v>
      </c>
      <c r="BO45" s="44">
        <v>6</v>
      </c>
      <c r="BP45" s="44">
        <v>218</v>
      </c>
      <c r="BQ45" s="62">
        <f t="shared" si="17"/>
        <v>36.333333333333336</v>
      </c>
      <c r="BR45" s="44">
        <v>6.5</v>
      </c>
      <c r="BS45" s="44">
        <v>408</v>
      </c>
      <c r="BT45" s="62">
        <f t="shared" si="18"/>
        <v>62.769230769230766</v>
      </c>
      <c r="BU45" s="44">
        <v>4</v>
      </c>
      <c r="BV45" s="44">
        <v>150</v>
      </c>
      <c r="BW45" s="62">
        <f t="shared" si="19"/>
        <v>37.5</v>
      </c>
      <c r="BX45" s="44" t="s">
        <v>38</v>
      </c>
      <c r="BY45" s="44">
        <v>10</v>
      </c>
      <c r="BZ45" s="44">
        <v>428</v>
      </c>
      <c r="CA45" s="62">
        <f t="shared" si="20"/>
        <v>42.8</v>
      </c>
      <c r="CB45" s="44">
        <v>10</v>
      </c>
      <c r="CC45" s="44">
        <v>284</v>
      </c>
      <c r="CD45" s="62">
        <f t="shared" si="21"/>
        <v>28.4</v>
      </c>
    </row>
    <row r="46" spans="1:82" x14ac:dyDescent="0.3">
      <c r="A46" s="49" t="s">
        <v>242</v>
      </c>
      <c r="B46" s="49" t="s">
        <v>106</v>
      </c>
      <c r="C46" s="44" t="s">
        <v>42</v>
      </c>
      <c r="F46" s="62" t="str">
        <f t="shared" si="0"/>
        <v/>
      </c>
      <c r="J46" s="62" t="str">
        <f t="shared" si="1"/>
        <v/>
      </c>
      <c r="L46" s="32"/>
      <c r="M46" s="32"/>
      <c r="N46" s="62" t="str">
        <f t="shared" si="2"/>
        <v/>
      </c>
      <c r="R46" s="62" t="str">
        <f t="shared" si="3"/>
        <v/>
      </c>
      <c r="V46" s="62" t="str">
        <f t="shared" si="4"/>
        <v/>
      </c>
      <c r="Y46" s="62" t="str">
        <f t="shared" si="5"/>
        <v/>
      </c>
      <c r="AB46" s="62" t="str">
        <f t="shared" si="6"/>
        <v/>
      </c>
      <c r="AC46" s="44" t="s">
        <v>42</v>
      </c>
      <c r="AD46" s="44">
        <v>550</v>
      </c>
      <c r="AE46" s="44">
        <v>611</v>
      </c>
      <c r="AF46" s="62">
        <f t="shared" si="7"/>
        <v>1.1109090909090908</v>
      </c>
      <c r="AG46" s="44">
        <v>510</v>
      </c>
      <c r="AH46" s="44">
        <v>567</v>
      </c>
      <c r="AI46" s="62">
        <f t="shared" si="8"/>
        <v>1.111764705882353</v>
      </c>
      <c r="AJ46" s="44" t="s">
        <v>42</v>
      </c>
      <c r="AK46" s="44">
        <v>300</v>
      </c>
      <c r="AL46" s="44">
        <v>353</v>
      </c>
      <c r="AM46" s="62">
        <f t="shared" si="9"/>
        <v>1.1766666666666667</v>
      </c>
      <c r="AN46" s="44" t="s">
        <v>42</v>
      </c>
      <c r="AO46" s="44">
        <v>110</v>
      </c>
      <c r="AP46" s="44">
        <v>137</v>
      </c>
      <c r="AQ46" s="62">
        <f t="shared" si="10"/>
        <v>1.2454545454545454</v>
      </c>
      <c r="AR46" s="44" t="s">
        <v>42</v>
      </c>
      <c r="AS46" s="44">
        <v>120</v>
      </c>
      <c r="AT46" s="44">
        <v>150</v>
      </c>
      <c r="AU46" s="62">
        <f t="shared" si="11"/>
        <v>1.25</v>
      </c>
      <c r="AV46" s="44" t="s">
        <v>42</v>
      </c>
      <c r="AW46" s="54">
        <v>156</v>
      </c>
      <c r="AX46" s="54">
        <v>208</v>
      </c>
      <c r="AY46" s="62">
        <f t="shared" si="12"/>
        <v>1.3333333333333333</v>
      </c>
      <c r="BC46" s="62" t="str">
        <f t="shared" si="13"/>
        <v/>
      </c>
      <c r="BF46" s="62" t="str">
        <f t="shared" si="14"/>
        <v/>
      </c>
      <c r="BJ46" s="62" t="str">
        <f t="shared" si="15"/>
        <v/>
      </c>
      <c r="BM46" s="62" t="str">
        <f t="shared" si="16"/>
        <v/>
      </c>
      <c r="BQ46" s="62" t="str">
        <f t="shared" si="17"/>
        <v/>
      </c>
      <c r="BT46" s="62" t="str">
        <f t="shared" si="18"/>
        <v/>
      </c>
      <c r="BW46" s="62" t="str">
        <f t="shared" si="19"/>
        <v/>
      </c>
      <c r="CA46" s="62" t="str">
        <f t="shared" si="20"/>
        <v/>
      </c>
      <c r="CD46" s="62" t="str">
        <f t="shared" si="21"/>
        <v/>
      </c>
    </row>
    <row r="47" spans="1:82" x14ac:dyDescent="0.3">
      <c r="A47" s="49" t="s">
        <v>243</v>
      </c>
      <c r="B47" s="49" t="s">
        <v>106</v>
      </c>
      <c r="C47" s="44" t="s">
        <v>42</v>
      </c>
      <c r="F47" s="62" t="str">
        <f t="shared" si="0"/>
        <v/>
      </c>
      <c r="J47" s="62" t="str">
        <f t="shared" si="1"/>
        <v/>
      </c>
      <c r="L47" s="32"/>
      <c r="M47" s="32"/>
      <c r="N47" s="62" t="str">
        <f t="shared" si="2"/>
        <v/>
      </c>
      <c r="R47" s="62" t="str">
        <f t="shared" si="3"/>
        <v/>
      </c>
      <c r="V47" s="62" t="str">
        <f t="shared" si="4"/>
        <v/>
      </c>
      <c r="Y47" s="62" t="str">
        <f t="shared" si="5"/>
        <v/>
      </c>
      <c r="AB47" s="62" t="str">
        <f t="shared" si="6"/>
        <v/>
      </c>
      <c r="AF47" s="62" t="str">
        <f t="shared" si="7"/>
        <v/>
      </c>
      <c r="AI47" s="62" t="str">
        <f t="shared" si="8"/>
        <v/>
      </c>
      <c r="AJ47" s="44" t="s">
        <v>42</v>
      </c>
      <c r="AK47" s="44">
        <v>285</v>
      </c>
      <c r="AL47" s="44">
        <v>335</v>
      </c>
      <c r="AM47" s="62">
        <f t="shared" si="9"/>
        <v>1.1754385964912282</v>
      </c>
      <c r="AN47" s="44" t="s">
        <v>42</v>
      </c>
      <c r="AO47" s="44">
        <v>155</v>
      </c>
      <c r="AP47" s="44">
        <v>194</v>
      </c>
      <c r="AQ47" s="62">
        <f t="shared" si="10"/>
        <v>1.2516129032258065</v>
      </c>
      <c r="AR47" s="44" t="s">
        <v>42</v>
      </c>
      <c r="AS47" s="44">
        <v>110</v>
      </c>
      <c r="AT47" s="44">
        <v>137</v>
      </c>
      <c r="AU47" s="62">
        <f t="shared" si="11"/>
        <v>1.2454545454545454</v>
      </c>
      <c r="AV47" s="44" t="s">
        <v>42</v>
      </c>
      <c r="AW47" s="54">
        <v>99</v>
      </c>
      <c r="AX47" s="54">
        <v>132</v>
      </c>
      <c r="AY47" s="62">
        <f t="shared" si="12"/>
        <v>1.3333333333333333</v>
      </c>
      <c r="BC47" s="62" t="str">
        <f t="shared" si="13"/>
        <v/>
      </c>
      <c r="BF47" s="62" t="str">
        <f t="shared" si="14"/>
        <v/>
      </c>
      <c r="BJ47" s="62" t="str">
        <f t="shared" si="15"/>
        <v/>
      </c>
      <c r="BM47" s="62" t="str">
        <f t="shared" si="16"/>
        <v/>
      </c>
      <c r="BQ47" s="62" t="str">
        <f t="shared" si="17"/>
        <v/>
      </c>
      <c r="BT47" s="62" t="str">
        <f t="shared" si="18"/>
        <v/>
      </c>
      <c r="BW47" s="62" t="str">
        <f t="shared" si="19"/>
        <v/>
      </c>
      <c r="CA47" s="62" t="str">
        <f t="shared" si="20"/>
        <v/>
      </c>
      <c r="CD47" s="62" t="str">
        <f t="shared" si="21"/>
        <v/>
      </c>
    </row>
    <row r="48" spans="1:82" x14ac:dyDescent="0.3">
      <c r="A48" s="53" t="s">
        <v>244</v>
      </c>
      <c r="B48" s="49" t="s">
        <v>292</v>
      </c>
      <c r="C48" s="44" t="s">
        <v>35</v>
      </c>
      <c r="D48" s="44">
        <v>220</v>
      </c>
      <c r="E48" s="44">
        <v>786</v>
      </c>
      <c r="F48" s="62">
        <f t="shared" si="0"/>
        <v>3.5727272727272728</v>
      </c>
      <c r="G48" s="44" t="s">
        <v>35</v>
      </c>
      <c r="H48" s="44">
        <v>190</v>
      </c>
      <c r="I48" s="44">
        <v>641</v>
      </c>
      <c r="J48" s="62">
        <f t="shared" si="1"/>
        <v>3.3736842105263158</v>
      </c>
      <c r="K48" s="44" t="s">
        <v>35</v>
      </c>
      <c r="L48" s="32">
        <v>150</v>
      </c>
      <c r="M48" s="32">
        <v>513</v>
      </c>
      <c r="N48" s="62">
        <f t="shared" si="2"/>
        <v>3.42</v>
      </c>
      <c r="O48" s="44" t="s">
        <v>35</v>
      </c>
      <c r="P48" s="44">
        <v>210</v>
      </c>
      <c r="Q48" s="44">
        <v>808</v>
      </c>
      <c r="R48" s="62">
        <f t="shared" si="3"/>
        <v>3.8476190476190477</v>
      </c>
      <c r="S48" s="44" t="s">
        <v>35</v>
      </c>
      <c r="T48" s="44">
        <v>300</v>
      </c>
      <c r="U48" s="44">
        <v>1071</v>
      </c>
      <c r="V48" s="62">
        <f t="shared" si="4"/>
        <v>3.57</v>
      </c>
      <c r="W48" s="44">
        <v>240</v>
      </c>
      <c r="X48" s="44">
        <v>750</v>
      </c>
      <c r="Y48" s="62">
        <f t="shared" si="5"/>
        <v>3.125</v>
      </c>
      <c r="AB48" s="62" t="str">
        <f t="shared" si="6"/>
        <v/>
      </c>
      <c r="AC48" s="44" t="s">
        <v>35</v>
      </c>
      <c r="AD48" s="44">
        <v>200</v>
      </c>
      <c r="AE48" s="44">
        <v>556</v>
      </c>
      <c r="AF48" s="62">
        <f t="shared" si="7"/>
        <v>2.78</v>
      </c>
      <c r="AI48" s="62" t="str">
        <f t="shared" si="8"/>
        <v/>
      </c>
      <c r="AJ48" s="44" t="s">
        <v>35</v>
      </c>
      <c r="AK48" s="44">
        <v>150</v>
      </c>
      <c r="AL48" s="44">
        <v>88</v>
      </c>
      <c r="AM48" s="62">
        <f t="shared" si="9"/>
        <v>0.58666666666666667</v>
      </c>
      <c r="AN48" s="44" t="s">
        <v>35</v>
      </c>
      <c r="AO48" s="44">
        <v>120</v>
      </c>
      <c r="AP48" s="44">
        <v>375</v>
      </c>
      <c r="AQ48" s="62">
        <f t="shared" si="10"/>
        <v>3.125</v>
      </c>
      <c r="AR48" s="44" t="s">
        <v>35</v>
      </c>
      <c r="AS48" s="44">
        <v>100</v>
      </c>
      <c r="AT48" s="44">
        <v>313</v>
      </c>
      <c r="AU48" s="62">
        <f t="shared" si="11"/>
        <v>3.13</v>
      </c>
      <c r="AV48" s="44" t="s">
        <v>35</v>
      </c>
      <c r="AW48" s="54">
        <v>199</v>
      </c>
      <c r="AX48" s="54">
        <v>663</v>
      </c>
      <c r="AY48" s="62">
        <f t="shared" si="12"/>
        <v>3.3316582914572863</v>
      </c>
      <c r="BC48" s="62" t="str">
        <f t="shared" si="13"/>
        <v/>
      </c>
      <c r="BF48" s="62" t="str">
        <f t="shared" si="14"/>
        <v/>
      </c>
      <c r="BG48" s="44" t="s">
        <v>38</v>
      </c>
      <c r="BH48" s="44">
        <v>9</v>
      </c>
      <c r="BI48" s="44">
        <v>23</v>
      </c>
      <c r="BJ48" s="62">
        <f t="shared" si="15"/>
        <v>2.5555555555555554</v>
      </c>
      <c r="BK48" s="44">
        <v>3</v>
      </c>
      <c r="BL48" s="44">
        <v>113</v>
      </c>
      <c r="BM48" s="62">
        <f t="shared" si="16"/>
        <v>37.666666666666664</v>
      </c>
      <c r="BN48" s="44" t="s">
        <v>38</v>
      </c>
      <c r="BO48" s="44">
        <v>1</v>
      </c>
      <c r="BP48" s="44">
        <v>69</v>
      </c>
      <c r="BQ48" s="62">
        <f t="shared" si="17"/>
        <v>69</v>
      </c>
      <c r="BT48" s="62" t="str">
        <f t="shared" si="18"/>
        <v/>
      </c>
      <c r="BU48" s="44">
        <v>6</v>
      </c>
      <c r="BV48" s="44">
        <v>51</v>
      </c>
      <c r="BW48" s="62">
        <f t="shared" si="19"/>
        <v>8.5</v>
      </c>
      <c r="BX48" s="44" t="s">
        <v>38</v>
      </c>
      <c r="BY48" s="44">
        <v>5.5</v>
      </c>
      <c r="BZ48" s="44">
        <v>91</v>
      </c>
      <c r="CA48" s="62">
        <f t="shared" si="20"/>
        <v>16.545454545454547</v>
      </c>
      <c r="CD48" s="62" t="str">
        <f t="shared" si="21"/>
        <v/>
      </c>
    </row>
    <row r="49" spans="1:82" x14ac:dyDescent="0.3">
      <c r="A49" s="52" t="s">
        <v>17</v>
      </c>
      <c r="B49" s="49" t="s">
        <v>104</v>
      </c>
      <c r="C49" s="44" t="s">
        <v>38</v>
      </c>
      <c r="D49" s="44">
        <v>144086</v>
      </c>
      <c r="E49" s="44">
        <v>55936</v>
      </c>
      <c r="F49" s="62">
        <f t="shared" si="0"/>
        <v>0.38821259525561125</v>
      </c>
      <c r="G49" s="44" t="s">
        <v>38</v>
      </c>
      <c r="H49" s="44">
        <v>156857</v>
      </c>
      <c r="I49" s="44">
        <v>56641</v>
      </c>
      <c r="J49" s="62">
        <f t="shared" si="1"/>
        <v>0.36109960027285998</v>
      </c>
      <c r="K49" s="44" t="s">
        <v>38</v>
      </c>
      <c r="L49" s="44">
        <v>126000</v>
      </c>
      <c r="M49" s="44">
        <v>54592</v>
      </c>
      <c r="N49" s="62">
        <f t="shared" si="2"/>
        <v>0.43326984126984125</v>
      </c>
      <c r="O49" s="44" t="s">
        <v>38</v>
      </c>
      <c r="P49" s="44">
        <v>176925</v>
      </c>
      <c r="Q49" s="44">
        <v>85146</v>
      </c>
      <c r="R49" s="62">
        <f t="shared" si="3"/>
        <v>0.48125476896990249</v>
      </c>
      <c r="S49" s="44" t="s">
        <v>38</v>
      </c>
      <c r="T49" s="44">
        <v>154350</v>
      </c>
      <c r="U49" s="44">
        <v>59714</v>
      </c>
      <c r="V49" s="62">
        <f t="shared" si="4"/>
        <v>0.38687398769031422</v>
      </c>
      <c r="W49" s="44">
        <v>159750</v>
      </c>
      <c r="X49" s="44">
        <v>56100</v>
      </c>
      <c r="Y49" s="62">
        <f t="shared" si="5"/>
        <v>0.35117370892018779</v>
      </c>
      <c r="Z49" s="44">
        <v>177000</v>
      </c>
      <c r="AA49" s="44">
        <v>59852</v>
      </c>
      <c r="AB49" s="62">
        <f t="shared" si="6"/>
        <v>0.33814689265536724</v>
      </c>
      <c r="AC49" s="44" t="s">
        <v>38</v>
      </c>
      <c r="AD49" s="44">
        <v>191325</v>
      </c>
      <c r="AE49" s="44">
        <v>60476</v>
      </c>
      <c r="AF49" s="62">
        <f t="shared" si="7"/>
        <v>0.31609042205670979</v>
      </c>
      <c r="AG49" s="44">
        <v>163650</v>
      </c>
      <c r="AH49" s="44">
        <v>41512</v>
      </c>
      <c r="AI49" s="62">
        <f t="shared" si="8"/>
        <v>0.2536633058356248</v>
      </c>
      <c r="AM49" s="62" t="str">
        <f t="shared" si="9"/>
        <v/>
      </c>
      <c r="AQ49" s="62" t="str">
        <f t="shared" si="10"/>
        <v/>
      </c>
      <c r="AU49" s="62" t="str">
        <f t="shared" si="11"/>
        <v/>
      </c>
      <c r="AY49" s="62" t="str">
        <f t="shared" si="12"/>
        <v/>
      </c>
      <c r="AZ49" s="44" t="s">
        <v>38</v>
      </c>
      <c r="BA49" s="44">
        <v>192700</v>
      </c>
      <c r="BB49" s="44">
        <v>59393</v>
      </c>
      <c r="BC49" s="62">
        <f t="shared" si="13"/>
        <v>0.30821484172288532</v>
      </c>
      <c r="BD49" s="44">
        <v>162694</v>
      </c>
      <c r="BE49" s="44">
        <v>70743</v>
      </c>
      <c r="BF49" s="62">
        <f t="shared" si="14"/>
        <v>0.434822427379006</v>
      </c>
      <c r="BJ49" s="62" t="str">
        <f t="shared" si="15"/>
        <v/>
      </c>
      <c r="BM49" s="62" t="str">
        <f t="shared" si="16"/>
        <v/>
      </c>
      <c r="BQ49" s="62" t="str">
        <f t="shared" si="17"/>
        <v/>
      </c>
      <c r="BT49" s="62" t="str">
        <f t="shared" si="18"/>
        <v/>
      </c>
      <c r="BW49" s="62" t="str">
        <f t="shared" si="19"/>
        <v/>
      </c>
      <c r="CA49" s="62" t="str">
        <f t="shared" si="20"/>
        <v/>
      </c>
      <c r="CD49" s="62" t="str">
        <f t="shared" si="21"/>
        <v/>
      </c>
    </row>
    <row r="50" spans="1:82" x14ac:dyDescent="0.3">
      <c r="A50" s="49" t="s">
        <v>159</v>
      </c>
      <c r="B50" s="49" t="s">
        <v>104</v>
      </c>
      <c r="C50" s="44" t="s">
        <v>38</v>
      </c>
      <c r="F50" s="62" t="str">
        <f t="shared" si="0"/>
        <v/>
      </c>
      <c r="J50" s="62" t="str">
        <f t="shared" si="1"/>
        <v/>
      </c>
      <c r="N50" s="62" t="str">
        <f t="shared" si="2"/>
        <v/>
      </c>
      <c r="R50" s="62" t="str">
        <f t="shared" si="3"/>
        <v/>
      </c>
      <c r="V50" s="62" t="str">
        <f t="shared" si="4"/>
        <v/>
      </c>
      <c r="Y50" s="62" t="str">
        <f t="shared" si="5"/>
        <v/>
      </c>
      <c r="AB50" s="62" t="str">
        <f t="shared" si="6"/>
        <v/>
      </c>
      <c r="AF50" s="62" t="str">
        <f t="shared" si="7"/>
        <v/>
      </c>
      <c r="AI50" s="62" t="str">
        <f t="shared" si="8"/>
        <v/>
      </c>
      <c r="AJ50" s="44" t="s">
        <v>38</v>
      </c>
      <c r="AK50" s="44">
        <v>22200</v>
      </c>
      <c r="AL50" s="44">
        <v>6764</v>
      </c>
      <c r="AM50" s="62">
        <f t="shared" si="9"/>
        <v>0.30468468468468468</v>
      </c>
      <c r="AN50" s="44" t="s">
        <v>38</v>
      </c>
      <c r="AO50" s="44">
        <v>20500</v>
      </c>
      <c r="AP50" s="44">
        <v>8969</v>
      </c>
      <c r="AQ50" s="62">
        <f t="shared" si="10"/>
        <v>0.43751219512195122</v>
      </c>
      <c r="AR50" s="44" t="s">
        <v>38</v>
      </c>
      <c r="AS50" s="44">
        <v>43000</v>
      </c>
      <c r="AT50" s="44">
        <v>13487</v>
      </c>
      <c r="AU50" s="62">
        <f t="shared" si="11"/>
        <v>0.31365116279069766</v>
      </c>
      <c r="AV50" s="44" t="s">
        <v>38</v>
      </c>
      <c r="AW50" s="44">
        <v>57510</v>
      </c>
      <c r="AX50" s="44">
        <v>19170</v>
      </c>
      <c r="AY50" s="62">
        <f t="shared" si="12"/>
        <v>0.33333333333333331</v>
      </c>
      <c r="BC50" s="62" t="str">
        <f t="shared" si="13"/>
        <v/>
      </c>
      <c r="BF50" s="62" t="str">
        <f t="shared" si="14"/>
        <v/>
      </c>
      <c r="BG50" s="44" t="s">
        <v>38</v>
      </c>
      <c r="BJ50" s="62" t="str">
        <f t="shared" si="15"/>
        <v/>
      </c>
      <c r="BK50" s="44">
        <v>460</v>
      </c>
      <c r="BL50" s="44">
        <v>121</v>
      </c>
      <c r="BM50" s="62">
        <f t="shared" si="16"/>
        <v>0.26304347826086955</v>
      </c>
      <c r="BN50" s="44" t="s">
        <v>38</v>
      </c>
      <c r="BO50" s="44">
        <v>7895</v>
      </c>
      <c r="BP50" s="44">
        <v>3005</v>
      </c>
      <c r="BQ50" s="62">
        <f t="shared" si="17"/>
        <v>0.3806206459784674</v>
      </c>
      <c r="BR50" s="56">
        <v>14772.25</v>
      </c>
      <c r="BS50" s="44">
        <v>7664</v>
      </c>
      <c r="BT50" s="62">
        <f t="shared" si="18"/>
        <v>0.51881060772732657</v>
      </c>
      <c r="BU50" s="44">
        <v>3961.5</v>
      </c>
      <c r="BV50" s="44">
        <v>2028</v>
      </c>
      <c r="BW50" s="62">
        <f t="shared" si="19"/>
        <v>0.51192730026505107</v>
      </c>
      <c r="BX50" s="44" t="s">
        <v>38</v>
      </c>
      <c r="BY50" s="44">
        <v>170.25</v>
      </c>
      <c r="BZ50" s="44">
        <v>54.5</v>
      </c>
      <c r="CA50" s="62">
        <f t="shared" si="20"/>
        <v>0.32011747430249632</v>
      </c>
      <c r="CB50" s="44">
        <v>1815</v>
      </c>
      <c r="CC50" s="44">
        <v>801</v>
      </c>
      <c r="CD50" s="62">
        <f t="shared" si="21"/>
        <v>0.44132231404958677</v>
      </c>
    </row>
    <row r="51" spans="1:82" x14ac:dyDescent="0.3">
      <c r="A51" s="49" t="s">
        <v>136</v>
      </c>
      <c r="B51" s="49" t="s">
        <v>104</v>
      </c>
      <c r="C51" s="44" t="s">
        <v>38</v>
      </c>
      <c r="F51" s="62" t="str">
        <f t="shared" si="0"/>
        <v/>
      </c>
      <c r="J51" s="62" t="str">
        <f t="shared" si="1"/>
        <v/>
      </c>
      <c r="N51" s="62" t="str">
        <f t="shared" si="2"/>
        <v/>
      </c>
      <c r="R51" s="62" t="str">
        <f t="shared" si="3"/>
        <v/>
      </c>
      <c r="V51" s="62" t="str">
        <f t="shared" si="4"/>
        <v/>
      </c>
      <c r="Y51" s="62" t="str">
        <f t="shared" si="5"/>
        <v/>
      </c>
      <c r="AB51" s="62" t="str">
        <f t="shared" si="6"/>
        <v/>
      </c>
      <c r="AF51" s="62" t="str">
        <f t="shared" si="7"/>
        <v/>
      </c>
      <c r="AI51" s="62" t="str">
        <f t="shared" si="8"/>
        <v/>
      </c>
      <c r="AJ51" s="44" t="s">
        <v>38</v>
      </c>
      <c r="AK51" s="44">
        <v>15000</v>
      </c>
      <c r="AL51" s="44">
        <v>2706</v>
      </c>
      <c r="AM51" s="62">
        <f t="shared" si="9"/>
        <v>0.1804</v>
      </c>
      <c r="AN51" s="44" t="s">
        <v>38</v>
      </c>
      <c r="AO51" s="44">
        <v>10000</v>
      </c>
      <c r="AP51" s="44">
        <v>1874</v>
      </c>
      <c r="AQ51" s="62">
        <f t="shared" si="10"/>
        <v>0.18740000000000001</v>
      </c>
      <c r="AR51" s="44" t="s">
        <v>38</v>
      </c>
      <c r="AS51" s="44">
        <v>82800</v>
      </c>
      <c r="AT51" s="44">
        <v>18057</v>
      </c>
      <c r="AU51" s="62">
        <f t="shared" si="11"/>
        <v>0.21807971014492752</v>
      </c>
      <c r="AV51" s="44" t="s">
        <v>38</v>
      </c>
      <c r="AW51" s="44">
        <v>59000</v>
      </c>
      <c r="AX51" s="44">
        <v>13687</v>
      </c>
      <c r="AY51" s="62">
        <f t="shared" si="12"/>
        <v>0.23198305084745763</v>
      </c>
      <c r="BC51" s="62" t="str">
        <f t="shared" si="13"/>
        <v/>
      </c>
      <c r="BF51" s="62" t="str">
        <f t="shared" si="14"/>
        <v/>
      </c>
      <c r="BJ51" s="62" t="str">
        <f t="shared" si="15"/>
        <v/>
      </c>
      <c r="BM51" s="62" t="str">
        <f t="shared" si="16"/>
        <v/>
      </c>
      <c r="BN51" s="44" t="s">
        <v>38</v>
      </c>
      <c r="BO51" s="44">
        <v>19514</v>
      </c>
      <c r="BP51" s="44">
        <v>5394</v>
      </c>
      <c r="BQ51" s="62">
        <f t="shared" si="17"/>
        <v>0.27641693143384238</v>
      </c>
      <c r="BR51" s="44">
        <v>35466.5</v>
      </c>
      <c r="BS51" s="44">
        <v>12672</v>
      </c>
      <c r="BT51" s="62">
        <f t="shared" si="18"/>
        <v>0.35729491210015085</v>
      </c>
      <c r="BU51" s="44">
        <v>1075</v>
      </c>
      <c r="BV51" s="44">
        <v>385</v>
      </c>
      <c r="BW51" s="62">
        <f t="shared" si="19"/>
        <v>0.35813953488372091</v>
      </c>
      <c r="BX51" s="44" t="s">
        <v>38</v>
      </c>
      <c r="CA51" s="62" t="str">
        <f t="shared" si="20"/>
        <v/>
      </c>
      <c r="CB51" s="44">
        <v>22.5</v>
      </c>
      <c r="CC51" s="44">
        <v>9</v>
      </c>
      <c r="CD51" s="62">
        <f t="shared" si="21"/>
        <v>0.4</v>
      </c>
    </row>
    <row r="52" spans="1:82" x14ac:dyDescent="0.3">
      <c r="A52" s="49" t="s">
        <v>118</v>
      </c>
      <c r="B52" s="49" t="s">
        <v>104</v>
      </c>
      <c r="C52" s="44" t="s">
        <v>38</v>
      </c>
      <c r="F52" s="62" t="str">
        <f t="shared" si="0"/>
        <v/>
      </c>
      <c r="J52" s="62" t="str">
        <f t="shared" si="1"/>
        <v/>
      </c>
      <c r="N52" s="62" t="str">
        <f t="shared" si="2"/>
        <v/>
      </c>
      <c r="R52" s="62" t="str">
        <f t="shared" si="3"/>
        <v/>
      </c>
      <c r="V52" s="62" t="str">
        <f t="shared" si="4"/>
        <v/>
      </c>
      <c r="Y52" s="62" t="str">
        <f t="shared" si="5"/>
        <v/>
      </c>
      <c r="AB52" s="62" t="str">
        <f t="shared" si="6"/>
        <v/>
      </c>
      <c r="AF52" s="62" t="str">
        <f t="shared" si="7"/>
        <v/>
      </c>
      <c r="AI52" s="62" t="str">
        <f t="shared" si="8"/>
        <v/>
      </c>
      <c r="AJ52" s="44" t="s">
        <v>38</v>
      </c>
      <c r="AK52" s="44">
        <v>120000</v>
      </c>
      <c r="AL52" s="44">
        <v>47059</v>
      </c>
      <c r="AM52" s="62">
        <f t="shared" si="9"/>
        <v>0.39215833333333333</v>
      </c>
      <c r="AN52" s="44" t="s">
        <v>38</v>
      </c>
      <c r="AO52" s="44">
        <v>105000</v>
      </c>
      <c r="AP52" s="44">
        <v>56875</v>
      </c>
      <c r="AQ52" s="62">
        <f t="shared" si="10"/>
        <v>0.54166666666666663</v>
      </c>
      <c r="AR52" s="44" t="s">
        <v>38</v>
      </c>
      <c r="AS52" s="44">
        <v>300000</v>
      </c>
      <c r="AT52" s="44">
        <v>112500</v>
      </c>
      <c r="AU52" s="62">
        <f t="shared" si="11"/>
        <v>0.375</v>
      </c>
      <c r="AV52" s="44" t="s">
        <v>38</v>
      </c>
      <c r="AW52" s="44">
        <v>200000</v>
      </c>
      <c r="AX52" s="44">
        <v>80000</v>
      </c>
      <c r="AY52" s="62">
        <f t="shared" si="12"/>
        <v>0.4</v>
      </c>
      <c r="BC52" s="62" t="str">
        <f t="shared" si="13"/>
        <v/>
      </c>
      <c r="BF52" s="62" t="str">
        <f t="shared" si="14"/>
        <v/>
      </c>
      <c r="BG52" s="44" t="s">
        <v>38</v>
      </c>
      <c r="BH52" s="44">
        <v>29576</v>
      </c>
      <c r="BI52" s="44">
        <v>14445</v>
      </c>
      <c r="BJ52" s="62">
        <f t="shared" si="15"/>
        <v>0.48840275899377872</v>
      </c>
      <c r="BK52" s="44">
        <v>42021</v>
      </c>
      <c r="BL52" s="44">
        <v>24420</v>
      </c>
      <c r="BM52" s="62">
        <f t="shared" si="16"/>
        <v>0.5811380024273578</v>
      </c>
      <c r="BN52" s="44" t="s">
        <v>38</v>
      </c>
      <c r="BO52" s="44">
        <v>80567</v>
      </c>
      <c r="BP52" s="44">
        <v>47333</v>
      </c>
      <c r="BQ52" s="62">
        <f t="shared" si="17"/>
        <v>0.58749860364665429</v>
      </c>
      <c r="BR52" s="56">
        <v>54509.25</v>
      </c>
      <c r="BS52" s="44">
        <v>18133</v>
      </c>
      <c r="BT52" s="62">
        <f t="shared" si="18"/>
        <v>0.33265913583474366</v>
      </c>
      <c r="BU52" s="44">
        <v>40735</v>
      </c>
      <c r="BV52" s="44">
        <v>21940.5</v>
      </c>
      <c r="BW52" s="62">
        <f t="shared" si="19"/>
        <v>0.53861544126672389</v>
      </c>
      <c r="BX52" s="44" t="s">
        <v>38</v>
      </c>
      <c r="BY52" s="44">
        <v>43108</v>
      </c>
      <c r="BZ52" s="44">
        <v>22664</v>
      </c>
      <c r="CA52" s="62">
        <f t="shared" si="20"/>
        <v>0.52574928087593953</v>
      </c>
      <c r="CB52" s="44">
        <v>43514</v>
      </c>
      <c r="CC52" s="44">
        <v>28071</v>
      </c>
      <c r="CD52" s="62">
        <f t="shared" si="21"/>
        <v>0.64510272555959003</v>
      </c>
    </row>
    <row r="53" spans="1:82" x14ac:dyDescent="0.3">
      <c r="A53" s="49" t="s">
        <v>245</v>
      </c>
      <c r="B53" s="49" t="s">
        <v>104</v>
      </c>
      <c r="C53" s="44" t="s">
        <v>38</v>
      </c>
      <c r="F53" s="62" t="str">
        <f t="shared" si="0"/>
        <v/>
      </c>
      <c r="J53" s="62" t="str">
        <f t="shared" si="1"/>
        <v/>
      </c>
      <c r="N53" s="62" t="str">
        <f t="shared" si="2"/>
        <v/>
      </c>
      <c r="R53" s="62" t="str">
        <f t="shared" si="3"/>
        <v/>
      </c>
      <c r="V53" s="62" t="str">
        <f t="shared" si="4"/>
        <v/>
      </c>
      <c r="Y53" s="62" t="str">
        <f t="shared" si="5"/>
        <v/>
      </c>
      <c r="AB53" s="62" t="str">
        <f t="shared" si="6"/>
        <v/>
      </c>
      <c r="AF53" s="62" t="str">
        <f t="shared" si="7"/>
        <v/>
      </c>
      <c r="AI53" s="62" t="str">
        <f t="shared" si="8"/>
        <v/>
      </c>
      <c r="AJ53" s="44" t="s">
        <v>38</v>
      </c>
      <c r="AK53" s="44">
        <v>2700</v>
      </c>
      <c r="AL53" s="44">
        <v>865</v>
      </c>
      <c r="AM53" s="62">
        <f t="shared" si="9"/>
        <v>0.32037037037037036</v>
      </c>
      <c r="AN53" s="44" t="s">
        <v>38</v>
      </c>
      <c r="AO53" s="44">
        <v>1600</v>
      </c>
      <c r="AP53" s="44">
        <v>1000</v>
      </c>
      <c r="AQ53" s="62">
        <f t="shared" si="10"/>
        <v>0.625</v>
      </c>
      <c r="AR53" s="44" t="s">
        <v>38</v>
      </c>
      <c r="AS53" s="44">
        <v>11100</v>
      </c>
      <c r="AT53" s="44">
        <v>4168</v>
      </c>
      <c r="AU53" s="62">
        <f t="shared" si="11"/>
        <v>0.37549549549549549</v>
      </c>
      <c r="AV53" s="44" t="s">
        <v>38</v>
      </c>
      <c r="AW53" s="44">
        <v>8702</v>
      </c>
      <c r="AX53" s="44">
        <v>5622</v>
      </c>
      <c r="AY53" s="62">
        <f t="shared" si="12"/>
        <v>0.64605837738450933</v>
      </c>
      <c r="BC53" s="62" t="str">
        <f t="shared" si="13"/>
        <v/>
      </c>
      <c r="BF53" s="62" t="str">
        <f t="shared" si="14"/>
        <v/>
      </c>
      <c r="BG53" s="44" t="s">
        <v>38</v>
      </c>
      <c r="BH53" s="44">
        <v>540</v>
      </c>
      <c r="BI53" s="44">
        <v>219</v>
      </c>
      <c r="BJ53" s="62">
        <f t="shared" si="15"/>
        <v>0.40555555555555556</v>
      </c>
      <c r="BK53" s="44">
        <v>694</v>
      </c>
      <c r="BL53" s="44">
        <v>430</v>
      </c>
      <c r="BM53" s="62">
        <f t="shared" si="16"/>
        <v>0.6195965417867435</v>
      </c>
      <c r="BN53" s="44" t="s">
        <v>38</v>
      </c>
      <c r="BQ53" s="62" t="str">
        <f t="shared" si="17"/>
        <v/>
      </c>
      <c r="BR53" s="44">
        <v>85</v>
      </c>
      <c r="BS53" s="44">
        <v>118</v>
      </c>
      <c r="BT53" s="62">
        <f t="shared" si="18"/>
        <v>1.388235294117647</v>
      </c>
      <c r="BU53" s="44">
        <v>1599</v>
      </c>
      <c r="BV53" s="44">
        <v>828</v>
      </c>
      <c r="BW53" s="62">
        <f t="shared" si="19"/>
        <v>0.51782363977485923</v>
      </c>
      <c r="BX53" s="44" t="s">
        <v>38</v>
      </c>
      <c r="BY53" s="44">
        <v>1720.5</v>
      </c>
      <c r="BZ53" s="44">
        <v>1442</v>
      </c>
      <c r="CA53" s="62">
        <f t="shared" si="20"/>
        <v>0.83812845103167688</v>
      </c>
      <c r="CB53" s="44">
        <v>1241</v>
      </c>
      <c r="CC53" s="44">
        <v>806</v>
      </c>
      <c r="CD53" s="62">
        <f t="shared" si="21"/>
        <v>0.64947622884770351</v>
      </c>
    </row>
    <row r="54" spans="1:82" x14ac:dyDescent="0.3">
      <c r="A54" s="53" t="s">
        <v>47</v>
      </c>
      <c r="B54" s="49" t="s">
        <v>104</v>
      </c>
      <c r="C54" s="44" t="s">
        <v>38</v>
      </c>
      <c r="F54" s="62" t="str">
        <f t="shared" si="0"/>
        <v/>
      </c>
      <c r="J54" s="62" t="str">
        <f t="shared" si="1"/>
        <v/>
      </c>
      <c r="L54" s="32"/>
      <c r="M54" s="32"/>
      <c r="N54" s="62" t="str">
        <f t="shared" si="2"/>
        <v/>
      </c>
      <c r="R54" s="62" t="str">
        <f t="shared" si="3"/>
        <v/>
      </c>
      <c r="V54" s="62" t="str">
        <f t="shared" si="4"/>
        <v/>
      </c>
      <c r="Y54" s="62" t="str">
        <f t="shared" si="5"/>
        <v/>
      </c>
      <c r="AB54" s="62" t="str">
        <f t="shared" si="6"/>
        <v/>
      </c>
      <c r="AF54" s="62" t="str">
        <f t="shared" si="7"/>
        <v/>
      </c>
      <c r="AI54" s="62" t="str">
        <f t="shared" si="8"/>
        <v/>
      </c>
      <c r="AM54" s="62" t="str">
        <f t="shared" si="9"/>
        <v/>
      </c>
      <c r="AQ54" s="62" t="str">
        <f t="shared" si="10"/>
        <v/>
      </c>
      <c r="AU54" s="62" t="str">
        <f t="shared" si="11"/>
        <v/>
      </c>
      <c r="AW54" s="32"/>
      <c r="AX54" s="32"/>
      <c r="AY54" s="62" t="str">
        <f t="shared" si="12"/>
        <v/>
      </c>
      <c r="BC54" s="62" t="str">
        <f t="shared" si="13"/>
        <v/>
      </c>
      <c r="BF54" s="62" t="str">
        <f t="shared" si="14"/>
        <v/>
      </c>
      <c r="BG54" s="44" t="s">
        <v>38</v>
      </c>
      <c r="BJ54" s="62" t="str">
        <f t="shared" si="15"/>
        <v/>
      </c>
      <c r="BK54" s="44">
        <v>27</v>
      </c>
      <c r="BL54" s="44">
        <v>17</v>
      </c>
      <c r="BM54" s="62">
        <f t="shared" si="16"/>
        <v>0.62962962962962965</v>
      </c>
      <c r="BN54" s="44" t="s">
        <v>38</v>
      </c>
      <c r="BO54" s="44">
        <v>14</v>
      </c>
      <c r="BP54" s="44">
        <v>14</v>
      </c>
      <c r="BQ54" s="62">
        <f t="shared" si="17"/>
        <v>1</v>
      </c>
      <c r="BT54" s="62" t="str">
        <f t="shared" si="18"/>
        <v/>
      </c>
      <c r="BW54" s="62" t="str">
        <f t="shared" si="19"/>
        <v/>
      </c>
      <c r="BX54" s="44" t="s">
        <v>38</v>
      </c>
      <c r="CA54" s="62" t="str">
        <f t="shared" si="20"/>
        <v/>
      </c>
      <c r="CB54" s="44">
        <v>0.25</v>
      </c>
      <c r="CC54" s="44">
        <v>1.5</v>
      </c>
      <c r="CD54" s="62">
        <f t="shared" si="21"/>
        <v>6</v>
      </c>
    </row>
    <row r="55" spans="1:82" x14ac:dyDescent="0.3">
      <c r="A55" s="49" t="s">
        <v>44</v>
      </c>
      <c r="B55" s="49" t="s">
        <v>104</v>
      </c>
      <c r="C55" s="44" t="s">
        <v>38</v>
      </c>
      <c r="F55" s="62" t="str">
        <f t="shared" si="0"/>
        <v/>
      </c>
      <c r="J55" s="62" t="str">
        <f t="shared" si="1"/>
        <v/>
      </c>
      <c r="N55" s="62" t="str">
        <f t="shared" si="2"/>
        <v/>
      </c>
      <c r="R55" s="62" t="str">
        <f t="shared" si="3"/>
        <v/>
      </c>
      <c r="V55" s="62" t="str">
        <f t="shared" si="4"/>
        <v/>
      </c>
      <c r="Y55" s="62" t="str">
        <f t="shared" si="5"/>
        <v/>
      </c>
      <c r="AB55" s="62" t="str">
        <f t="shared" si="6"/>
        <v/>
      </c>
      <c r="AF55" s="62" t="str">
        <f t="shared" si="7"/>
        <v/>
      </c>
      <c r="AI55" s="62" t="str">
        <f t="shared" si="8"/>
        <v/>
      </c>
      <c r="AJ55" s="44" t="s">
        <v>37</v>
      </c>
      <c r="AK55" s="44">
        <v>14</v>
      </c>
      <c r="AL55" s="44">
        <v>206</v>
      </c>
      <c r="AM55" s="62">
        <f t="shared" si="9"/>
        <v>14.714285714285714</v>
      </c>
      <c r="AN55" s="44" t="s">
        <v>37</v>
      </c>
      <c r="AO55" s="44">
        <v>12</v>
      </c>
      <c r="AP55" s="44">
        <v>187</v>
      </c>
      <c r="AQ55" s="62">
        <f t="shared" si="10"/>
        <v>15.583333333333334</v>
      </c>
      <c r="AR55" s="44" t="s">
        <v>37</v>
      </c>
      <c r="AS55" s="44">
        <v>10</v>
      </c>
      <c r="AT55" s="44">
        <v>156</v>
      </c>
      <c r="AU55" s="62">
        <f t="shared" si="11"/>
        <v>15.6</v>
      </c>
      <c r="AV55" s="44" t="s">
        <v>37</v>
      </c>
      <c r="AW55" s="54">
        <v>20</v>
      </c>
      <c r="AX55" s="44">
        <v>400</v>
      </c>
      <c r="AY55" s="62">
        <f t="shared" si="12"/>
        <v>20</v>
      </c>
      <c r="BC55" s="62" t="str">
        <f t="shared" si="13"/>
        <v/>
      </c>
      <c r="BF55" s="62" t="str">
        <f t="shared" si="14"/>
        <v/>
      </c>
      <c r="BG55" s="44" t="s">
        <v>38</v>
      </c>
      <c r="BH55" s="44">
        <v>204</v>
      </c>
      <c r="BI55" s="44">
        <v>816</v>
      </c>
      <c r="BJ55" s="62">
        <f t="shared" si="15"/>
        <v>4</v>
      </c>
      <c r="BM55" s="62" t="str">
        <f t="shared" si="16"/>
        <v/>
      </c>
      <c r="BN55" s="44" t="s">
        <v>38</v>
      </c>
      <c r="BQ55" s="62" t="str">
        <f t="shared" si="17"/>
        <v/>
      </c>
      <c r="BT55" s="62" t="str">
        <f t="shared" si="18"/>
        <v/>
      </c>
      <c r="BU55" s="44">
        <v>550.75</v>
      </c>
      <c r="BV55" s="44">
        <v>174</v>
      </c>
      <c r="BW55" s="62">
        <f t="shared" si="19"/>
        <v>0.3159328188833409</v>
      </c>
      <c r="BX55" s="44" t="s">
        <v>38</v>
      </c>
      <c r="BY55" s="44">
        <v>618.75</v>
      </c>
      <c r="BZ55" s="44">
        <v>231</v>
      </c>
      <c r="CA55" s="62">
        <f t="shared" si="20"/>
        <v>0.37333333333333335</v>
      </c>
      <c r="CB55" s="44">
        <v>592.75</v>
      </c>
      <c r="CC55" s="44">
        <v>674</v>
      </c>
      <c r="CD55" s="62">
        <f t="shared" si="21"/>
        <v>1.1370729649936735</v>
      </c>
    </row>
    <row r="56" spans="1:82" x14ac:dyDescent="0.3">
      <c r="A56" s="49" t="s">
        <v>18</v>
      </c>
      <c r="B56" s="49" t="s">
        <v>293</v>
      </c>
      <c r="C56" s="44" t="s">
        <v>37</v>
      </c>
      <c r="D56" s="44">
        <v>55</v>
      </c>
      <c r="E56" s="44">
        <v>786</v>
      </c>
      <c r="F56" s="62">
        <f t="shared" si="0"/>
        <v>14.290909090909091</v>
      </c>
      <c r="G56" s="44" t="s">
        <v>37</v>
      </c>
      <c r="H56" s="44">
        <v>64</v>
      </c>
      <c r="I56" s="44">
        <v>1067</v>
      </c>
      <c r="J56" s="62">
        <f t="shared" si="1"/>
        <v>16.671875</v>
      </c>
      <c r="K56" s="44" t="s">
        <v>37</v>
      </c>
      <c r="L56" s="44">
        <v>69</v>
      </c>
      <c r="M56" s="44">
        <v>1180</v>
      </c>
      <c r="N56" s="62">
        <f t="shared" si="2"/>
        <v>17.10144927536232</v>
      </c>
      <c r="O56" s="44" t="s">
        <v>37</v>
      </c>
      <c r="P56" s="44">
        <v>92</v>
      </c>
      <c r="Q56" s="44">
        <v>1769</v>
      </c>
      <c r="R56" s="62">
        <f t="shared" si="3"/>
        <v>19.228260869565219</v>
      </c>
      <c r="S56" s="44" t="s">
        <v>37</v>
      </c>
      <c r="T56" s="44">
        <v>100</v>
      </c>
      <c r="U56" s="44">
        <v>1786</v>
      </c>
      <c r="V56" s="62">
        <f t="shared" si="4"/>
        <v>17.86</v>
      </c>
      <c r="W56" s="44">
        <v>80</v>
      </c>
      <c r="X56" s="44">
        <v>1250</v>
      </c>
      <c r="Y56" s="62">
        <f t="shared" si="5"/>
        <v>15.625</v>
      </c>
      <c r="Z56" s="44">
        <v>74</v>
      </c>
      <c r="AA56" s="44">
        <v>1138</v>
      </c>
      <c r="AB56" s="62">
        <f t="shared" si="6"/>
        <v>15.378378378378379</v>
      </c>
      <c r="AC56" s="44" t="s">
        <v>37</v>
      </c>
      <c r="AD56" s="44">
        <v>80</v>
      </c>
      <c r="AE56" s="44">
        <v>1111</v>
      </c>
      <c r="AF56" s="62">
        <f t="shared" si="7"/>
        <v>13.887499999999999</v>
      </c>
      <c r="AG56" s="44">
        <v>60</v>
      </c>
      <c r="AH56" s="44">
        <v>833</v>
      </c>
      <c r="AI56" s="62">
        <f t="shared" si="8"/>
        <v>13.883333333333333</v>
      </c>
      <c r="AM56" s="62" t="str">
        <f t="shared" si="9"/>
        <v/>
      </c>
      <c r="AQ56" s="62" t="str">
        <f t="shared" si="10"/>
        <v/>
      </c>
      <c r="AU56" s="62" t="str">
        <f t="shared" si="11"/>
        <v/>
      </c>
      <c r="AY56" s="62" t="str">
        <f t="shared" si="12"/>
        <v/>
      </c>
      <c r="BC56" s="62" t="str">
        <f t="shared" si="13"/>
        <v/>
      </c>
      <c r="BF56" s="62" t="str">
        <f t="shared" si="14"/>
        <v/>
      </c>
      <c r="BG56" s="44" t="s">
        <v>38</v>
      </c>
      <c r="BH56" s="44">
        <v>807</v>
      </c>
      <c r="BI56" s="44">
        <v>698</v>
      </c>
      <c r="BJ56" s="62">
        <f t="shared" si="15"/>
        <v>0.86493184634448572</v>
      </c>
      <c r="BK56" s="44">
        <v>95</v>
      </c>
      <c r="BL56" s="44">
        <v>955</v>
      </c>
      <c r="BM56" s="62">
        <f t="shared" si="16"/>
        <v>10.052631578947368</v>
      </c>
      <c r="BN56" s="44" t="s">
        <v>38</v>
      </c>
      <c r="BO56" s="44">
        <v>291</v>
      </c>
      <c r="BP56" s="44">
        <v>904</v>
      </c>
      <c r="BQ56" s="62">
        <f t="shared" si="17"/>
        <v>3.1065292096219932</v>
      </c>
      <c r="BT56" s="62" t="str">
        <f t="shared" si="18"/>
        <v/>
      </c>
      <c r="BU56" s="44">
        <v>368.25</v>
      </c>
      <c r="BV56" s="44">
        <v>1198</v>
      </c>
      <c r="BW56" s="62">
        <f t="shared" si="19"/>
        <v>3.2532247114731838</v>
      </c>
      <c r="BX56" s="44" t="s">
        <v>38</v>
      </c>
      <c r="BY56" s="44">
        <v>232</v>
      </c>
      <c r="BZ56" s="44">
        <v>1487</v>
      </c>
      <c r="CA56" s="62">
        <f t="shared" si="20"/>
        <v>6.4094827586206895</v>
      </c>
      <c r="CB56" s="44">
        <v>121.5</v>
      </c>
      <c r="CC56" s="44">
        <v>904</v>
      </c>
      <c r="CD56" s="62">
        <f t="shared" si="21"/>
        <v>7.4403292181069958</v>
      </c>
    </row>
    <row r="57" spans="1:82" x14ac:dyDescent="0.3">
      <c r="A57" s="49" t="s">
        <v>127</v>
      </c>
      <c r="B57" s="49" t="s">
        <v>104</v>
      </c>
      <c r="C57" s="44" t="s">
        <v>38</v>
      </c>
      <c r="F57" s="62" t="str">
        <f t="shared" si="0"/>
        <v/>
      </c>
      <c r="J57" s="62" t="str">
        <f t="shared" si="1"/>
        <v/>
      </c>
      <c r="N57" s="62" t="str">
        <f t="shared" si="2"/>
        <v/>
      </c>
      <c r="R57" s="62" t="str">
        <f t="shared" si="3"/>
        <v/>
      </c>
      <c r="V57" s="62" t="str">
        <f t="shared" si="4"/>
        <v/>
      </c>
      <c r="Y57" s="62" t="str">
        <f t="shared" si="5"/>
        <v/>
      </c>
      <c r="AB57" s="62" t="str">
        <f t="shared" si="6"/>
        <v/>
      </c>
      <c r="AF57" s="62" t="str">
        <f t="shared" si="7"/>
        <v/>
      </c>
      <c r="AI57" s="62" t="str">
        <f t="shared" si="8"/>
        <v/>
      </c>
      <c r="AJ57" s="44" t="s">
        <v>38</v>
      </c>
      <c r="AK57" s="44">
        <v>420</v>
      </c>
      <c r="AL57" s="44">
        <v>2470</v>
      </c>
      <c r="AM57" s="62">
        <f t="shared" si="9"/>
        <v>5.8809523809523814</v>
      </c>
      <c r="AN57" s="44" t="s">
        <v>38</v>
      </c>
      <c r="AO57" s="44">
        <v>3000</v>
      </c>
      <c r="AP57" s="44">
        <v>1875</v>
      </c>
      <c r="AQ57" s="62">
        <f t="shared" si="10"/>
        <v>0.625</v>
      </c>
      <c r="AR57" s="44" t="s">
        <v>38</v>
      </c>
      <c r="AS57" s="44">
        <v>2200</v>
      </c>
      <c r="AT57" s="44">
        <v>1375</v>
      </c>
      <c r="AU57" s="62">
        <f t="shared" si="11"/>
        <v>0.625</v>
      </c>
      <c r="AV57" s="44" t="s">
        <v>38</v>
      </c>
      <c r="AW57" s="44">
        <v>3990</v>
      </c>
      <c r="AX57" s="44">
        <v>2666</v>
      </c>
      <c r="AY57" s="62">
        <f t="shared" si="12"/>
        <v>0.66817042606516286</v>
      </c>
      <c r="AZ57" s="44" t="s">
        <v>38</v>
      </c>
      <c r="BA57" s="44">
        <v>3500</v>
      </c>
      <c r="BB57" s="44">
        <v>2333</v>
      </c>
      <c r="BC57" s="62">
        <f t="shared" si="13"/>
        <v>0.66657142857142859</v>
      </c>
      <c r="BD57" s="44">
        <v>2000</v>
      </c>
      <c r="BE57" s="44">
        <v>1333</v>
      </c>
      <c r="BF57" s="62">
        <f t="shared" si="14"/>
        <v>0.66649999999999998</v>
      </c>
      <c r="BJ57" s="62" t="str">
        <f t="shared" si="15"/>
        <v/>
      </c>
      <c r="BM57" s="62" t="str">
        <f t="shared" si="16"/>
        <v/>
      </c>
      <c r="BQ57" s="62" t="str">
        <f t="shared" si="17"/>
        <v/>
      </c>
      <c r="BT57" s="62" t="str">
        <f t="shared" si="18"/>
        <v/>
      </c>
      <c r="BW57" s="62" t="str">
        <f t="shared" si="19"/>
        <v/>
      </c>
      <c r="CA57" s="62" t="str">
        <f t="shared" si="20"/>
        <v/>
      </c>
      <c r="CD57" s="62" t="str">
        <f t="shared" si="21"/>
        <v/>
      </c>
    </row>
    <row r="58" spans="1:82" x14ac:dyDescent="0.3">
      <c r="A58" s="49" t="s">
        <v>246</v>
      </c>
      <c r="B58" s="49" t="s">
        <v>293</v>
      </c>
      <c r="C58" s="44" t="s">
        <v>37</v>
      </c>
      <c r="F58" s="62" t="str">
        <f t="shared" si="0"/>
        <v/>
      </c>
      <c r="J58" s="62" t="str">
        <f t="shared" si="1"/>
        <v/>
      </c>
      <c r="N58" s="62" t="str">
        <f t="shared" si="2"/>
        <v/>
      </c>
      <c r="R58" s="62" t="str">
        <f t="shared" si="3"/>
        <v/>
      </c>
      <c r="V58" s="62" t="str">
        <f t="shared" si="4"/>
        <v/>
      </c>
      <c r="Y58" s="62" t="str">
        <f t="shared" si="5"/>
        <v/>
      </c>
      <c r="AB58" s="62" t="str">
        <f t="shared" si="6"/>
        <v/>
      </c>
      <c r="AF58" s="62" t="str">
        <f t="shared" si="7"/>
        <v/>
      </c>
      <c r="AI58" s="62" t="str">
        <f t="shared" si="8"/>
        <v/>
      </c>
      <c r="AJ58" s="44" t="s">
        <v>37</v>
      </c>
      <c r="AK58" s="44">
        <v>6</v>
      </c>
      <c r="AL58" s="44">
        <v>88</v>
      </c>
      <c r="AM58" s="62">
        <f t="shared" si="9"/>
        <v>14.666666666666666</v>
      </c>
      <c r="AN58" s="44" t="s">
        <v>37</v>
      </c>
      <c r="AO58" s="44">
        <v>13</v>
      </c>
      <c r="AP58" s="44">
        <v>187</v>
      </c>
      <c r="AQ58" s="62">
        <f t="shared" si="10"/>
        <v>14.384615384615385</v>
      </c>
      <c r="AR58" s="44" t="s">
        <v>37</v>
      </c>
      <c r="AS58" s="44">
        <v>4</v>
      </c>
      <c r="AT58" s="44">
        <v>63</v>
      </c>
      <c r="AU58" s="62">
        <f t="shared" si="11"/>
        <v>15.75</v>
      </c>
      <c r="AV58" s="44" t="s">
        <v>37</v>
      </c>
      <c r="AW58" s="44">
        <v>8</v>
      </c>
      <c r="AX58" s="44">
        <v>133</v>
      </c>
      <c r="AY58" s="62">
        <f t="shared" si="12"/>
        <v>16.625</v>
      </c>
      <c r="AZ58" s="44" t="s">
        <v>37</v>
      </c>
      <c r="BA58" s="44">
        <v>5</v>
      </c>
      <c r="BB58" s="44">
        <v>84</v>
      </c>
      <c r="BC58" s="62">
        <f t="shared" si="13"/>
        <v>16.8</v>
      </c>
      <c r="BD58" s="44">
        <v>36</v>
      </c>
      <c r="BE58" s="44">
        <v>600</v>
      </c>
      <c r="BF58" s="62">
        <f t="shared" si="14"/>
        <v>16.666666666666668</v>
      </c>
      <c r="BJ58" s="62" t="str">
        <f t="shared" si="15"/>
        <v/>
      </c>
      <c r="BM58" s="62" t="str">
        <f t="shared" si="16"/>
        <v/>
      </c>
      <c r="BQ58" s="62" t="str">
        <f t="shared" si="17"/>
        <v/>
      </c>
      <c r="BT58" s="62" t="str">
        <f t="shared" si="18"/>
        <v/>
      </c>
      <c r="BW58" s="62" t="str">
        <f t="shared" si="19"/>
        <v/>
      </c>
      <c r="CA58" s="62" t="str">
        <f t="shared" si="20"/>
        <v/>
      </c>
      <c r="CD58" s="62" t="str">
        <f t="shared" si="21"/>
        <v/>
      </c>
    </row>
    <row r="59" spans="1:82" x14ac:dyDescent="0.3">
      <c r="A59" s="49" t="s">
        <v>341</v>
      </c>
      <c r="B59" s="49" t="s">
        <v>104</v>
      </c>
      <c r="C59" s="44" t="s">
        <v>38</v>
      </c>
      <c r="F59" s="62" t="str">
        <f t="shared" si="0"/>
        <v/>
      </c>
      <c r="J59" s="62" t="str">
        <f t="shared" si="1"/>
        <v/>
      </c>
      <c r="N59" s="62" t="str">
        <f t="shared" si="2"/>
        <v/>
      </c>
      <c r="R59" s="62" t="str">
        <f t="shared" si="3"/>
        <v/>
      </c>
      <c r="V59" s="62" t="str">
        <f t="shared" si="4"/>
        <v/>
      </c>
      <c r="Y59" s="62" t="str">
        <f t="shared" si="5"/>
        <v/>
      </c>
      <c r="AB59" s="62" t="str">
        <f t="shared" si="6"/>
        <v/>
      </c>
      <c r="AF59" s="62" t="str">
        <f t="shared" si="7"/>
        <v/>
      </c>
      <c r="AI59" s="62" t="str">
        <f t="shared" si="8"/>
        <v/>
      </c>
      <c r="AM59" s="62" t="str">
        <f t="shared" si="9"/>
        <v/>
      </c>
      <c r="AQ59" s="62" t="str">
        <f t="shared" si="10"/>
        <v/>
      </c>
      <c r="AU59" s="62" t="str">
        <f t="shared" si="11"/>
        <v/>
      </c>
      <c r="AY59" s="62" t="str">
        <f t="shared" si="12"/>
        <v/>
      </c>
      <c r="BC59" s="62" t="str">
        <f t="shared" si="13"/>
        <v/>
      </c>
      <c r="BF59" s="62" t="str">
        <f t="shared" si="14"/>
        <v/>
      </c>
      <c r="BG59" s="44" t="s">
        <v>38</v>
      </c>
      <c r="BH59" s="44">
        <v>111</v>
      </c>
      <c r="BI59" s="44">
        <v>184</v>
      </c>
      <c r="BJ59" s="62">
        <f t="shared" si="15"/>
        <v>1.6576576576576576</v>
      </c>
      <c r="BK59" s="44">
        <v>110</v>
      </c>
      <c r="BL59" s="44">
        <v>303</v>
      </c>
      <c r="BM59" s="62">
        <f t="shared" si="16"/>
        <v>2.7545454545454544</v>
      </c>
      <c r="BN59" s="44" t="s">
        <v>38</v>
      </c>
      <c r="BO59" s="44">
        <v>138</v>
      </c>
      <c r="BP59" s="44">
        <v>232</v>
      </c>
      <c r="BQ59" s="62">
        <f t="shared" si="17"/>
        <v>1.681159420289855</v>
      </c>
      <c r="BR59" s="44">
        <v>13</v>
      </c>
      <c r="BS59" s="44">
        <v>64</v>
      </c>
      <c r="BT59" s="62">
        <f t="shared" si="18"/>
        <v>4.9230769230769234</v>
      </c>
      <c r="BW59" s="62" t="str">
        <f t="shared" si="19"/>
        <v/>
      </c>
      <c r="BX59" s="44" t="s">
        <v>38</v>
      </c>
      <c r="BY59" s="44">
        <v>10</v>
      </c>
      <c r="BZ59" s="44">
        <v>48</v>
      </c>
      <c r="CA59" s="62">
        <f t="shared" si="20"/>
        <v>4.8</v>
      </c>
      <c r="CB59" s="44">
        <v>28.25</v>
      </c>
      <c r="CC59" s="44">
        <v>32.25</v>
      </c>
      <c r="CD59" s="62">
        <f t="shared" si="21"/>
        <v>1.1415929203539823</v>
      </c>
    </row>
    <row r="60" spans="1:82" x14ac:dyDescent="0.3">
      <c r="A60" s="53" t="s">
        <v>19</v>
      </c>
      <c r="B60" s="49" t="s">
        <v>104</v>
      </c>
      <c r="C60" s="44" t="s">
        <v>38</v>
      </c>
      <c r="D60" s="44">
        <v>836</v>
      </c>
      <c r="E60" s="44">
        <v>750</v>
      </c>
      <c r="F60" s="62">
        <f t="shared" si="0"/>
        <v>0.89712918660287078</v>
      </c>
      <c r="G60" s="44" t="s">
        <v>38</v>
      </c>
      <c r="H60" s="44">
        <v>1099</v>
      </c>
      <c r="I60" s="44">
        <v>1121</v>
      </c>
      <c r="J60" s="62">
        <f t="shared" si="1"/>
        <v>1.0200181983621475</v>
      </c>
      <c r="N60" s="62" t="str">
        <f t="shared" si="2"/>
        <v/>
      </c>
      <c r="R60" s="62" t="str">
        <f t="shared" si="3"/>
        <v/>
      </c>
      <c r="V60" s="62" t="str">
        <f t="shared" si="4"/>
        <v/>
      </c>
      <c r="Y60" s="62" t="str">
        <f t="shared" si="5"/>
        <v/>
      </c>
      <c r="AB60" s="62" t="str">
        <f t="shared" si="6"/>
        <v/>
      </c>
      <c r="AF60" s="62" t="str">
        <f t="shared" si="7"/>
        <v/>
      </c>
      <c r="AI60" s="62" t="str">
        <f t="shared" si="8"/>
        <v/>
      </c>
      <c r="AM60" s="62" t="str">
        <f t="shared" si="9"/>
        <v/>
      </c>
      <c r="AQ60" s="62" t="str">
        <f t="shared" si="10"/>
        <v/>
      </c>
      <c r="AU60" s="62" t="str">
        <f t="shared" si="11"/>
        <v/>
      </c>
      <c r="AY60" s="62" t="str">
        <f t="shared" si="12"/>
        <v/>
      </c>
      <c r="BC60" s="62" t="str">
        <f t="shared" si="13"/>
        <v/>
      </c>
      <c r="BF60" s="62" t="str">
        <f t="shared" si="14"/>
        <v/>
      </c>
      <c r="BJ60" s="62" t="str">
        <f t="shared" si="15"/>
        <v/>
      </c>
      <c r="BM60" s="62" t="str">
        <f t="shared" si="16"/>
        <v/>
      </c>
      <c r="BQ60" s="62" t="str">
        <f t="shared" si="17"/>
        <v/>
      </c>
      <c r="BT60" s="62" t="str">
        <f t="shared" si="18"/>
        <v/>
      </c>
      <c r="BW60" s="62" t="str">
        <f t="shared" si="19"/>
        <v/>
      </c>
      <c r="BX60" s="44" t="s">
        <v>38</v>
      </c>
      <c r="BY60" s="44">
        <v>340.5</v>
      </c>
      <c r="BZ60" s="44">
        <v>169</v>
      </c>
      <c r="CA60" s="62">
        <f t="shared" si="20"/>
        <v>0.49632892804698975</v>
      </c>
      <c r="CB60" s="44">
        <v>238</v>
      </c>
      <c r="CC60" s="44">
        <v>242</v>
      </c>
      <c r="CD60" s="62">
        <f t="shared" si="21"/>
        <v>1.0168067226890756</v>
      </c>
    </row>
    <row r="61" spans="1:82" x14ac:dyDescent="0.3">
      <c r="A61" s="53" t="s">
        <v>342</v>
      </c>
      <c r="B61" s="49" t="s">
        <v>104</v>
      </c>
      <c r="C61" s="44" t="s">
        <v>38</v>
      </c>
      <c r="F61" s="62" t="str">
        <f t="shared" si="0"/>
        <v/>
      </c>
      <c r="J61" s="62" t="str">
        <f t="shared" si="1"/>
        <v/>
      </c>
      <c r="K61" s="44" t="s">
        <v>38</v>
      </c>
      <c r="L61" s="44">
        <v>595</v>
      </c>
      <c r="M61" s="44">
        <v>1415</v>
      </c>
      <c r="N61" s="62">
        <f t="shared" si="2"/>
        <v>2.3781512605042017</v>
      </c>
      <c r="O61" s="44" t="s">
        <v>38</v>
      </c>
      <c r="P61" s="44">
        <v>889</v>
      </c>
      <c r="Q61" s="44">
        <v>1500</v>
      </c>
      <c r="R61" s="62">
        <f t="shared" si="3"/>
        <v>1.6872890888638921</v>
      </c>
      <c r="S61" s="44" t="s">
        <v>38</v>
      </c>
      <c r="T61" s="44">
        <v>500</v>
      </c>
      <c r="U61" s="44">
        <v>1250</v>
      </c>
      <c r="V61" s="62">
        <f t="shared" si="4"/>
        <v>2.5</v>
      </c>
      <c r="W61" s="44">
        <v>425</v>
      </c>
      <c r="X61" s="44">
        <v>634</v>
      </c>
      <c r="Y61" s="62">
        <f t="shared" si="5"/>
        <v>1.4917647058823529</v>
      </c>
      <c r="Z61" s="44">
        <v>350</v>
      </c>
      <c r="AA61" s="44">
        <v>738</v>
      </c>
      <c r="AB61" s="62">
        <f t="shared" si="6"/>
        <v>2.1085714285714285</v>
      </c>
      <c r="AC61" s="44" t="s">
        <v>38</v>
      </c>
      <c r="AD61" s="44">
        <v>300</v>
      </c>
      <c r="AE61" s="44">
        <v>578</v>
      </c>
      <c r="AF61" s="62">
        <f t="shared" si="7"/>
        <v>1.9266666666666667</v>
      </c>
      <c r="AI61" s="62" t="str">
        <f t="shared" si="8"/>
        <v/>
      </c>
      <c r="AM61" s="62" t="str">
        <f t="shared" si="9"/>
        <v/>
      </c>
      <c r="AQ61" s="62" t="str">
        <f t="shared" si="10"/>
        <v/>
      </c>
      <c r="AU61" s="62" t="str">
        <f t="shared" si="11"/>
        <v/>
      </c>
      <c r="AY61" s="62" t="str">
        <f t="shared" si="12"/>
        <v/>
      </c>
      <c r="BC61" s="62" t="str">
        <f t="shared" si="13"/>
        <v/>
      </c>
      <c r="BF61" s="62" t="str">
        <f t="shared" si="14"/>
        <v/>
      </c>
      <c r="BJ61" s="62" t="str">
        <f t="shared" si="15"/>
        <v/>
      </c>
      <c r="BM61" s="62" t="str">
        <f t="shared" si="16"/>
        <v/>
      </c>
      <c r="BQ61" s="62" t="str">
        <f t="shared" si="17"/>
        <v/>
      </c>
      <c r="BT61" s="62" t="str">
        <f t="shared" si="18"/>
        <v/>
      </c>
      <c r="BW61" s="62" t="str">
        <f t="shared" si="19"/>
        <v/>
      </c>
      <c r="CA61" s="62" t="str">
        <f t="shared" si="20"/>
        <v/>
      </c>
      <c r="CD61" s="62" t="str">
        <f t="shared" si="21"/>
        <v/>
      </c>
    </row>
    <row r="62" spans="1:82" x14ac:dyDescent="0.3">
      <c r="A62" s="53" t="s">
        <v>247</v>
      </c>
      <c r="B62" s="49" t="s">
        <v>104</v>
      </c>
      <c r="C62" s="44" t="s">
        <v>38</v>
      </c>
      <c r="F62" s="62" t="str">
        <f t="shared" si="0"/>
        <v/>
      </c>
      <c r="J62" s="62" t="str">
        <f t="shared" si="1"/>
        <v/>
      </c>
      <c r="N62" s="62" t="str">
        <f t="shared" si="2"/>
        <v/>
      </c>
      <c r="R62" s="62" t="str">
        <f t="shared" si="3"/>
        <v/>
      </c>
      <c r="V62" s="62" t="str">
        <f t="shared" si="4"/>
        <v/>
      </c>
      <c r="Y62" s="62" t="str">
        <f t="shared" si="5"/>
        <v/>
      </c>
      <c r="AB62" s="62" t="str">
        <f t="shared" si="6"/>
        <v/>
      </c>
      <c r="AF62" s="62" t="str">
        <f t="shared" si="7"/>
        <v/>
      </c>
      <c r="AI62" s="62" t="str">
        <f t="shared" si="8"/>
        <v/>
      </c>
      <c r="AJ62" s="44" t="s">
        <v>43</v>
      </c>
      <c r="AK62" s="44">
        <v>40</v>
      </c>
      <c r="AL62" s="44">
        <v>141</v>
      </c>
      <c r="AM62" s="62">
        <f t="shared" si="9"/>
        <v>3.5249999999999999</v>
      </c>
      <c r="AN62" s="44" t="s">
        <v>43</v>
      </c>
      <c r="AO62" s="44">
        <v>50</v>
      </c>
      <c r="AP62" s="44">
        <v>94</v>
      </c>
      <c r="AQ62" s="62">
        <f t="shared" si="10"/>
        <v>1.88</v>
      </c>
      <c r="AU62" s="62" t="str">
        <f t="shared" si="11"/>
        <v/>
      </c>
      <c r="AY62" s="62" t="str">
        <f t="shared" si="12"/>
        <v/>
      </c>
      <c r="BC62" s="62" t="str">
        <f t="shared" si="13"/>
        <v/>
      </c>
      <c r="BF62" s="62" t="str">
        <f t="shared" si="14"/>
        <v/>
      </c>
      <c r="BG62" s="44" t="s">
        <v>38</v>
      </c>
      <c r="BH62" s="44">
        <v>23</v>
      </c>
      <c r="BI62" s="44">
        <v>30</v>
      </c>
      <c r="BJ62" s="62">
        <f t="shared" si="15"/>
        <v>1.3043478260869565</v>
      </c>
      <c r="BM62" s="62" t="str">
        <f t="shared" si="16"/>
        <v/>
      </c>
      <c r="BQ62" s="62" t="str">
        <f t="shared" si="17"/>
        <v/>
      </c>
      <c r="BT62" s="62" t="str">
        <f t="shared" si="18"/>
        <v/>
      </c>
      <c r="BW62" s="62" t="str">
        <f t="shared" si="19"/>
        <v/>
      </c>
      <c r="CA62" s="62" t="str">
        <f t="shared" si="20"/>
        <v/>
      </c>
      <c r="CD62" s="62" t="str">
        <f t="shared" si="21"/>
        <v/>
      </c>
    </row>
    <row r="63" spans="1:82" x14ac:dyDescent="0.3">
      <c r="A63" s="53" t="s">
        <v>343</v>
      </c>
      <c r="B63" s="49" t="s">
        <v>104</v>
      </c>
      <c r="C63" s="44" t="s">
        <v>38</v>
      </c>
      <c r="F63" s="62" t="str">
        <f t="shared" si="0"/>
        <v/>
      </c>
      <c r="J63" s="62" t="str">
        <f t="shared" si="1"/>
        <v/>
      </c>
      <c r="N63" s="62" t="str">
        <f t="shared" si="2"/>
        <v/>
      </c>
      <c r="R63" s="62" t="str">
        <f t="shared" si="3"/>
        <v/>
      </c>
      <c r="V63" s="62" t="str">
        <f t="shared" si="4"/>
        <v/>
      </c>
      <c r="Y63" s="62" t="str">
        <f t="shared" si="5"/>
        <v/>
      </c>
      <c r="AB63" s="62" t="str">
        <f t="shared" si="6"/>
        <v/>
      </c>
      <c r="AF63" s="62" t="str">
        <f t="shared" si="7"/>
        <v/>
      </c>
      <c r="AI63" s="62" t="str">
        <f t="shared" si="8"/>
        <v/>
      </c>
      <c r="AJ63" s="44" t="s">
        <v>38</v>
      </c>
      <c r="AK63" s="44">
        <v>650</v>
      </c>
      <c r="AL63" s="44">
        <v>382</v>
      </c>
      <c r="AM63" s="62">
        <f t="shared" si="9"/>
        <v>0.58769230769230774</v>
      </c>
      <c r="AN63" s="44" t="s">
        <v>38</v>
      </c>
      <c r="AO63" s="44">
        <v>900</v>
      </c>
      <c r="AP63" s="44">
        <v>581</v>
      </c>
      <c r="AQ63" s="62">
        <f t="shared" si="10"/>
        <v>0.64555555555555555</v>
      </c>
      <c r="AR63" s="44" t="s">
        <v>38</v>
      </c>
      <c r="AS63" s="44">
        <v>750</v>
      </c>
      <c r="AT63" s="44">
        <v>469</v>
      </c>
      <c r="AU63" s="62">
        <f t="shared" si="11"/>
        <v>0.6253333333333333</v>
      </c>
      <c r="AV63" s="44" t="s">
        <v>38</v>
      </c>
      <c r="AW63" s="44">
        <v>1002</v>
      </c>
      <c r="AX63" s="44">
        <v>668</v>
      </c>
      <c r="AY63" s="62">
        <f t="shared" si="12"/>
        <v>0.66666666666666663</v>
      </c>
      <c r="AZ63" s="44" t="s">
        <v>38</v>
      </c>
      <c r="BA63" s="44">
        <v>900</v>
      </c>
      <c r="BB63" s="44">
        <v>600</v>
      </c>
      <c r="BC63" s="62">
        <f t="shared" si="13"/>
        <v>0.66666666666666663</v>
      </c>
      <c r="BD63" s="44">
        <v>450</v>
      </c>
      <c r="BE63" s="44">
        <v>375</v>
      </c>
      <c r="BF63" s="62">
        <f t="shared" si="14"/>
        <v>0.83333333333333337</v>
      </c>
      <c r="BG63" s="44" t="s">
        <v>38</v>
      </c>
      <c r="BJ63" s="62" t="str">
        <f t="shared" si="15"/>
        <v/>
      </c>
      <c r="BK63" s="44">
        <v>166</v>
      </c>
      <c r="BL63" s="44">
        <v>246</v>
      </c>
      <c r="BM63" s="62">
        <f t="shared" si="16"/>
        <v>1.4819277108433735</v>
      </c>
      <c r="BN63" s="44" t="s">
        <v>38</v>
      </c>
      <c r="BO63" s="44">
        <v>51</v>
      </c>
      <c r="BP63" s="44">
        <v>69</v>
      </c>
      <c r="BQ63" s="62">
        <f t="shared" si="17"/>
        <v>1.3529411764705883</v>
      </c>
      <c r="BR63" s="44">
        <v>122.5</v>
      </c>
      <c r="BS63" s="44">
        <v>275</v>
      </c>
      <c r="BT63" s="62">
        <f t="shared" si="18"/>
        <v>2.2448979591836733</v>
      </c>
      <c r="BW63" s="62" t="str">
        <f t="shared" si="19"/>
        <v/>
      </c>
      <c r="BX63" s="44" t="s">
        <v>38</v>
      </c>
      <c r="BY63" s="44">
        <v>252</v>
      </c>
      <c r="BZ63" s="44">
        <v>254</v>
      </c>
      <c r="CA63" s="62">
        <f t="shared" si="20"/>
        <v>1.0079365079365079</v>
      </c>
      <c r="CD63" s="62" t="str">
        <f t="shared" si="21"/>
        <v/>
      </c>
    </row>
    <row r="64" spans="1:82" x14ac:dyDescent="0.3">
      <c r="A64" s="53" t="s">
        <v>344</v>
      </c>
      <c r="B64" s="49" t="s">
        <v>104</v>
      </c>
      <c r="C64" s="44" t="s">
        <v>38</v>
      </c>
      <c r="F64" s="62" t="str">
        <f t="shared" si="0"/>
        <v/>
      </c>
      <c r="J64" s="62" t="str">
        <f t="shared" si="1"/>
        <v/>
      </c>
      <c r="N64" s="62" t="str">
        <f t="shared" si="2"/>
        <v/>
      </c>
      <c r="R64" s="62" t="str">
        <f t="shared" si="3"/>
        <v/>
      </c>
      <c r="V64" s="62" t="str">
        <f t="shared" si="4"/>
        <v/>
      </c>
      <c r="Y64" s="62" t="str">
        <f t="shared" si="5"/>
        <v/>
      </c>
      <c r="AB64" s="62" t="str">
        <f t="shared" si="6"/>
        <v/>
      </c>
      <c r="AF64" s="62" t="str">
        <f t="shared" si="7"/>
        <v/>
      </c>
      <c r="AI64" s="62" t="str">
        <f t="shared" si="8"/>
        <v/>
      </c>
      <c r="AM64" s="62" t="str">
        <f t="shared" si="9"/>
        <v/>
      </c>
      <c r="AQ64" s="62" t="str">
        <f t="shared" si="10"/>
        <v/>
      </c>
      <c r="AU64" s="62" t="str">
        <f t="shared" si="11"/>
        <v/>
      </c>
      <c r="AY64" s="62" t="str">
        <f t="shared" si="12"/>
        <v/>
      </c>
      <c r="BC64" s="62" t="str">
        <f t="shared" si="13"/>
        <v/>
      </c>
      <c r="BF64" s="62" t="str">
        <f t="shared" si="14"/>
        <v/>
      </c>
      <c r="BG64" s="44" t="s">
        <v>38</v>
      </c>
      <c r="BH64" s="44">
        <v>17</v>
      </c>
      <c r="BI64" s="44">
        <v>80</v>
      </c>
      <c r="BJ64" s="62">
        <f t="shared" si="15"/>
        <v>4.7058823529411766</v>
      </c>
      <c r="BM64" s="62" t="str">
        <f t="shared" si="16"/>
        <v/>
      </c>
      <c r="BN64" s="44" t="s">
        <v>38</v>
      </c>
      <c r="BQ64" s="62" t="str">
        <f t="shared" si="17"/>
        <v/>
      </c>
      <c r="BR64" s="44">
        <v>4.75</v>
      </c>
      <c r="BS64" s="44">
        <v>39</v>
      </c>
      <c r="BT64" s="62">
        <f t="shared" si="18"/>
        <v>8.2105263157894743</v>
      </c>
      <c r="BU64" s="44">
        <v>4.25</v>
      </c>
      <c r="BV64" s="44">
        <v>104</v>
      </c>
      <c r="BW64" s="62">
        <f t="shared" si="19"/>
        <v>24.470588235294116</v>
      </c>
      <c r="BX64" s="44" t="s">
        <v>38</v>
      </c>
      <c r="BY64" s="44">
        <v>34.75</v>
      </c>
      <c r="BZ64" s="44">
        <v>238.5</v>
      </c>
      <c r="CA64" s="62">
        <f t="shared" si="20"/>
        <v>6.8633093525179856</v>
      </c>
      <c r="CB64" s="44">
        <v>72</v>
      </c>
      <c r="CC64" s="44">
        <v>473</v>
      </c>
      <c r="CD64" s="62">
        <f t="shared" si="21"/>
        <v>6.5694444444444446</v>
      </c>
    </row>
    <row r="65" spans="1:82" x14ac:dyDescent="0.3">
      <c r="A65" s="53" t="s">
        <v>345</v>
      </c>
      <c r="B65" s="49" t="s">
        <v>104</v>
      </c>
      <c r="C65" s="44" t="s">
        <v>38</v>
      </c>
      <c r="F65" s="62" t="str">
        <f t="shared" si="0"/>
        <v/>
      </c>
      <c r="J65" s="62" t="str">
        <f t="shared" si="1"/>
        <v/>
      </c>
      <c r="N65" s="62" t="str">
        <f t="shared" si="2"/>
        <v/>
      </c>
      <c r="R65" s="62" t="str">
        <f t="shared" si="3"/>
        <v/>
      </c>
      <c r="V65" s="62" t="str">
        <f t="shared" si="4"/>
        <v/>
      </c>
      <c r="Y65" s="62" t="str">
        <f t="shared" si="5"/>
        <v/>
      </c>
      <c r="AB65" s="62" t="str">
        <f t="shared" si="6"/>
        <v/>
      </c>
      <c r="AF65" s="62" t="str">
        <f t="shared" si="7"/>
        <v/>
      </c>
      <c r="AI65" s="62" t="str">
        <f t="shared" si="8"/>
        <v/>
      </c>
      <c r="AM65" s="62" t="str">
        <f t="shared" si="9"/>
        <v/>
      </c>
      <c r="AQ65" s="62" t="str">
        <f t="shared" si="10"/>
        <v/>
      </c>
      <c r="AU65" s="62" t="str">
        <f t="shared" si="11"/>
        <v/>
      </c>
      <c r="AV65" s="44" t="s">
        <v>37</v>
      </c>
      <c r="AW65" s="44">
        <v>16</v>
      </c>
      <c r="AX65" s="44">
        <v>26</v>
      </c>
      <c r="AY65" s="62">
        <f t="shared" si="12"/>
        <v>1.625</v>
      </c>
      <c r="BC65" s="62" t="str">
        <f t="shared" si="13"/>
        <v/>
      </c>
      <c r="BF65" s="62" t="str">
        <f t="shared" si="14"/>
        <v/>
      </c>
      <c r="BJ65" s="62" t="str">
        <f t="shared" si="15"/>
        <v/>
      </c>
      <c r="BM65" s="62" t="str">
        <f t="shared" si="16"/>
        <v/>
      </c>
      <c r="BN65" s="44" t="s">
        <v>38</v>
      </c>
      <c r="BO65" s="44">
        <v>27</v>
      </c>
      <c r="BP65" s="44">
        <v>21</v>
      </c>
      <c r="BQ65" s="62">
        <f t="shared" si="17"/>
        <v>0.77777777777777779</v>
      </c>
      <c r="BT65" s="62" t="str">
        <f t="shared" si="18"/>
        <v/>
      </c>
      <c r="BW65" s="62" t="str">
        <f t="shared" si="19"/>
        <v/>
      </c>
      <c r="CA65" s="62" t="str">
        <f t="shared" si="20"/>
        <v/>
      </c>
      <c r="CD65" s="62" t="str">
        <f t="shared" si="21"/>
        <v/>
      </c>
    </row>
    <row r="66" spans="1:82" x14ac:dyDescent="0.3">
      <c r="A66" s="53" t="s">
        <v>346</v>
      </c>
      <c r="B66" s="49" t="s">
        <v>104</v>
      </c>
      <c r="C66" s="44" t="s">
        <v>38</v>
      </c>
      <c r="F66" s="62" t="str">
        <f t="shared" si="0"/>
        <v/>
      </c>
      <c r="J66" s="62" t="str">
        <f t="shared" si="1"/>
        <v/>
      </c>
      <c r="N66" s="62" t="str">
        <f t="shared" si="2"/>
        <v/>
      </c>
      <c r="R66" s="62" t="str">
        <f t="shared" si="3"/>
        <v/>
      </c>
      <c r="V66" s="62" t="str">
        <f t="shared" si="4"/>
        <v/>
      </c>
      <c r="Y66" s="62" t="str">
        <f t="shared" si="5"/>
        <v/>
      </c>
      <c r="AB66" s="62" t="str">
        <f t="shared" si="6"/>
        <v/>
      </c>
      <c r="AF66" s="62" t="str">
        <f t="shared" si="7"/>
        <v/>
      </c>
      <c r="AI66" s="62" t="str">
        <f t="shared" si="8"/>
        <v/>
      </c>
      <c r="AM66" s="62" t="str">
        <f t="shared" si="9"/>
        <v/>
      </c>
      <c r="AQ66" s="62" t="str">
        <f t="shared" si="10"/>
        <v/>
      </c>
      <c r="AU66" s="62" t="str">
        <f t="shared" si="11"/>
        <v/>
      </c>
      <c r="AY66" s="62" t="str">
        <f t="shared" si="12"/>
        <v/>
      </c>
      <c r="BC66" s="62" t="str">
        <f t="shared" si="13"/>
        <v/>
      </c>
      <c r="BF66" s="62" t="str">
        <f t="shared" si="14"/>
        <v/>
      </c>
      <c r="BJ66" s="62" t="str">
        <f t="shared" si="15"/>
        <v/>
      </c>
      <c r="BM66" s="62" t="str">
        <f t="shared" si="16"/>
        <v/>
      </c>
      <c r="BN66" s="44" t="s">
        <v>38</v>
      </c>
      <c r="BQ66" s="62" t="str">
        <f t="shared" si="17"/>
        <v/>
      </c>
      <c r="BR66" s="44">
        <v>36</v>
      </c>
      <c r="BS66" s="44">
        <v>51</v>
      </c>
      <c r="BT66" s="62">
        <f t="shared" si="18"/>
        <v>1.4166666666666667</v>
      </c>
      <c r="BU66" s="44">
        <v>72</v>
      </c>
      <c r="BV66" s="44">
        <v>59</v>
      </c>
      <c r="BW66" s="62">
        <f t="shared" si="19"/>
        <v>0.81944444444444442</v>
      </c>
      <c r="BX66" s="44" t="s">
        <v>38</v>
      </c>
      <c r="BY66" s="44">
        <v>2</v>
      </c>
      <c r="BZ66" s="44">
        <v>9</v>
      </c>
      <c r="CA66" s="62">
        <f t="shared" si="20"/>
        <v>4.5</v>
      </c>
      <c r="CB66" s="44">
        <v>5.25</v>
      </c>
      <c r="CC66" s="44">
        <v>27</v>
      </c>
      <c r="CD66" s="62">
        <f t="shared" si="21"/>
        <v>5.1428571428571432</v>
      </c>
    </row>
    <row r="67" spans="1:82" x14ac:dyDescent="0.3">
      <c r="A67" s="53" t="s">
        <v>174</v>
      </c>
      <c r="B67" s="49" t="s">
        <v>104</v>
      </c>
      <c r="C67" s="44" t="s">
        <v>38</v>
      </c>
      <c r="F67" s="62" t="str">
        <f t="shared" si="0"/>
        <v/>
      </c>
      <c r="J67" s="62" t="str">
        <f t="shared" si="1"/>
        <v/>
      </c>
      <c r="N67" s="62" t="str">
        <f t="shared" si="2"/>
        <v/>
      </c>
      <c r="R67" s="62" t="str">
        <f t="shared" si="3"/>
        <v/>
      </c>
      <c r="V67" s="62" t="str">
        <f t="shared" si="4"/>
        <v/>
      </c>
      <c r="Y67" s="62" t="str">
        <f t="shared" si="5"/>
        <v/>
      </c>
      <c r="AB67" s="62" t="str">
        <f t="shared" si="6"/>
        <v/>
      </c>
      <c r="AF67" s="62" t="str">
        <f t="shared" si="7"/>
        <v/>
      </c>
      <c r="AI67" s="62" t="str">
        <f t="shared" si="8"/>
        <v/>
      </c>
      <c r="AM67" s="62" t="str">
        <f t="shared" si="9"/>
        <v/>
      </c>
      <c r="AQ67" s="62" t="str">
        <f t="shared" si="10"/>
        <v/>
      </c>
      <c r="AU67" s="62" t="str">
        <f t="shared" si="11"/>
        <v/>
      </c>
      <c r="AY67" s="62" t="str">
        <f t="shared" si="12"/>
        <v/>
      </c>
      <c r="BC67" s="62" t="str">
        <f t="shared" si="13"/>
        <v/>
      </c>
      <c r="BF67" s="62" t="str">
        <f t="shared" si="14"/>
        <v/>
      </c>
      <c r="BG67" s="44" t="s">
        <v>38</v>
      </c>
      <c r="BH67" s="44">
        <v>1</v>
      </c>
      <c r="BI67" s="44">
        <v>6</v>
      </c>
      <c r="BJ67" s="62">
        <f t="shared" si="15"/>
        <v>6</v>
      </c>
      <c r="BM67" s="62" t="str">
        <f t="shared" si="16"/>
        <v/>
      </c>
      <c r="BQ67" s="62" t="str">
        <f t="shared" si="17"/>
        <v/>
      </c>
      <c r="BT67" s="62" t="str">
        <f t="shared" si="18"/>
        <v/>
      </c>
      <c r="BW67" s="62" t="str">
        <f t="shared" si="19"/>
        <v/>
      </c>
      <c r="CA67" s="62" t="str">
        <f t="shared" si="20"/>
        <v/>
      </c>
      <c r="CD67" s="62" t="str">
        <f t="shared" si="21"/>
        <v/>
      </c>
    </row>
    <row r="68" spans="1:82" x14ac:dyDescent="0.3">
      <c r="A68" s="53" t="s">
        <v>248</v>
      </c>
      <c r="B68" s="49" t="s">
        <v>104</v>
      </c>
      <c r="C68" s="44" t="s">
        <v>38</v>
      </c>
      <c r="F68" s="62" t="str">
        <f t="shared" ref="F68:F124" si="22">IFERROR(E68/D68,"")</f>
        <v/>
      </c>
      <c r="J68" s="62" t="str">
        <f t="shared" ref="J68:J124" si="23">IFERROR(I68/H68,"")</f>
        <v/>
      </c>
      <c r="N68" s="62" t="str">
        <f t="shared" ref="N68:N124" si="24">IFERROR(M68/L68,"")</f>
        <v/>
      </c>
      <c r="R68" s="62" t="str">
        <f t="shared" ref="R68:R124" si="25">IFERROR(Q68/P68,"")</f>
        <v/>
      </c>
      <c r="V68" s="62" t="str">
        <f t="shared" ref="V68:V124" si="26">IFERROR(U68/T68,"")</f>
        <v/>
      </c>
      <c r="Y68" s="62" t="str">
        <f t="shared" ref="Y68:Y124" si="27">IFERROR(X68/W68,"")</f>
        <v/>
      </c>
      <c r="AB68" s="62" t="str">
        <f t="shared" ref="AB68:AB124" si="28">IFERROR(AA68/Z68,"")</f>
        <v/>
      </c>
      <c r="AF68" s="62" t="str">
        <f t="shared" ref="AF68:AF124" si="29">IFERROR(AE68/AD68,"")</f>
        <v/>
      </c>
      <c r="AI68" s="62" t="str">
        <f t="shared" ref="AI68:AI124" si="30">IFERROR(AH68/AG68,"")</f>
        <v/>
      </c>
      <c r="AM68" s="62" t="str">
        <f t="shared" ref="AM68:AM124" si="31">IFERROR(AL68/AK68,"")</f>
        <v/>
      </c>
      <c r="AQ68" s="62" t="str">
        <f t="shared" ref="AQ68:AQ124" si="32">IFERROR(AP68/AO68,"")</f>
        <v/>
      </c>
      <c r="AU68" s="62" t="str">
        <f t="shared" ref="AU68:AU124" si="33">IFERROR(AT68/AS68,"")</f>
        <v/>
      </c>
      <c r="AY68" s="62" t="str">
        <f t="shared" ref="AY68:AY124" si="34">IFERROR(AX68/AW68,"")</f>
        <v/>
      </c>
      <c r="BC68" s="62" t="str">
        <f t="shared" ref="BC68:BC124" si="35">IFERROR(BB68/BA68,"")</f>
        <v/>
      </c>
      <c r="BF68" s="62" t="str">
        <f t="shared" ref="BF68:BF124" si="36">IFERROR(BE68/BD68,"")</f>
        <v/>
      </c>
      <c r="BG68" s="44" t="s">
        <v>38</v>
      </c>
      <c r="BH68" s="44">
        <v>20</v>
      </c>
      <c r="BI68" s="44">
        <v>35</v>
      </c>
      <c r="BJ68" s="62">
        <f t="shared" ref="BJ68:BJ124" si="37">IFERROR(BI68/BH68,"")</f>
        <v>1.75</v>
      </c>
      <c r="BM68" s="62" t="str">
        <f t="shared" ref="BM68:BM124" si="38">IFERROR(BL68/BK68,"")</f>
        <v/>
      </c>
      <c r="BQ68" s="62" t="str">
        <f t="shared" ref="BQ68:BQ124" si="39">IFERROR(BP68/BO68,"")</f>
        <v/>
      </c>
      <c r="BT68" s="62" t="str">
        <f t="shared" ref="BT68:BT124" si="40">IFERROR(BS68/BR68,"")</f>
        <v/>
      </c>
      <c r="BW68" s="62" t="str">
        <f t="shared" ref="BW68:BW124" si="41">IFERROR(BV68/BU68,"")</f>
        <v/>
      </c>
      <c r="BX68" s="44" t="s">
        <v>38</v>
      </c>
      <c r="BY68" s="44">
        <v>37.25</v>
      </c>
      <c r="BZ68" s="44">
        <v>38.5</v>
      </c>
      <c r="CA68" s="62">
        <f t="shared" ref="CA68:CA124" si="42">IFERROR(BZ68/BY68,"")</f>
        <v>1.0335570469798658</v>
      </c>
      <c r="CB68" s="44">
        <v>61.5</v>
      </c>
      <c r="CC68" s="44">
        <v>60</v>
      </c>
      <c r="CD68" s="62">
        <f t="shared" ref="CD68:CD124" si="43">IFERROR(CC68/CB68,"")</f>
        <v>0.97560975609756095</v>
      </c>
    </row>
    <row r="69" spans="1:82" x14ac:dyDescent="0.3">
      <c r="A69" s="53" t="s">
        <v>249</v>
      </c>
      <c r="B69" s="49" t="s">
        <v>104</v>
      </c>
      <c r="C69" s="44" t="s">
        <v>38</v>
      </c>
      <c r="F69" s="62" t="str">
        <f t="shared" si="22"/>
        <v/>
      </c>
      <c r="J69" s="62" t="str">
        <f t="shared" si="23"/>
        <v/>
      </c>
      <c r="N69" s="62" t="str">
        <f t="shared" si="24"/>
        <v/>
      </c>
      <c r="R69" s="62" t="str">
        <f t="shared" si="25"/>
        <v/>
      </c>
      <c r="V69" s="62" t="str">
        <f t="shared" si="26"/>
        <v/>
      </c>
      <c r="Y69" s="62" t="str">
        <f t="shared" si="27"/>
        <v/>
      </c>
      <c r="AB69" s="62" t="str">
        <f t="shared" si="28"/>
        <v/>
      </c>
      <c r="AF69" s="62" t="str">
        <f t="shared" si="29"/>
        <v/>
      </c>
      <c r="AI69" s="62" t="str">
        <f t="shared" si="30"/>
        <v/>
      </c>
      <c r="AM69" s="62" t="str">
        <f t="shared" si="31"/>
        <v/>
      </c>
      <c r="AQ69" s="62" t="str">
        <f t="shared" si="32"/>
        <v/>
      </c>
      <c r="AU69" s="62" t="str">
        <f t="shared" si="33"/>
        <v/>
      </c>
      <c r="AY69" s="62" t="str">
        <f t="shared" si="34"/>
        <v/>
      </c>
      <c r="BC69" s="62" t="str">
        <f t="shared" si="35"/>
        <v/>
      </c>
      <c r="BF69" s="62" t="str">
        <f t="shared" si="36"/>
        <v/>
      </c>
      <c r="BG69" s="44" t="s">
        <v>38</v>
      </c>
      <c r="BJ69" s="62" t="str">
        <f t="shared" si="37"/>
        <v/>
      </c>
      <c r="BK69" s="44">
        <v>183</v>
      </c>
      <c r="BL69" s="44">
        <v>549</v>
      </c>
      <c r="BM69" s="62">
        <f t="shared" si="38"/>
        <v>3</v>
      </c>
      <c r="BQ69" s="62" t="str">
        <f t="shared" si="39"/>
        <v/>
      </c>
      <c r="BT69" s="62" t="str">
        <f t="shared" si="40"/>
        <v/>
      </c>
      <c r="BW69" s="62" t="str">
        <f t="shared" si="41"/>
        <v/>
      </c>
      <c r="CA69" s="62" t="str">
        <f t="shared" si="42"/>
        <v/>
      </c>
      <c r="CD69" s="62" t="str">
        <f t="shared" si="43"/>
        <v/>
      </c>
    </row>
    <row r="70" spans="1:82" x14ac:dyDescent="0.3">
      <c r="A70" s="53" t="s">
        <v>45</v>
      </c>
      <c r="B70" s="49" t="s">
        <v>104</v>
      </c>
      <c r="C70" s="44" t="s">
        <v>38</v>
      </c>
      <c r="F70" s="62" t="str">
        <f t="shared" si="22"/>
        <v/>
      </c>
      <c r="J70" s="62" t="str">
        <f t="shared" si="23"/>
        <v/>
      </c>
      <c r="N70" s="62" t="str">
        <f t="shared" si="24"/>
        <v/>
      </c>
      <c r="R70" s="62" t="str">
        <f t="shared" si="25"/>
        <v/>
      </c>
      <c r="V70" s="62" t="str">
        <f t="shared" si="26"/>
        <v/>
      </c>
      <c r="Y70" s="62" t="str">
        <f t="shared" si="27"/>
        <v/>
      </c>
      <c r="AB70" s="62" t="str">
        <f t="shared" si="28"/>
        <v/>
      </c>
      <c r="AF70" s="62" t="str">
        <f t="shared" si="29"/>
        <v/>
      </c>
      <c r="AI70" s="62" t="str">
        <f t="shared" si="30"/>
        <v/>
      </c>
      <c r="AM70" s="62" t="str">
        <f t="shared" si="31"/>
        <v/>
      </c>
      <c r="AN70" s="44" t="s">
        <v>38</v>
      </c>
      <c r="AO70" s="44">
        <f>$D$210*120</f>
        <v>180</v>
      </c>
      <c r="AP70" s="44">
        <v>375</v>
      </c>
      <c r="AQ70" s="62">
        <f t="shared" si="32"/>
        <v>2.0833333333333335</v>
      </c>
      <c r="AR70" s="44" t="s">
        <v>38</v>
      </c>
      <c r="AS70" s="44">
        <f>$D$210*100</f>
        <v>150</v>
      </c>
      <c r="AT70" s="44">
        <v>312</v>
      </c>
      <c r="AU70" s="62">
        <f t="shared" si="33"/>
        <v>2.08</v>
      </c>
      <c r="AV70" s="44" t="s">
        <v>38</v>
      </c>
      <c r="AW70" s="44">
        <f>$D$210*120</f>
        <v>180</v>
      </c>
      <c r="AX70" s="44">
        <v>320</v>
      </c>
      <c r="AY70" s="62">
        <f t="shared" si="34"/>
        <v>1.7777777777777777</v>
      </c>
      <c r="AZ70" s="44" t="s">
        <v>38</v>
      </c>
      <c r="BA70" s="44">
        <f>$D$210*150</f>
        <v>225</v>
      </c>
      <c r="BB70" s="44">
        <v>400</v>
      </c>
      <c r="BC70" s="62">
        <f t="shared" si="35"/>
        <v>1.7777777777777777</v>
      </c>
      <c r="BD70" s="44">
        <f>$D$210*100</f>
        <v>150</v>
      </c>
      <c r="BE70" s="44">
        <v>266</v>
      </c>
      <c r="BF70" s="62">
        <f t="shared" si="36"/>
        <v>1.7733333333333334</v>
      </c>
      <c r="BG70" s="44" t="s">
        <v>38</v>
      </c>
      <c r="BH70" s="44">
        <v>285</v>
      </c>
      <c r="BI70" s="44">
        <v>315</v>
      </c>
      <c r="BJ70" s="62">
        <f t="shared" si="37"/>
        <v>1.1052631578947369</v>
      </c>
      <c r="BK70" s="44">
        <v>30</v>
      </c>
      <c r="BL70" s="44">
        <v>81</v>
      </c>
      <c r="BM70" s="62">
        <f t="shared" si="38"/>
        <v>2.7</v>
      </c>
      <c r="BN70" s="44" t="s">
        <v>38</v>
      </c>
      <c r="BO70" s="44">
        <v>118</v>
      </c>
      <c r="BP70" s="44">
        <v>137</v>
      </c>
      <c r="BQ70" s="62">
        <f t="shared" si="39"/>
        <v>1.1610169491525424</v>
      </c>
      <c r="BR70" s="44">
        <v>153.5</v>
      </c>
      <c r="BS70" s="44">
        <v>161</v>
      </c>
      <c r="BT70" s="62">
        <f t="shared" si="40"/>
        <v>1.0488599348534202</v>
      </c>
      <c r="BU70" s="44">
        <v>134</v>
      </c>
      <c r="BV70" s="44">
        <v>165</v>
      </c>
      <c r="BW70" s="62">
        <f t="shared" si="41"/>
        <v>1.2313432835820894</v>
      </c>
      <c r="BX70" s="44" t="s">
        <v>38</v>
      </c>
      <c r="BY70" s="44">
        <v>159.75</v>
      </c>
      <c r="BZ70" s="44">
        <v>206.5</v>
      </c>
      <c r="CA70" s="62">
        <f t="shared" si="42"/>
        <v>1.2926447574334898</v>
      </c>
      <c r="CB70" s="44">
        <v>137.25</v>
      </c>
      <c r="CC70" s="44">
        <v>214.5</v>
      </c>
      <c r="CD70" s="62">
        <f t="shared" si="43"/>
        <v>1.5628415300546448</v>
      </c>
    </row>
    <row r="71" spans="1:82" x14ac:dyDescent="0.3">
      <c r="A71" s="52" t="s">
        <v>48</v>
      </c>
      <c r="B71" s="49" t="s">
        <v>292</v>
      </c>
      <c r="C71" s="44" t="s">
        <v>35</v>
      </c>
      <c r="D71" s="44">
        <v>38400</v>
      </c>
      <c r="E71" s="44">
        <v>1043</v>
      </c>
      <c r="F71" s="62">
        <f t="shared" si="22"/>
        <v>2.7161458333333333E-2</v>
      </c>
      <c r="G71" s="44" t="s">
        <v>35</v>
      </c>
      <c r="H71" s="44">
        <v>40000</v>
      </c>
      <c r="I71" s="44">
        <v>1080</v>
      </c>
      <c r="J71" s="62">
        <f t="shared" si="23"/>
        <v>2.7E-2</v>
      </c>
      <c r="K71" s="44" t="s">
        <v>35</v>
      </c>
      <c r="L71" s="44">
        <v>32250</v>
      </c>
      <c r="M71" s="44">
        <v>882</v>
      </c>
      <c r="N71" s="62">
        <f t="shared" si="24"/>
        <v>2.7348837209302326E-2</v>
      </c>
      <c r="O71" s="44" t="s">
        <v>35</v>
      </c>
      <c r="P71" s="44">
        <v>44750</v>
      </c>
      <c r="Q71" s="44">
        <v>1377</v>
      </c>
      <c r="R71" s="62">
        <f t="shared" si="25"/>
        <v>3.077094972067039E-2</v>
      </c>
      <c r="S71" s="44" t="s">
        <v>35</v>
      </c>
      <c r="T71" s="44">
        <v>38750</v>
      </c>
      <c r="U71" s="44">
        <v>1107</v>
      </c>
      <c r="V71" s="62">
        <f t="shared" si="26"/>
        <v>2.8567741935483872E-2</v>
      </c>
      <c r="W71" s="44">
        <v>30000</v>
      </c>
      <c r="X71" s="44">
        <v>750</v>
      </c>
      <c r="Y71" s="62">
        <f t="shared" si="27"/>
        <v>2.5000000000000001E-2</v>
      </c>
      <c r="Z71" s="44">
        <v>28750</v>
      </c>
      <c r="AA71" s="44">
        <v>708</v>
      </c>
      <c r="AB71" s="62">
        <f t="shared" si="28"/>
        <v>2.4626086956521739E-2</v>
      </c>
      <c r="AC71" s="44" t="s">
        <v>35</v>
      </c>
      <c r="AD71" s="44">
        <v>30000</v>
      </c>
      <c r="AE71" s="44">
        <v>666</v>
      </c>
      <c r="AF71" s="62">
        <f t="shared" si="29"/>
        <v>2.2200000000000001E-2</v>
      </c>
      <c r="AG71" s="44">
        <v>32500</v>
      </c>
      <c r="AH71" s="44">
        <v>722</v>
      </c>
      <c r="AI71" s="62">
        <f t="shared" si="30"/>
        <v>2.2215384615384616E-2</v>
      </c>
      <c r="AJ71" s="44" t="s">
        <v>35</v>
      </c>
      <c r="AK71" s="44">
        <v>20200</v>
      </c>
      <c r="AL71" s="44">
        <v>588</v>
      </c>
      <c r="AM71" s="62">
        <f t="shared" si="31"/>
        <v>2.910891089108911E-2</v>
      </c>
      <c r="AN71" s="44" t="s">
        <v>35</v>
      </c>
      <c r="AO71" s="44">
        <v>16150</v>
      </c>
      <c r="AP71" s="44">
        <v>497</v>
      </c>
      <c r="AQ71" s="62">
        <f t="shared" si="32"/>
        <v>3.0773993808049536E-2</v>
      </c>
      <c r="AU71" s="62" t="str">
        <f t="shared" si="33"/>
        <v/>
      </c>
      <c r="AY71" s="62" t="str">
        <f t="shared" si="34"/>
        <v/>
      </c>
      <c r="BC71" s="62" t="str">
        <f t="shared" si="35"/>
        <v/>
      </c>
      <c r="BF71" s="62" t="str">
        <f t="shared" si="36"/>
        <v/>
      </c>
      <c r="BG71" s="44" t="s">
        <v>38</v>
      </c>
      <c r="BH71" s="44">
        <v>693</v>
      </c>
      <c r="BI71" s="44">
        <v>191</v>
      </c>
      <c r="BJ71" s="62">
        <f t="shared" si="37"/>
        <v>0.27561327561327559</v>
      </c>
      <c r="BM71" s="62" t="str">
        <f t="shared" si="38"/>
        <v/>
      </c>
      <c r="BQ71" s="62" t="str">
        <f t="shared" si="39"/>
        <v/>
      </c>
      <c r="BT71" s="62" t="str">
        <f t="shared" si="40"/>
        <v/>
      </c>
      <c r="BW71" s="62" t="str">
        <f t="shared" si="41"/>
        <v/>
      </c>
      <c r="CA71" s="62" t="str">
        <f t="shared" si="42"/>
        <v/>
      </c>
      <c r="CD71" s="62" t="str">
        <f t="shared" si="43"/>
        <v/>
      </c>
    </row>
    <row r="72" spans="1:82" x14ac:dyDescent="0.3">
      <c r="A72" s="53" t="s">
        <v>20</v>
      </c>
      <c r="B72" s="49" t="s">
        <v>104</v>
      </c>
      <c r="C72" s="44" t="s">
        <v>38</v>
      </c>
      <c r="D72" s="44">
        <v>2168</v>
      </c>
      <c r="E72" s="44">
        <v>2486</v>
      </c>
      <c r="F72" s="62">
        <f t="shared" si="22"/>
        <v>1.146678966789668</v>
      </c>
      <c r="G72" s="44" t="s">
        <v>38</v>
      </c>
      <c r="H72" s="44">
        <v>1744</v>
      </c>
      <c r="I72" s="44">
        <v>2194</v>
      </c>
      <c r="J72" s="62">
        <f t="shared" si="23"/>
        <v>1.2580275229357798</v>
      </c>
      <c r="K72" s="44" t="s">
        <v>38</v>
      </c>
      <c r="L72" s="44">
        <v>2700</v>
      </c>
      <c r="M72" s="44">
        <v>2598</v>
      </c>
      <c r="N72" s="62">
        <f t="shared" si="24"/>
        <v>0.9622222222222222</v>
      </c>
      <c r="O72" s="44" t="s">
        <v>38</v>
      </c>
      <c r="P72" s="44">
        <v>3750</v>
      </c>
      <c r="Q72" s="44">
        <v>4539</v>
      </c>
      <c r="R72" s="62">
        <f t="shared" si="25"/>
        <v>1.2103999999999999</v>
      </c>
      <c r="S72" s="44" t="s">
        <v>38</v>
      </c>
      <c r="T72" s="44">
        <v>4000</v>
      </c>
      <c r="U72" s="44">
        <v>4429</v>
      </c>
      <c r="V72" s="62">
        <f t="shared" si="26"/>
        <v>1.1072500000000001</v>
      </c>
      <c r="W72" s="44">
        <v>3000</v>
      </c>
      <c r="X72" s="44">
        <v>3125</v>
      </c>
      <c r="Y72" s="62">
        <f t="shared" si="27"/>
        <v>1.0416666666666667</v>
      </c>
      <c r="Z72" s="44">
        <v>2700</v>
      </c>
      <c r="AA72" s="44">
        <v>3200</v>
      </c>
      <c r="AB72" s="62">
        <f t="shared" si="28"/>
        <v>1.1851851851851851</v>
      </c>
      <c r="AC72" s="44" t="s">
        <v>38</v>
      </c>
      <c r="AD72" s="44">
        <v>3100</v>
      </c>
      <c r="AE72" s="44">
        <v>3000</v>
      </c>
      <c r="AF72" s="62">
        <f t="shared" si="29"/>
        <v>0.967741935483871</v>
      </c>
      <c r="AG72" s="44">
        <v>2500</v>
      </c>
      <c r="AH72" s="44">
        <v>2583</v>
      </c>
      <c r="AI72" s="62">
        <f t="shared" si="30"/>
        <v>1.0331999999999999</v>
      </c>
      <c r="AM72" s="62" t="str">
        <f t="shared" si="31"/>
        <v/>
      </c>
      <c r="AQ72" s="62" t="str">
        <f t="shared" si="32"/>
        <v/>
      </c>
      <c r="AU72" s="62" t="str">
        <f t="shared" si="33"/>
        <v/>
      </c>
      <c r="AY72" s="62" t="str">
        <f t="shared" si="34"/>
        <v/>
      </c>
      <c r="BC72" s="62" t="str">
        <f t="shared" si="35"/>
        <v/>
      </c>
      <c r="BF72" s="62" t="str">
        <f t="shared" si="36"/>
        <v/>
      </c>
      <c r="BJ72" s="62" t="str">
        <f t="shared" si="37"/>
        <v/>
      </c>
      <c r="BM72" s="62" t="str">
        <f t="shared" si="38"/>
        <v/>
      </c>
      <c r="BQ72" s="62" t="str">
        <f t="shared" si="39"/>
        <v/>
      </c>
      <c r="BT72" s="62" t="str">
        <f t="shared" si="40"/>
        <v/>
      </c>
      <c r="BW72" s="62" t="str">
        <f t="shared" si="41"/>
        <v/>
      </c>
      <c r="CA72" s="62" t="str">
        <f t="shared" si="42"/>
        <v/>
      </c>
      <c r="CD72" s="62" t="str">
        <f t="shared" si="43"/>
        <v/>
      </c>
    </row>
    <row r="73" spans="1:82" x14ac:dyDescent="0.3">
      <c r="A73" s="53" t="s">
        <v>123</v>
      </c>
      <c r="B73" s="49" t="s">
        <v>104</v>
      </c>
      <c r="C73" s="44" t="s">
        <v>38</v>
      </c>
      <c r="F73" s="62" t="str">
        <f t="shared" si="22"/>
        <v/>
      </c>
      <c r="J73" s="62" t="str">
        <f t="shared" si="23"/>
        <v/>
      </c>
      <c r="N73" s="62" t="str">
        <f t="shared" si="24"/>
        <v/>
      </c>
      <c r="R73" s="62" t="str">
        <f t="shared" si="25"/>
        <v/>
      </c>
      <c r="V73" s="62" t="str">
        <f t="shared" si="26"/>
        <v/>
      </c>
      <c r="Y73" s="62" t="str">
        <f t="shared" si="27"/>
        <v/>
      </c>
      <c r="AB73" s="62" t="str">
        <f t="shared" si="28"/>
        <v/>
      </c>
      <c r="AF73" s="62" t="str">
        <f t="shared" si="29"/>
        <v/>
      </c>
      <c r="AI73" s="62" t="str">
        <f t="shared" si="30"/>
        <v/>
      </c>
      <c r="AJ73" s="44" t="s">
        <v>38</v>
      </c>
      <c r="AK73" s="44">
        <v>850</v>
      </c>
      <c r="AL73" s="44">
        <v>2706</v>
      </c>
      <c r="AM73" s="62">
        <f t="shared" si="31"/>
        <v>3.1835294117647059</v>
      </c>
      <c r="AN73" s="44" t="s">
        <v>38</v>
      </c>
      <c r="AO73" s="44">
        <v>650</v>
      </c>
      <c r="AP73" s="44">
        <v>2031</v>
      </c>
      <c r="AQ73" s="62">
        <f t="shared" si="32"/>
        <v>3.1246153846153848</v>
      </c>
      <c r="AR73" s="44" t="s">
        <v>38</v>
      </c>
      <c r="AS73" s="44">
        <v>300</v>
      </c>
      <c r="AT73" s="44">
        <v>937</v>
      </c>
      <c r="AU73" s="62">
        <f t="shared" si="33"/>
        <v>3.1233333333333335</v>
      </c>
      <c r="AV73" s="44" t="s">
        <v>38</v>
      </c>
      <c r="AW73" s="44">
        <v>150</v>
      </c>
      <c r="AX73" s="44">
        <v>500</v>
      </c>
      <c r="AY73" s="62">
        <f t="shared" si="34"/>
        <v>3.3333333333333335</v>
      </c>
      <c r="AZ73" s="44" t="s">
        <v>38</v>
      </c>
      <c r="BA73" s="44">
        <v>225</v>
      </c>
      <c r="BB73" s="44">
        <v>750</v>
      </c>
      <c r="BC73" s="62">
        <f t="shared" si="35"/>
        <v>3.3333333333333335</v>
      </c>
      <c r="BD73" s="44">
        <v>85.5</v>
      </c>
      <c r="BE73" s="44">
        <v>285</v>
      </c>
      <c r="BF73" s="62">
        <f t="shared" si="36"/>
        <v>3.3333333333333335</v>
      </c>
      <c r="BG73" s="44" t="s">
        <v>38</v>
      </c>
      <c r="BH73" s="44">
        <v>188</v>
      </c>
      <c r="BI73" s="44">
        <v>332</v>
      </c>
      <c r="BJ73" s="62">
        <f t="shared" si="37"/>
        <v>1.7659574468085106</v>
      </c>
      <c r="BK73" s="44">
        <v>81</v>
      </c>
      <c r="BL73" s="44">
        <v>384</v>
      </c>
      <c r="BM73" s="62">
        <f t="shared" si="38"/>
        <v>4.7407407407407405</v>
      </c>
      <c r="BN73" s="44" t="s">
        <v>38</v>
      </c>
      <c r="BO73" s="44">
        <v>54</v>
      </c>
      <c r="BP73" s="44">
        <v>185</v>
      </c>
      <c r="BQ73" s="62">
        <f t="shared" si="39"/>
        <v>3.425925925925926</v>
      </c>
      <c r="BR73" s="44">
        <v>70.25</v>
      </c>
      <c r="BS73" s="44">
        <v>103</v>
      </c>
      <c r="BT73" s="62">
        <f t="shared" si="40"/>
        <v>1.4661921708185053</v>
      </c>
      <c r="BU73" s="44">
        <v>50</v>
      </c>
      <c r="BV73" s="44">
        <v>85</v>
      </c>
      <c r="BW73" s="62">
        <f t="shared" si="41"/>
        <v>1.7</v>
      </c>
      <c r="BX73" s="44" t="s">
        <v>38</v>
      </c>
      <c r="BY73" s="44">
        <v>86.75</v>
      </c>
      <c r="BZ73" s="44">
        <v>141</v>
      </c>
      <c r="CA73" s="62">
        <f t="shared" si="42"/>
        <v>1.6253602305475505</v>
      </c>
      <c r="CB73" s="44">
        <v>91.5</v>
      </c>
      <c r="CC73" s="44">
        <v>341</v>
      </c>
      <c r="CD73" s="62">
        <f t="shared" si="43"/>
        <v>3.7267759562841531</v>
      </c>
    </row>
    <row r="74" spans="1:82" x14ac:dyDescent="0.3">
      <c r="A74" s="53" t="s">
        <v>128</v>
      </c>
      <c r="B74" s="49" t="s">
        <v>104</v>
      </c>
      <c r="C74" s="44" t="s">
        <v>38</v>
      </c>
      <c r="F74" s="62" t="str">
        <f t="shared" si="22"/>
        <v/>
      </c>
      <c r="J74" s="62" t="str">
        <f t="shared" si="23"/>
        <v/>
      </c>
      <c r="N74" s="62" t="str">
        <f t="shared" si="24"/>
        <v/>
      </c>
      <c r="R74" s="62" t="str">
        <f t="shared" si="25"/>
        <v/>
      </c>
      <c r="V74" s="62" t="str">
        <f t="shared" si="26"/>
        <v/>
      </c>
      <c r="Y74" s="62" t="str">
        <f t="shared" si="27"/>
        <v/>
      </c>
      <c r="AB74" s="62" t="str">
        <f t="shared" si="28"/>
        <v/>
      </c>
      <c r="AF74" s="62" t="str">
        <f t="shared" si="29"/>
        <v/>
      </c>
      <c r="AI74" s="62" t="str">
        <f t="shared" si="30"/>
        <v/>
      </c>
      <c r="AJ74" s="44" t="s">
        <v>38</v>
      </c>
      <c r="AK74" s="44">
        <v>500</v>
      </c>
      <c r="AL74" s="44">
        <v>294</v>
      </c>
      <c r="AM74" s="62">
        <f t="shared" si="31"/>
        <v>0.58799999999999997</v>
      </c>
      <c r="AQ74" s="62" t="str">
        <f t="shared" si="32"/>
        <v/>
      </c>
      <c r="AU74" s="62" t="str">
        <f t="shared" si="33"/>
        <v/>
      </c>
      <c r="AY74" s="62" t="str">
        <f t="shared" si="34"/>
        <v/>
      </c>
      <c r="BC74" s="62" t="str">
        <f t="shared" si="35"/>
        <v/>
      </c>
      <c r="BF74" s="62" t="str">
        <f t="shared" si="36"/>
        <v/>
      </c>
      <c r="BG74" s="44" t="s">
        <v>38</v>
      </c>
      <c r="BH74" s="44">
        <v>122</v>
      </c>
      <c r="BI74" s="44">
        <v>220</v>
      </c>
      <c r="BJ74" s="62">
        <f t="shared" si="37"/>
        <v>1.8032786885245902</v>
      </c>
      <c r="BM74" s="62" t="str">
        <f t="shared" si="38"/>
        <v/>
      </c>
      <c r="BN74" s="44" t="s">
        <v>38</v>
      </c>
      <c r="BO74" s="44">
        <v>180</v>
      </c>
      <c r="BP74" s="44">
        <v>449</v>
      </c>
      <c r="BQ74" s="62">
        <f t="shared" si="39"/>
        <v>2.4944444444444445</v>
      </c>
      <c r="BR74" s="44">
        <v>91.5</v>
      </c>
      <c r="BS74" s="44">
        <v>188</v>
      </c>
      <c r="BT74" s="62">
        <f t="shared" si="40"/>
        <v>2.0546448087431695</v>
      </c>
      <c r="BU74" s="44">
        <v>189</v>
      </c>
      <c r="BV74" s="44">
        <v>320</v>
      </c>
      <c r="BW74" s="62">
        <f t="shared" si="41"/>
        <v>1.693121693121693</v>
      </c>
      <c r="BX74" s="44" t="s">
        <v>38</v>
      </c>
      <c r="BY74" s="44">
        <v>150</v>
      </c>
      <c r="BZ74" s="44">
        <v>452</v>
      </c>
      <c r="CA74" s="62">
        <f t="shared" si="42"/>
        <v>3.0133333333333332</v>
      </c>
      <c r="CB74" s="44">
        <v>70</v>
      </c>
      <c r="CC74" s="44">
        <v>242</v>
      </c>
      <c r="CD74" s="62">
        <f t="shared" si="43"/>
        <v>3.4571428571428573</v>
      </c>
    </row>
    <row r="75" spans="1:82" x14ac:dyDescent="0.3">
      <c r="A75" s="53" t="s">
        <v>125</v>
      </c>
      <c r="B75" s="49" t="s">
        <v>104</v>
      </c>
      <c r="C75" s="44" t="s">
        <v>38</v>
      </c>
      <c r="F75" s="62" t="str">
        <f t="shared" si="22"/>
        <v/>
      </c>
      <c r="J75" s="62" t="str">
        <f t="shared" si="23"/>
        <v/>
      </c>
      <c r="N75" s="62" t="str">
        <f t="shared" si="24"/>
        <v/>
      </c>
      <c r="R75" s="62" t="str">
        <f t="shared" si="25"/>
        <v/>
      </c>
      <c r="V75" s="62" t="str">
        <f t="shared" si="26"/>
        <v/>
      </c>
      <c r="Y75" s="62" t="str">
        <f t="shared" si="27"/>
        <v/>
      </c>
      <c r="AB75" s="62" t="str">
        <f t="shared" si="28"/>
        <v/>
      </c>
      <c r="AF75" s="62" t="str">
        <f t="shared" si="29"/>
        <v/>
      </c>
      <c r="AI75" s="62" t="str">
        <f t="shared" si="30"/>
        <v/>
      </c>
      <c r="AJ75" s="44" t="s">
        <v>38</v>
      </c>
      <c r="AK75" s="44">
        <v>100</v>
      </c>
      <c r="AL75" s="44">
        <v>118</v>
      </c>
      <c r="AM75" s="62">
        <f t="shared" si="31"/>
        <v>1.18</v>
      </c>
      <c r="AN75" s="44" t="s">
        <v>38</v>
      </c>
      <c r="AO75" s="44">
        <v>200</v>
      </c>
      <c r="AP75" s="44">
        <v>250</v>
      </c>
      <c r="AQ75" s="62">
        <f t="shared" si="32"/>
        <v>1.25</v>
      </c>
      <c r="AR75" s="44" t="s">
        <v>38</v>
      </c>
      <c r="AS75" s="44">
        <v>150</v>
      </c>
      <c r="AT75" s="44">
        <v>188</v>
      </c>
      <c r="AU75" s="62">
        <f t="shared" si="33"/>
        <v>1.2533333333333334</v>
      </c>
      <c r="AV75" s="44" t="s">
        <v>38</v>
      </c>
      <c r="AW75" s="44">
        <v>99</v>
      </c>
      <c r="AX75" s="44">
        <v>231</v>
      </c>
      <c r="AY75" s="62">
        <f t="shared" si="34"/>
        <v>2.3333333333333335</v>
      </c>
      <c r="AZ75" s="44" t="s">
        <v>38</v>
      </c>
      <c r="BA75" s="44">
        <v>80</v>
      </c>
      <c r="BB75" s="44">
        <v>186</v>
      </c>
      <c r="BC75" s="62">
        <f t="shared" si="35"/>
        <v>2.3250000000000002</v>
      </c>
      <c r="BF75" s="62" t="str">
        <f t="shared" si="36"/>
        <v/>
      </c>
      <c r="BG75" s="44" t="s">
        <v>38</v>
      </c>
      <c r="BH75" s="44">
        <v>14</v>
      </c>
      <c r="BI75" s="44">
        <v>14</v>
      </c>
      <c r="BJ75" s="62">
        <f t="shared" si="37"/>
        <v>1</v>
      </c>
      <c r="BK75" s="44">
        <v>169</v>
      </c>
      <c r="BL75" s="44">
        <v>493</v>
      </c>
      <c r="BM75" s="62">
        <f t="shared" si="38"/>
        <v>2.9171597633136095</v>
      </c>
      <c r="BQ75" s="62" t="str">
        <f t="shared" si="39"/>
        <v/>
      </c>
      <c r="BT75" s="62" t="str">
        <f t="shared" si="40"/>
        <v/>
      </c>
      <c r="BW75" s="62" t="str">
        <f t="shared" si="41"/>
        <v/>
      </c>
      <c r="CA75" s="62" t="str">
        <f t="shared" si="42"/>
        <v/>
      </c>
      <c r="CD75" s="62" t="str">
        <f t="shared" si="43"/>
        <v/>
      </c>
    </row>
    <row r="76" spans="1:82" x14ac:dyDescent="0.3">
      <c r="A76" s="53" t="s">
        <v>122</v>
      </c>
      <c r="B76" s="49" t="s">
        <v>104</v>
      </c>
      <c r="C76" s="44" t="s">
        <v>38</v>
      </c>
      <c r="F76" s="62" t="str">
        <f t="shared" si="22"/>
        <v/>
      </c>
      <c r="J76" s="62" t="str">
        <f t="shared" si="23"/>
        <v/>
      </c>
      <c r="N76" s="62" t="str">
        <f t="shared" si="24"/>
        <v/>
      </c>
      <c r="R76" s="62" t="str">
        <f t="shared" si="25"/>
        <v/>
      </c>
      <c r="V76" s="62" t="str">
        <f t="shared" si="26"/>
        <v/>
      </c>
      <c r="Y76" s="62" t="str">
        <f t="shared" si="27"/>
        <v/>
      </c>
      <c r="AB76" s="62" t="str">
        <f t="shared" si="28"/>
        <v/>
      </c>
      <c r="AF76" s="62" t="str">
        <f t="shared" si="29"/>
        <v/>
      </c>
      <c r="AI76" s="62" t="str">
        <f t="shared" si="30"/>
        <v/>
      </c>
      <c r="AJ76" s="44" t="s">
        <v>38</v>
      </c>
      <c r="AK76" s="44">
        <v>2000</v>
      </c>
      <c r="AL76" s="44">
        <v>1176</v>
      </c>
      <c r="AM76" s="62">
        <f t="shared" si="31"/>
        <v>0.58799999999999997</v>
      </c>
      <c r="AN76" s="44" t="s">
        <v>38</v>
      </c>
      <c r="AO76" s="44">
        <v>1500</v>
      </c>
      <c r="AP76" s="44">
        <v>937</v>
      </c>
      <c r="AQ76" s="62">
        <f t="shared" si="32"/>
        <v>0.6246666666666667</v>
      </c>
      <c r="AR76" s="44" t="s">
        <v>38</v>
      </c>
      <c r="AS76" s="44">
        <v>600</v>
      </c>
      <c r="AT76" s="44">
        <v>375</v>
      </c>
      <c r="AU76" s="62">
        <f t="shared" si="33"/>
        <v>0.625</v>
      </c>
      <c r="AV76" s="44" t="s">
        <v>38</v>
      </c>
      <c r="AW76" s="44">
        <v>3000</v>
      </c>
      <c r="AX76" s="44">
        <v>2000</v>
      </c>
      <c r="AY76" s="62">
        <f t="shared" si="34"/>
        <v>0.66666666666666663</v>
      </c>
      <c r="AZ76" s="44" t="s">
        <v>38</v>
      </c>
      <c r="BA76" s="44">
        <v>3500</v>
      </c>
      <c r="BB76" s="44">
        <v>2333</v>
      </c>
      <c r="BC76" s="62">
        <f t="shared" si="35"/>
        <v>0.66657142857142859</v>
      </c>
      <c r="BD76" s="44">
        <v>2626</v>
      </c>
      <c r="BE76" s="44">
        <v>1751</v>
      </c>
      <c r="BF76" s="62">
        <f t="shared" si="36"/>
        <v>0.66679360243716679</v>
      </c>
      <c r="BG76" s="44" t="s">
        <v>38</v>
      </c>
      <c r="BH76" s="44">
        <v>566</v>
      </c>
      <c r="BI76" s="44">
        <v>234</v>
      </c>
      <c r="BJ76" s="62">
        <f t="shared" si="37"/>
        <v>0.41342756183745583</v>
      </c>
      <c r="BK76" s="44">
        <v>1282</v>
      </c>
      <c r="BL76" s="44">
        <v>1104</v>
      </c>
      <c r="BM76" s="62">
        <f t="shared" si="38"/>
        <v>0.86115444617784709</v>
      </c>
      <c r="BN76" s="44" t="s">
        <v>38</v>
      </c>
      <c r="BO76" s="44">
        <v>1290</v>
      </c>
      <c r="BP76" s="44">
        <v>1146</v>
      </c>
      <c r="BQ76" s="62">
        <f t="shared" si="39"/>
        <v>0.88837209302325582</v>
      </c>
      <c r="BR76" s="44">
        <v>621.25</v>
      </c>
      <c r="BS76" s="44">
        <v>517</v>
      </c>
      <c r="BT76" s="62">
        <f t="shared" si="40"/>
        <v>0.83219315895372237</v>
      </c>
      <c r="BU76" s="44">
        <v>1128</v>
      </c>
      <c r="BV76" s="44">
        <v>790</v>
      </c>
      <c r="BW76" s="62">
        <f t="shared" si="41"/>
        <v>0.70035460992907805</v>
      </c>
      <c r="BX76" s="44" t="s">
        <v>38</v>
      </c>
      <c r="BY76" s="44">
        <v>1430.75</v>
      </c>
      <c r="BZ76" s="44">
        <v>1204</v>
      </c>
      <c r="CA76" s="62">
        <f t="shared" si="42"/>
        <v>0.84151668705224536</v>
      </c>
      <c r="CB76" s="44">
        <v>1245</v>
      </c>
      <c r="CC76" s="44">
        <v>1014</v>
      </c>
      <c r="CD76" s="62">
        <f t="shared" si="43"/>
        <v>0.81445783132530125</v>
      </c>
    </row>
    <row r="77" spans="1:82" x14ac:dyDescent="0.3">
      <c r="A77" s="53" t="s">
        <v>124</v>
      </c>
      <c r="B77" s="49" t="s">
        <v>104</v>
      </c>
      <c r="C77" s="44" t="s">
        <v>38</v>
      </c>
      <c r="F77" s="62" t="str">
        <f t="shared" si="22"/>
        <v/>
      </c>
      <c r="J77" s="62" t="str">
        <f t="shared" si="23"/>
        <v/>
      </c>
      <c r="N77" s="62" t="str">
        <f t="shared" si="24"/>
        <v/>
      </c>
      <c r="R77" s="62" t="str">
        <f t="shared" si="25"/>
        <v/>
      </c>
      <c r="V77" s="62" t="str">
        <f t="shared" si="26"/>
        <v/>
      </c>
      <c r="Y77" s="62" t="str">
        <f t="shared" si="27"/>
        <v/>
      </c>
      <c r="AB77" s="62" t="str">
        <f t="shared" si="28"/>
        <v/>
      </c>
      <c r="AF77" s="62" t="str">
        <f t="shared" si="29"/>
        <v/>
      </c>
      <c r="AI77" s="62" t="str">
        <f t="shared" si="30"/>
        <v/>
      </c>
      <c r="AJ77" s="44" t="s">
        <v>38</v>
      </c>
      <c r="AM77" s="62" t="str">
        <f t="shared" si="31"/>
        <v/>
      </c>
      <c r="AN77" s="44" t="s">
        <v>38</v>
      </c>
      <c r="AO77" s="44">
        <v>12.5</v>
      </c>
      <c r="AP77" s="44">
        <v>31</v>
      </c>
      <c r="AQ77" s="62">
        <f t="shared" si="32"/>
        <v>2.48</v>
      </c>
      <c r="AR77" s="44" t="s">
        <v>38</v>
      </c>
      <c r="AS77" s="44">
        <v>6</v>
      </c>
      <c r="AT77" s="44">
        <v>15</v>
      </c>
      <c r="AU77" s="62">
        <f t="shared" si="33"/>
        <v>2.5</v>
      </c>
      <c r="AV77" s="44" t="s">
        <v>38</v>
      </c>
      <c r="AW77" s="44">
        <v>10.5</v>
      </c>
      <c r="AX77" s="44">
        <v>28</v>
      </c>
      <c r="AY77" s="62">
        <f t="shared" si="34"/>
        <v>2.6666666666666665</v>
      </c>
      <c r="AZ77" s="44" t="s">
        <v>38</v>
      </c>
      <c r="BA77" s="44">
        <v>15</v>
      </c>
      <c r="BB77" s="44">
        <v>40</v>
      </c>
      <c r="BC77" s="62">
        <f t="shared" si="35"/>
        <v>2.6666666666666665</v>
      </c>
      <c r="BF77" s="62" t="str">
        <f t="shared" si="36"/>
        <v/>
      </c>
      <c r="BJ77" s="62" t="str">
        <f t="shared" si="37"/>
        <v/>
      </c>
      <c r="BM77" s="62" t="str">
        <f t="shared" si="38"/>
        <v/>
      </c>
      <c r="BQ77" s="62" t="str">
        <f t="shared" si="39"/>
        <v/>
      </c>
      <c r="BT77" s="62" t="str">
        <f t="shared" si="40"/>
        <v/>
      </c>
      <c r="BW77" s="62" t="str">
        <f t="shared" si="41"/>
        <v/>
      </c>
      <c r="CA77" s="62" t="str">
        <f t="shared" si="42"/>
        <v/>
      </c>
      <c r="CD77" s="62" t="str">
        <f t="shared" si="43"/>
        <v/>
      </c>
    </row>
    <row r="78" spans="1:82" x14ac:dyDescent="0.3">
      <c r="A78" s="53" t="s">
        <v>250</v>
      </c>
      <c r="B78" s="49" t="s">
        <v>104</v>
      </c>
      <c r="C78" s="44" t="s">
        <v>38</v>
      </c>
      <c r="F78" s="62" t="str">
        <f t="shared" si="22"/>
        <v/>
      </c>
      <c r="J78" s="62" t="str">
        <f t="shared" si="23"/>
        <v/>
      </c>
      <c r="N78" s="62" t="str">
        <f t="shared" si="24"/>
        <v/>
      </c>
      <c r="R78" s="62" t="str">
        <f t="shared" si="25"/>
        <v/>
      </c>
      <c r="V78" s="62" t="str">
        <f t="shared" si="26"/>
        <v/>
      </c>
      <c r="Y78" s="62" t="str">
        <f t="shared" si="27"/>
        <v/>
      </c>
      <c r="AB78" s="62" t="str">
        <f t="shared" si="28"/>
        <v/>
      </c>
      <c r="AF78" s="62" t="str">
        <f t="shared" si="29"/>
        <v/>
      </c>
      <c r="AI78" s="62" t="str">
        <f t="shared" si="30"/>
        <v/>
      </c>
      <c r="AJ78" s="44" t="s">
        <v>38</v>
      </c>
      <c r="AK78" s="44">
        <v>1000</v>
      </c>
      <c r="AL78" s="44">
        <v>724</v>
      </c>
      <c r="AM78" s="62">
        <f t="shared" si="31"/>
        <v>0.72399999999999998</v>
      </c>
      <c r="AN78" s="44" t="s">
        <v>38</v>
      </c>
      <c r="AO78" s="44">
        <v>600</v>
      </c>
      <c r="AP78" s="44">
        <v>375</v>
      </c>
      <c r="AQ78" s="62">
        <f t="shared" si="32"/>
        <v>0.625</v>
      </c>
      <c r="AR78" s="44" t="s">
        <v>38</v>
      </c>
      <c r="AS78" s="44">
        <v>400</v>
      </c>
      <c r="AT78" s="44">
        <v>250</v>
      </c>
      <c r="AU78" s="62">
        <f t="shared" si="33"/>
        <v>0.625</v>
      </c>
      <c r="AV78" s="44" t="s">
        <v>38</v>
      </c>
      <c r="AW78" s="44">
        <v>300</v>
      </c>
      <c r="AX78" s="44">
        <v>200</v>
      </c>
      <c r="AY78" s="62">
        <f t="shared" si="34"/>
        <v>0.66666666666666663</v>
      </c>
      <c r="AZ78" s="44" t="s">
        <v>38</v>
      </c>
      <c r="BA78" s="44">
        <v>200</v>
      </c>
      <c r="BB78" s="44">
        <v>134</v>
      </c>
      <c r="BC78" s="62">
        <f t="shared" si="35"/>
        <v>0.67</v>
      </c>
      <c r="BD78" s="44">
        <v>157</v>
      </c>
      <c r="BE78" s="44">
        <v>105</v>
      </c>
      <c r="BF78" s="62">
        <f t="shared" si="36"/>
        <v>0.66878980891719741</v>
      </c>
      <c r="BG78" s="44" t="s">
        <v>38</v>
      </c>
      <c r="BH78" s="44">
        <v>186</v>
      </c>
      <c r="BI78" s="44">
        <v>376</v>
      </c>
      <c r="BJ78" s="62">
        <f t="shared" si="37"/>
        <v>2.021505376344086</v>
      </c>
      <c r="BK78" s="44">
        <v>70</v>
      </c>
      <c r="BL78" s="44">
        <v>75</v>
      </c>
      <c r="BM78" s="62">
        <f t="shared" si="38"/>
        <v>1.0714285714285714</v>
      </c>
      <c r="BN78" s="44" t="s">
        <v>38</v>
      </c>
      <c r="BO78" s="44">
        <v>52</v>
      </c>
      <c r="BP78" s="44">
        <v>41</v>
      </c>
      <c r="BQ78" s="62">
        <f t="shared" si="39"/>
        <v>0.78846153846153844</v>
      </c>
      <c r="BR78" s="44">
        <v>11.5</v>
      </c>
      <c r="BS78" s="44">
        <v>7</v>
      </c>
      <c r="BT78" s="62">
        <f t="shared" si="40"/>
        <v>0.60869565217391308</v>
      </c>
      <c r="BU78" s="44">
        <v>1</v>
      </c>
      <c r="BV78" s="44">
        <v>21</v>
      </c>
      <c r="BW78" s="62">
        <f t="shared" si="41"/>
        <v>21</v>
      </c>
      <c r="BX78" s="44" t="s">
        <v>38</v>
      </c>
      <c r="BY78" s="44">
        <v>8.75</v>
      </c>
      <c r="BZ78" s="44">
        <v>145</v>
      </c>
      <c r="CA78" s="62">
        <f t="shared" si="42"/>
        <v>16.571428571428573</v>
      </c>
      <c r="CB78" s="44">
        <v>102</v>
      </c>
      <c r="CC78" s="44">
        <v>152</v>
      </c>
      <c r="CD78" s="62">
        <f t="shared" si="43"/>
        <v>1.4901960784313726</v>
      </c>
    </row>
    <row r="79" spans="1:82" x14ac:dyDescent="0.3">
      <c r="A79" s="49" t="s">
        <v>251</v>
      </c>
      <c r="B79" s="49" t="s">
        <v>104</v>
      </c>
      <c r="C79" s="44" t="s">
        <v>38</v>
      </c>
      <c r="D79" s="44">
        <v>521</v>
      </c>
      <c r="E79" s="44">
        <v>1179</v>
      </c>
      <c r="F79" s="62">
        <f t="shared" si="22"/>
        <v>2.2629558541266794</v>
      </c>
      <c r="G79" s="44" t="s">
        <v>38</v>
      </c>
      <c r="H79" s="44">
        <v>371</v>
      </c>
      <c r="I79" s="44">
        <v>1040</v>
      </c>
      <c r="J79" s="62">
        <f t="shared" si="23"/>
        <v>2.8032345013477089</v>
      </c>
      <c r="K79" s="44" t="s">
        <v>38</v>
      </c>
      <c r="L79" s="44">
        <v>200</v>
      </c>
      <c r="M79" s="44">
        <v>957</v>
      </c>
      <c r="N79" s="62">
        <f t="shared" si="24"/>
        <v>4.7850000000000001</v>
      </c>
      <c r="O79" s="44" t="s">
        <v>38</v>
      </c>
      <c r="P79" s="44">
        <v>257</v>
      </c>
      <c r="Q79" s="44">
        <v>1385</v>
      </c>
      <c r="R79" s="62">
        <f t="shared" si="25"/>
        <v>5.3891050583657591</v>
      </c>
      <c r="S79" s="44" t="s">
        <v>38</v>
      </c>
      <c r="T79" s="44">
        <v>630</v>
      </c>
      <c r="U79" s="44">
        <v>1500</v>
      </c>
      <c r="V79" s="62">
        <f t="shared" si="26"/>
        <v>2.3809523809523809</v>
      </c>
      <c r="W79" s="44">
        <v>500</v>
      </c>
      <c r="X79" s="44">
        <v>1087</v>
      </c>
      <c r="Y79" s="62">
        <f t="shared" si="27"/>
        <v>2.1739999999999999</v>
      </c>
      <c r="Z79" s="44">
        <v>500</v>
      </c>
      <c r="AA79" s="44">
        <v>997</v>
      </c>
      <c r="AB79" s="62">
        <f t="shared" si="28"/>
        <v>1.994</v>
      </c>
      <c r="AC79" s="44" t="s">
        <v>38</v>
      </c>
      <c r="AD79" s="44">
        <v>550</v>
      </c>
      <c r="AE79" s="44">
        <v>1017</v>
      </c>
      <c r="AF79" s="62">
        <f t="shared" si="29"/>
        <v>1.8490909090909091</v>
      </c>
      <c r="AG79" s="44">
        <v>3150</v>
      </c>
      <c r="AH79" s="44">
        <v>800</v>
      </c>
      <c r="AI79" s="62">
        <f t="shared" si="30"/>
        <v>0.25396825396825395</v>
      </c>
      <c r="AM79" s="62" t="str">
        <f t="shared" si="31"/>
        <v/>
      </c>
      <c r="AQ79" s="62" t="str">
        <f t="shared" si="32"/>
        <v/>
      </c>
      <c r="AU79" s="62" t="str">
        <f t="shared" si="33"/>
        <v/>
      </c>
      <c r="AY79" s="62" t="str">
        <f t="shared" si="34"/>
        <v/>
      </c>
      <c r="BC79" s="62" t="str">
        <f t="shared" si="35"/>
        <v/>
      </c>
      <c r="BF79" s="62" t="str">
        <f t="shared" si="36"/>
        <v/>
      </c>
      <c r="BJ79" s="62" t="str">
        <f t="shared" si="37"/>
        <v/>
      </c>
      <c r="BM79" s="62" t="str">
        <f t="shared" si="38"/>
        <v/>
      </c>
      <c r="BQ79" s="62" t="str">
        <f t="shared" si="39"/>
        <v/>
      </c>
      <c r="BT79" s="62" t="str">
        <f t="shared" si="40"/>
        <v/>
      </c>
      <c r="BW79" s="62" t="str">
        <f t="shared" si="41"/>
        <v/>
      </c>
      <c r="CA79" s="62" t="str">
        <f t="shared" si="42"/>
        <v/>
      </c>
      <c r="CD79" s="62" t="str">
        <f t="shared" si="43"/>
        <v/>
      </c>
    </row>
    <row r="80" spans="1:82" x14ac:dyDescent="0.3">
      <c r="A80" s="49" t="s">
        <v>61</v>
      </c>
      <c r="B80" s="49" t="s">
        <v>104</v>
      </c>
      <c r="C80" s="44" t="s">
        <v>38</v>
      </c>
      <c r="F80" s="62" t="str">
        <f t="shared" si="22"/>
        <v/>
      </c>
      <c r="J80" s="62" t="str">
        <f t="shared" si="23"/>
        <v/>
      </c>
      <c r="N80" s="62" t="str">
        <f t="shared" si="24"/>
        <v/>
      </c>
      <c r="R80" s="62" t="str">
        <f t="shared" si="25"/>
        <v/>
      </c>
      <c r="V80" s="62" t="str">
        <f t="shared" si="26"/>
        <v/>
      </c>
      <c r="Y80" s="62" t="str">
        <f t="shared" si="27"/>
        <v/>
      </c>
      <c r="AB80" s="62" t="str">
        <f t="shared" si="28"/>
        <v/>
      </c>
      <c r="AF80" s="62" t="str">
        <f t="shared" si="29"/>
        <v/>
      </c>
      <c r="AI80" s="62" t="str">
        <f t="shared" si="30"/>
        <v/>
      </c>
      <c r="AM80" s="62" t="str">
        <f t="shared" si="31"/>
        <v/>
      </c>
      <c r="AQ80" s="62" t="str">
        <f t="shared" si="32"/>
        <v/>
      </c>
      <c r="AU80" s="62" t="str">
        <f t="shared" si="33"/>
        <v/>
      </c>
      <c r="AY80" s="62" t="str">
        <f t="shared" si="34"/>
        <v/>
      </c>
      <c r="BC80" s="62" t="str">
        <f t="shared" si="35"/>
        <v/>
      </c>
      <c r="BF80" s="62" t="str">
        <f t="shared" si="36"/>
        <v/>
      </c>
      <c r="BJ80" s="62" t="str">
        <f t="shared" si="37"/>
        <v/>
      </c>
      <c r="BM80" s="62" t="str">
        <f t="shared" si="38"/>
        <v/>
      </c>
      <c r="BN80" s="44" t="s">
        <v>38</v>
      </c>
      <c r="BQ80" s="62" t="str">
        <f t="shared" si="39"/>
        <v/>
      </c>
      <c r="BT80" s="62" t="str">
        <f t="shared" si="40"/>
        <v/>
      </c>
      <c r="BU80" s="44">
        <v>8</v>
      </c>
      <c r="BV80" s="44">
        <v>30</v>
      </c>
      <c r="BW80" s="62">
        <f t="shared" si="41"/>
        <v>3.75</v>
      </c>
      <c r="BX80" s="44" t="s">
        <v>38</v>
      </c>
      <c r="CA80" s="62" t="str">
        <f t="shared" si="42"/>
        <v/>
      </c>
      <c r="CB80" s="44">
        <v>0.25</v>
      </c>
      <c r="CC80" s="44">
        <v>11</v>
      </c>
      <c r="CD80" s="62">
        <f t="shared" si="43"/>
        <v>44</v>
      </c>
    </row>
    <row r="81" spans="1:82" x14ac:dyDescent="0.3">
      <c r="A81" s="52" t="s">
        <v>21</v>
      </c>
      <c r="B81" s="49" t="s">
        <v>104</v>
      </c>
      <c r="C81" s="44" t="s">
        <v>38</v>
      </c>
      <c r="D81" s="44">
        <v>6579</v>
      </c>
      <c r="E81" s="44">
        <v>4071</v>
      </c>
      <c r="F81" s="62">
        <f t="shared" si="22"/>
        <v>0.61878704970360232</v>
      </c>
      <c r="J81" s="62" t="str">
        <f t="shared" si="23"/>
        <v/>
      </c>
      <c r="K81" s="44" t="s">
        <v>38</v>
      </c>
      <c r="L81" s="44">
        <v>8574</v>
      </c>
      <c r="M81" s="44">
        <v>4690</v>
      </c>
      <c r="N81" s="62">
        <f t="shared" si="24"/>
        <v>0.54700256589689755</v>
      </c>
      <c r="O81" s="44" t="s">
        <v>38</v>
      </c>
      <c r="P81" s="44">
        <v>13000</v>
      </c>
      <c r="Q81" s="44">
        <v>8000</v>
      </c>
      <c r="R81" s="62">
        <f t="shared" si="25"/>
        <v>0.61538461538461542</v>
      </c>
      <c r="S81" s="44" t="s">
        <v>38</v>
      </c>
      <c r="T81" s="44">
        <v>8333</v>
      </c>
      <c r="U81" s="44">
        <v>3714</v>
      </c>
      <c r="V81" s="62">
        <f t="shared" si="26"/>
        <v>0.44569782791311652</v>
      </c>
      <c r="W81" s="44">
        <v>5500</v>
      </c>
      <c r="X81" s="44">
        <v>3652</v>
      </c>
      <c r="Y81" s="62">
        <f t="shared" si="27"/>
        <v>0.66400000000000003</v>
      </c>
      <c r="Z81" s="44">
        <v>5300</v>
      </c>
      <c r="AA81" s="44">
        <v>3231</v>
      </c>
      <c r="AB81" s="62">
        <f t="shared" si="28"/>
        <v>0.60962264150943402</v>
      </c>
      <c r="AC81" s="44" t="s">
        <v>38</v>
      </c>
      <c r="AD81" s="44">
        <v>5500</v>
      </c>
      <c r="AE81" s="44">
        <v>3110</v>
      </c>
      <c r="AF81" s="62">
        <f t="shared" si="29"/>
        <v>0.56545454545454543</v>
      </c>
      <c r="AG81" s="44">
        <v>4600</v>
      </c>
      <c r="AH81" s="44">
        <v>2733</v>
      </c>
      <c r="AI81" s="62">
        <f t="shared" si="30"/>
        <v>0.59413043478260874</v>
      </c>
      <c r="AM81" s="62" t="str">
        <f t="shared" si="31"/>
        <v/>
      </c>
      <c r="AQ81" s="62" t="str">
        <f t="shared" si="32"/>
        <v/>
      </c>
      <c r="AU81" s="62" t="str">
        <f t="shared" si="33"/>
        <v/>
      </c>
      <c r="AY81" s="62" t="str">
        <f t="shared" si="34"/>
        <v/>
      </c>
      <c r="BC81" s="62" t="str">
        <f t="shared" si="35"/>
        <v/>
      </c>
      <c r="BF81" s="62" t="str">
        <f t="shared" si="36"/>
        <v/>
      </c>
      <c r="BJ81" s="62" t="str">
        <f t="shared" si="37"/>
        <v/>
      </c>
      <c r="BM81" s="62" t="str">
        <f t="shared" si="38"/>
        <v/>
      </c>
      <c r="BQ81" s="62" t="str">
        <f t="shared" si="39"/>
        <v/>
      </c>
      <c r="BT81" s="62" t="str">
        <f t="shared" si="40"/>
        <v/>
      </c>
      <c r="BW81" s="62" t="str">
        <f t="shared" si="41"/>
        <v/>
      </c>
      <c r="CA81" s="62" t="str">
        <f t="shared" si="42"/>
        <v/>
      </c>
      <c r="CD81" s="62" t="str">
        <f t="shared" si="43"/>
        <v/>
      </c>
    </row>
    <row r="82" spans="1:82" x14ac:dyDescent="0.3">
      <c r="A82" s="49" t="s">
        <v>347</v>
      </c>
      <c r="B82" s="49" t="s">
        <v>104</v>
      </c>
      <c r="C82" s="44" t="s">
        <v>38</v>
      </c>
      <c r="F82" s="62" t="str">
        <f t="shared" si="22"/>
        <v/>
      </c>
      <c r="J82" s="62" t="str">
        <f t="shared" si="23"/>
        <v/>
      </c>
      <c r="N82" s="62" t="str">
        <f t="shared" si="24"/>
        <v/>
      </c>
      <c r="R82" s="62" t="str">
        <f t="shared" si="25"/>
        <v/>
      </c>
      <c r="V82" s="62" t="str">
        <f t="shared" si="26"/>
        <v/>
      </c>
      <c r="Y82" s="62" t="str">
        <f t="shared" si="27"/>
        <v/>
      </c>
      <c r="AB82" s="62" t="str">
        <f t="shared" si="28"/>
        <v/>
      </c>
      <c r="AF82" s="62" t="str">
        <f t="shared" si="29"/>
        <v/>
      </c>
      <c r="AI82" s="62" t="str">
        <f t="shared" si="30"/>
        <v/>
      </c>
      <c r="AJ82" s="44" t="s">
        <v>38</v>
      </c>
      <c r="AK82" s="44">
        <v>4500</v>
      </c>
      <c r="AL82" s="44">
        <v>1853</v>
      </c>
      <c r="AM82" s="62">
        <f t="shared" si="31"/>
        <v>0.4117777777777778</v>
      </c>
      <c r="AN82" s="44" t="s">
        <v>38</v>
      </c>
      <c r="AO82" s="44">
        <v>9000</v>
      </c>
      <c r="AP82" s="44">
        <v>3375</v>
      </c>
      <c r="AQ82" s="62">
        <f t="shared" si="32"/>
        <v>0.375</v>
      </c>
      <c r="AR82" s="44" t="s">
        <v>38</v>
      </c>
      <c r="AS82" s="44">
        <v>11250</v>
      </c>
      <c r="AT82" s="44">
        <v>2813</v>
      </c>
      <c r="AU82" s="62">
        <f t="shared" si="33"/>
        <v>0.25004444444444446</v>
      </c>
      <c r="AV82" s="44" t="s">
        <v>38</v>
      </c>
      <c r="AW82" s="44">
        <v>8999</v>
      </c>
      <c r="AX82" s="44">
        <v>2400</v>
      </c>
      <c r="AY82" s="62">
        <f t="shared" si="34"/>
        <v>0.26669629958884322</v>
      </c>
      <c r="AZ82" s="44" t="s">
        <v>38</v>
      </c>
      <c r="BA82" s="44">
        <v>5600</v>
      </c>
      <c r="BB82" s="44">
        <v>1867</v>
      </c>
      <c r="BC82" s="62">
        <f t="shared" si="35"/>
        <v>0.33339285714285716</v>
      </c>
      <c r="BD82" s="44">
        <v>5415</v>
      </c>
      <c r="BE82" s="44">
        <v>1986</v>
      </c>
      <c r="BF82" s="62">
        <f t="shared" si="36"/>
        <v>0.36675900277008311</v>
      </c>
      <c r="BG82" s="44" t="s">
        <v>38</v>
      </c>
      <c r="BH82" s="44">
        <v>5217</v>
      </c>
      <c r="BI82" s="44">
        <v>3713</v>
      </c>
      <c r="BJ82" s="62">
        <f t="shared" si="37"/>
        <v>0.71171171171171166</v>
      </c>
      <c r="BK82" s="44">
        <v>6043</v>
      </c>
      <c r="BL82" s="44">
        <v>2772</v>
      </c>
      <c r="BM82" s="62">
        <f t="shared" si="38"/>
        <v>0.45871255998676153</v>
      </c>
      <c r="BN82" s="44" t="s">
        <v>38</v>
      </c>
      <c r="BO82" s="44">
        <v>3695</v>
      </c>
      <c r="BP82" s="44">
        <v>1073</v>
      </c>
      <c r="BQ82" s="62">
        <f t="shared" si="39"/>
        <v>0.29039242219215156</v>
      </c>
      <c r="BR82" s="44">
        <v>4754.5</v>
      </c>
      <c r="BS82" s="44">
        <v>2127</v>
      </c>
      <c r="BT82" s="62">
        <f t="shared" si="40"/>
        <v>0.44736565359133451</v>
      </c>
      <c r="BU82" s="44">
        <v>5899</v>
      </c>
      <c r="BV82" s="44">
        <v>2707</v>
      </c>
      <c r="BW82" s="62">
        <f t="shared" si="41"/>
        <v>0.45889133751483302</v>
      </c>
      <c r="BX82" s="44" t="s">
        <v>38</v>
      </c>
      <c r="BY82" s="44">
        <v>3771.75</v>
      </c>
      <c r="BZ82" s="44">
        <v>1521</v>
      </c>
      <c r="CA82" s="62">
        <f t="shared" si="42"/>
        <v>0.40326108570292307</v>
      </c>
      <c r="CB82" s="44">
        <v>7403</v>
      </c>
      <c r="CC82" s="44">
        <v>3295</v>
      </c>
      <c r="CD82" s="62">
        <f t="shared" si="43"/>
        <v>0.44508982844792649</v>
      </c>
    </row>
    <row r="83" spans="1:82" x14ac:dyDescent="0.3">
      <c r="A83" s="49" t="s">
        <v>259</v>
      </c>
      <c r="B83" s="49" t="s">
        <v>104</v>
      </c>
      <c r="C83" s="44" t="s">
        <v>38</v>
      </c>
      <c r="F83" s="62" t="str">
        <f t="shared" si="22"/>
        <v/>
      </c>
      <c r="J83" s="62" t="str">
        <f t="shared" si="23"/>
        <v/>
      </c>
      <c r="N83" s="62" t="str">
        <f t="shared" si="24"/>
        <v/>
      </c>
      <c r="R83" s="62" t="str">
        <f t="shared" si="25"/>
        <v/>
      </c>
      <c r="V83" s="62" t="str">
        <f t="shared" si="26"/>
        <v/>
      </c>
      <c r="Y83" s="62" t="str">
        <f t="shared" si="27"/>
        <v/>
      </c>
      <c r="AB83" s="62" t="str">
        <f t="shared" si="28"/>
        <v/>
      </c>
      <c r="AF83" s="62" t="str">
        <f t="shared" si="29"/>
        <v/>
      </c>
      <c r="AI83" s="62" t="str">
        <f t="shared" si="30"/>
        <v/>
      </c>
      <c r="AJ83" s="44" t="s">
        <v>38</v>
      </c>
      <c r="AK83" s="44">
        <v>800</v>
      </c>
      <c r="AL83" s="44">
        <v>847</v>
      </c>
      <c r="AM83" s="62">
        <f t="shared" si="31"/>
        <v>1.0587500000000001</v>
      </c>
      <c r="AN83" s="44" t="s">
        <v>38</v>
      </c>
      <c r="AO83" s="44">
        <v>1200</v>
      </c>
      <c r="AP83" s="44">
        <v>1500</v>
      </c>
      <c r="AQ83" s="62">
        <f t="shared" si="32"/>
        <v>1.25</v>
      </c>
      <c r="AR83" s="44" t="s">
        <v>38</v>
      </c>
      <c r="AS83" s="44">
        <v>800</v>
      </c>
      <c r="AT83" s="44">
        <v>800</v>
      </c>
      <c r="AU83" s="62">
        <f t="shared" si="33"/>
        <v>1</v>
      </c>
      <c r="AV83" s="44" t="s">
        <v>38</v>
      </c>
      <c r="AW83" s="44">
        <v>1000</v>
      </c>
      <c r="AX83" s="44">
        <v>1133</v>
      </c>
      <c r="AY83" s="62">
        <f t="shared" si="34"/>
        <v>1.133</v>
      </c>
      <c r="AZ83" s="44" t="s">
        <v>38</v>
      </c>
      <c r="BA83" s="44">
        <v>800</v>
      </c>
      <c r="BB83" s="44">
        <v>906</v>
      </c>
      <c r="BC83" s="62">
        <f t="shared" si="35"/>
        <v>1.1325000000000001</v>
      </c>
      <c r="BD83" s="44">
        <v>400</v>
      </c>
      <c r="BE83" s="44">
        <v>453</v>
      </c>
      <c r="BF83" s="62">
        <f t="shared" si="36"/>
        <v>1.1325000000000001</v>
      </c>
      <c r="BG83" s="44" t="s">
        <v>38</v>
      </c>
      <c r="BH83" s="44">
        <v>587</v>
      </c>
      <c r="BI83" s="44">
        <v>551</v>
      </c>
      <c r="BJ83" s="62">
        <f t="shared" si="37"/>
        <v>0.93867120954003402</v>
      </c>
      <c r="BK83" s="44">
        <v>798</v>
      </c>
      <c r="BL83" s="44">
        <v>860</v>
      </c>
      <c r="BM83" s="62">
        <f t="shared" si="38"/>
        <v>1.0776942355889725</v>
      </c>
      <c r="BN83" s="44" t="s">
        <v>38</v>
      </c>
      <c r="BO83" s="44">
        <v>1497</v>
      </c>
      <c r="BP83" s="44">
        <v>1746</v>
      </c>
      <c r="BQ83" s="62">
        <f t="shared" si="39"/>
        <v>1.1663326653306614</v>
      </c>
      <c r="BR83" s="44">
        <v>1054.5</v>
      </c>
      <c r="BS83" s="44">
        <v>1259</v>
      </c>
      <c r="BT83" s="62">
        <f t="shared" si="40"/>
        <v>1.1939307728781412</v>
      </c>
      <c r="BU83" s="44">
        <v>969</v>
      </c>
      <c r="BV83" s="44">
        <v>1251</v>
      </c>
      <c r="BW83" s="62">
        <f t="shared" si="41"/>
        <v>1.2910216718266254</v>
      </c>
      <c r="BX83" s="44" t="s">
        <v>38</v>
      </c>
      <c r="BY83" s="44">
        <v>1890</v>
      </c>
      <c r="BZ83" s="44">
        <v>1543</v>
      </c>
      <c r="CA83" s="62">
        <f t="shared" si="42"/>
        <v>0.81640211640211635</v>
      </c>
      <c r="CB83" s="44">
        <v>961</v>
      </c>
      <c r="CC83" s="44">
        <v>947</v>
      </c>
      <c r="CD83" s="62">
        <f t="shared" si="43"/>
        <v>0.98543184183142563</v>
      </c>
    </row>
    <row r="84" spans="1:82" x14ac:dyDescent="0.3">
      <c r="A84" s="49" t="s">
        <v>23</v>
      </c>
      <c r="B84" s="49" t="s">
        <v>106</v>
      </c>
      <c r="C84" s="44" t="s">
        <v>42</v>
      </c>
      <c r="F84" s="62" t="str">
        <f t="shared" si="22"/>
        <v/>
      </c>
      <c r="J84" s="62" t="str">
        <f t="shared" si="23"/>
        <v/>
      </c>
      <c r="N84" s="62" t="str">
        <f t="shared" si="24"/>
        <v/>
      </c>
      <c r="R84" s="62" t="str">
        <f t="shared" si="25"/>
        <v/>
      </c>
      <c r="V84" s="62" t="str">
        <f t="shared" si="26"/>
        <v/>
      </c>
      <c r="Y84" s="62" t="str">
        <f t="shared" si="27"/>
        <v/>
      </c>
      <c r="AB84" s="62" t="str">
        <f t="shared" si="28"/>
        <v/>
      </c>
      <c r="AF84" s="62" t="str">
        <f t="shared" si="29"/>
        <v/>
      </c>
      <c r="AI84" s="62" t="str">
        <f t="shared" si="30"/>
        <v/>
      </c>
      <c r="AM84" s="62" t="str">
        <f t="shared" si="31"/>
        <v/>
      </c>
      <c r="AQ84" s="62" t="str">
        <f t="shared" si="32"/>
        <v/>
      </c>
      <c r="AU84" s="62" t="str">
        <f t="shared" si="33"/>
        <v/>
      </c>
      <c r="AY84" s="62" t="str">
        <f t="shared" si="34"/>
        <v/>
      </c>
      <c r="BC84" s="62" t="str">
        <f t="shared" si="35"/>
        <v/>
      </c>
      <c r="BF84" s="62" t="str">
        <f t="shared" si="36"/>
        <v/>
      </c>
      <c r="BG84" s="44" t="s">
        <v>42</v>
      </c>
      <c r="BH84" s="44">
        <v>11</v>
      </c>
      <c r="BI84" s="44">
        <v>31</v>
      </c>
      <c r="BJ84" s="62">
        <f t="shared" si="37"/>
        <v>2.8181818181818183</v>
      </c>
      <c r="BK84" s="44">
        <v>273</v>
      </c>
      <c r="BL84" s="44">
        <v>56</v>
      </c>
      <c r="BM84" s="62">
        <f t="shared" si="38"/>
        <v>0.20512820512820512</v>
      </c>
      <c r="BN84" s="44" t="s">
        <v>42</v>
      </c>
      <c r="BO84" s="44">
        <v>586</v>
      </c>
      <c r="BP84" s="44">
        <v>49</v>
      </c>
      <c r="BQ84" s="62">
        <f t="shared" si="39"/>
        <v>8.3617747440273033E-2</v>
      </c>
      <c r="BT84" s="62" t="str">
        <f t="shared" si="40"/>
        <v/>
      </c>
      <c r="BU84" s="44">
        <v>2370</v>
      </c>
      <c r="BV84" s="44">
        <v>62</v>
      </c>
      <c r="BW84" s="62">
        <f t="shared" si="41"/>
        <v>2.6160337552742614E-2</v>
      </c>
      <c r="BX84" s="44" t="s">
        <v>42</v>
      </c>
      <c r="BY84" s="44">
        <v>2504</v>
      </c>
      <c r="BZ84" s="44">
        <v>77</v>
      </c>
      <c r="CA84" s="62">
        <f t="shared" si="42"/>
        <v>3.0750798722044729E-2</v>
      </c>
      <c r="CB84" s="44">
        <v>5754</v>
      </c>
      <c r="CC84" s="44">
        <v>126</v>
      </c>
      <c r="CD84" s="62">
        <f t="shared" si="43"/>
        <v>2.1897810218978103E-2</v>
      </c>
    </row>
    <row r="85" spans="1:82" x14ac:dyDescent="0.3">
      <c r="A85" s="49" t="s">
        <v>252</v>
      </c>
      <c r="B85" s="49" t="s">
        <v>104</v>
      </c>
      <c r="C85" s="44" t="s">
        <v>38</v>
      </c>
      <c r="F85" s="62" t="str">
        <f t="shared" si="22"/>
        <v/>
      </c>
      <c r="J85" s="62" t="str">
        <f t="shared" si="23"/>
        <v/>
      </c>
      <c r="N85" s="62" t="str">
        <f t="shared" si="24"/>
        <v/>
      </c>
      <c r="R85" s="62" t="str">
        <f t="shared" si="25"/>
        <v/>
      </c>
      <c r="V85" s="62" t="str">
        <f t="shared" si="26"/>
        <v/>
      </c>
      <c r="Y85" s="62" t="str">
        <f t="shared" si="27"/>
        <v/>
      </c>
      <c r="AB85" s="62" t="str">
        <f t="shared" si="28"/>
        <v/>
      </c>
      <c r="AF85" s="62" t="str">
        <f t="shared" si="29"/>
        <v/>
      </c>
      <c r="AI85" s="62" t="str">
        <f t="shared" si="30"/>
        <v/>
      </c>
      <c r="AM85" s="62" t="str">
        <f t="shared" si="31"/>
        <v/>
      </c>
      <c r="AQ85" s="62" t="str">
        <f t="shared" si="32"/>
        <v/>
      </c>
      <c r="AR85" s="44" t="s">
        <v>38</v>
      </c>
      <c r="AS85" s="44">
        <v>100</v>
      </c>
      <c r="AT85" s="44">
        <v>150</v>
      </c>
      <c r="AU85" s="62">
        <f t="shared" si="33"/>
        <v>1.5</v>
      </c>
      <c r="AV85" s="44" t="s">
        <v>38</v>
      </c>
      <c r="AW85" s="44">
        <v>90</v>
      </c>
      <c r="AX85" s="44">
        <v>150</v>
      </c>
      <c r="AY85" s="62">
        <f t="shared" si="34"/>
        <v>1.6666666666666667</v>
      </c>
      <c r="AZ85" s="44" t="s">
        <v>38</v>
      </c>
      <c r="BA85" s="44">
        <v>100</v>
      </c>
      <c r="BB85" s="44">
        <v>166</v>
      </c>
      <c r="BC85" s="62">
        <f t="shared" si="35"/>
        <v>1.66</v>
      </c>
      <c r="BD85" s="44">
        <v>125</v>
      </c>
      <c r="BE85" s="44">
        <v>208</v>
      </c>
      <c r="BF85" s="62">
        <f t="shared" si="36"/>
        <v>1.6639999999999999</v>
      </c>
      <c r="BJ85" s="62" t="str">
        <f t="shared" si="37"/>
        <v/>
      </c>
      <c r="BM85" s="62" t="str">
        <f t="shared" si="38"/>
        <v/>
      </c>
      <c r="BQ85" s="62" t="str">
        <f t="shared" si="39"/>
        <v/>
      </c>
      <c r="BT85" s="62" t="str">
        <f t="shared" si="40"/>
        <v/>
      </c>
      <c r="BW85" s="62" t="str">
        <f t="shared" si="41"/>
        <v/>
      </c>
      <c r="CA85" s="62" t="str">
        <f t="shared" si="42"/>
        <v/>
      </c>
      <c r="CD85" s="62" t="str">
        <f t="shared" si="43"/>
        <v/>
      </c>
    </row>
    <row r="86" spans="1:82" x14ac:dyDescent="0.3">
      <c r="A86" s="49" t="s">
        <v>24</v>
      </c>
      <c r="B86" s="49" t="s">
        <v>293</v>
      </c>
      <c r="C86" s="44" t="s">
        <v>37</v>
      </c>
      <c r="D86" s="44">
        <v>420</v>
      </c>
      <c r="E86" s="44">
        <v>1057</v>
      </c>
      <c r="F86" s="62">
        <f t="shared" si="22"/>
        <v>2.5166666666666666</v>
      </c>
      <c r="G86" s="44" t="s">
        <v>37</v>
      </c>
      <c r="H86" s="44">
        <v>425</v>
      </c>
      <c r="I86" s="44">
        <v>1141</v>
      </c>
      <c r="J86" s="62">
        <f t="shared" si="23"/>
        <v>2.6847058823529411</v>
      </c>
      <c r="K86" s="44" t="s">
        <v>37</v>
      </c>
      <c r="L86" s="44">
        <v>443</v>
      </c>
      <c r="M86" s="44">
        <v>1212</v>
      </c>
      <c r="N86" s="62">
        <f t="shared" si="24"/>
        <v>2.7358916478555306</v>
      </c>
      <c r="O86" s="44" t="s">
        <v>37</v>
      </c>
      <c r="P86" s="44">
        <v>378</v>
      </c>
      <c r="Q86" s="44">
        <v>1162</v>
      </c>
      <c r="R86" s="62">
        <f t="shared" si="25"/>
        <v>3.074074074074074</v>
      </c>
      <c r="S86" s="44" t="s">
        <v>37</v>
      </c>
      <c r="T86" s="44">
        <v>400</v>
      </c>
      <c r="U86" s="44">
        <v>1429</v>
      </c>
      <c r="V86" s="62">
        <f t="shared" si="26"/>
        <v>3.5724999999999998</v>
      </c>
      <c r="W86" s="44">
        <v>300</v>
      </c>
      <c r="X86" s="44">
        <v>937</v>
      </c>
      <c r="Y86" s="62">
        <f t="shared" si="27"/>
        <v>3.1233333333333335</v>
      </c>
      <c r="Z86" s="44">
        <v>200</v>
      </c>
      <c r="AA86" s="44">
        <v>615</v>
      </c>
      <c r="AB86" s="62">
        <f t="shared" si="28"/>
        <v>3.0750000000000002</v>
      </c>
      <c r="AC86" s="44" t="s">
        <v>37</v>
      </c>
      <c r="AD86" s="44">
        <v>260</v>
      </c>
      <c r="AE86" s="44">
        <v>722</v>
      </c>
      <c r="AF86" s="62">
        <f t="shared" si="29"/>
        <v>2.7769230769230768</v>
      </c>
      <c r="AG86" s="44">
        <v>220</v>
      </c>
      <c r="AH86" s="44">
        <v>611</v>
      </c>
      <c r="AI86" s="62">
        <f t="shared" si="30"/>
        <v>2.7772727272727273</v>
      </c>
      <c r="AJ86" s="44" t="s">
        <v>37</v>
      </c>
      <c r="AK86" s="44">
        <v>170</v>
      </c>
      <c r="AL86" s="44">
        <v>500</v>
      </c>
      <c r="AM86" s="62">
        <f t="shared" si="31"/>
        <v>2.9411764705882355</v>
      </c>
      <c r="AN86" s="44" t="s">
        <v>37</v>
      </c>
      <c r="AO86" s="44">
        <v>80</v>
      </c>
      <c r="AP86" s="44">
        <v>250</v>
      </c>
      <c r="AQ86" s="62">
        <f t="shared" si="32"/>
        <v>3.125</v>
      </c>
      <c r="AR86" s="44" t="s">
        <v>37</v>
      </c>
      <c r="AS86" s="44">
        <v>100</v>
      </c>
      <c r="AT86" s="44">
        <v>188</v>
      </c>
      <c r="AU86" s="62">
        <f t="shared" si="33"/>
        <v>1.88</v>
      </c>
      <c r="AV86" s="44" t="s">
        <v>37</v>
      </c>
      <c r="AW86" s="44">
        <v>79.5</v>
      </c>
      <c r="AX86" s="44">
        <v>265</v>
      </c>
      <c r="AY86" s="62">
        <f t="shared" si="34"/>
        <v>3.3333333333333335</v>
      </c>
      <c r="AZ86" s="44" t="s">
        <v>37</v>
      </c>
      <c r="BA86" s="44">
        <v>120</v>
      </c>
      <c r="BB86" s="44">
        <v>400</v>
      </c>
      <c r="BC86" s="62">
        <f t="shared" si="35"/>
        <v>3.3333333333333335</v>
      </c>
      <c r="BD86" s="44">
        <v>100</v>
      </c>
      <c r="BE86" s="44">
        <v>333</v>
      </c>
      <c r="BF86" s="62">
        <f t="shared" si="36"/>
        <v>3.33</v>
      </c>
      <c r="BG86" s="44" t="s">
        <v>38</v>
      </c>
      <c r="BJ86" s="62" t="str">
        <f t="shared" si="37"/>
        <v/>
      </c>
      <c r="BK86" s="44">
        <v>355</v>
      </c>
      <c r="BL86" s="44">
        <v>725</v>
      </c>
      <c r="BM86" s="62">
        <f t="shared" si="38"/>
        <v>2.0422535211267605</v>
      </c>
      <c r="BN86" s="44" t="s">
        <v>38</v>
      </c>
      <c r="BO86" s="44">
        <v>139</v>
      </c>
      <c r="BP86" s="44">
        <v>261</v>
      </c>
      <c r="BQ86" s="62">
        <f t="shared" si="39"/>
        <v>1.8776978417266188</v>
      </c>
      <c r="BR86" s="44">
        <v>161.75</v>
      </c>
      <c r="BS86" s="44">
        <v>295</v>
      </c>
      <c r="BT86" s="62">
        <f t="shared" si="40"/>
        <v>1.8238021638330757</v>
      </c>
      <c r="BU86" s="44">
        <v>144.5</v>
      </c>
      <c r="BV86" s="44">
        <v>258.5</v>
      </c>
      <c r="BW86" s="62">
        <f t="shared" si="41"/>
        <v>1.7889273356401385</v>
      </c>
      <c r="BX86" s="44" t="s">
        <v>38</v>
      </c>
      <c r="BY86" s="44">
        <v>387.25</v>
      </c>
      <c r="BZ86" s="44">
        <v>1322</v>
      </c>
      <c r="CA86" s="62">
        <f t="shared" si="42"/>
        <v>3.4138153647514526</v>
      </c>
      <c r="CB86" s="44">
        <v>579</v>
      </c>
      <c r="CC86" s="44">
        <v>1437</v>
      </c>
      <c r="CD86" s="62">
        <f t="shared" si="43"/>
        <v>2.4818652849740932</v>
      </c>
    </row>
    <row r="87" spans="1:82" x14ac:dyDescent="0.3">
      <c r="A87" s="53" t="s">
        <v>66</v>
      </c>
      <c r="B87" s="49" t="s">
        <v>104</v>
      </c>
      <c r="C87" s="44" t="s">
        <v>38</v>
      </c>
      <c r="D87" s="44">
        <v>804</v>
      </c>
      <c r="E87" s="44">
        <v>778</v>
      </c>
      <c r="F87" s="62">
        <f t="shared" si="22"/>
        <v>0.96766169154228854</v>
      </c>
      <c r="G87" s="44" t="s">
        <v>38</v>
      </c>
      <c r="H87" s="44">
        <v>482</v>
      </c>
      <c r="I87" s="44">
        <v>486</v>
      </c>
      <c r="J87" s="62">
        <f t="shared" si="23"/>
        <v>1.008298755186722</v>
      </c>
      <c r="K87" s="44" t="s">
        <v>38</v>
      </c>
      <c r="L87" s="44">
        <v>560</v>
      </c>
      <c r="M87" s="44">
        <v>615</v>
      </c>
      <c r="N87" s="62">
        <f t="shared" si="24"/>
        <v>1.0982142857142858</v>
      </c>
      <c r="O87" s="44" t="s">
        <v>38</v>
      </c>
      <c r="P87" s="44">
        <v>800</v>
      </c>
      <c r="Q87" s="44">
        <v>1000</v>
      </c>
      <c r="R87" s="62">
        <f t="shared" si="25"/>
        <v>1.25</v>
      </c>
      <c r="S87" s="44" t="s">
        <v>38</v>
      </c>
      <c r="T87" s="44">
        <v>945</v>
      </c>
      <c r="U87" s="44">
        <v>974</v>
      </c>
      <c r="V87" s="62">
        <f t="shared" si="26"/>
        <v>1.0306878306878307</v>
      </c>
      <c r="W87" s="44">
        <v>800</v>
      </c>
      <c r="X87" s="44">
        <v>712</v>
      </c>
      <c r="Y87" s="62">
        <f t="shared" si="27"/>
        <v>0.89</v>
      </c>
      <c r="Z87" s="44">
        <v>700</v>
      </c>
      <c r="AA87" s="44">
        <v>646</v>
      </c>
      <c r="AB87" s="62">
        <f t="shared" si="28"/>
        <v>0.92285714285714282</v>
      </c>
      <c r="AC87" s="44" t="s">
        <v>38</v>
      </c>
      <c r="AD87" s="44">
        <v>800</v>
      </c>
      <c r="AE87" s="44">
        <v>661</v>
      </c>
      <c r="AF87" s="62">
        <f t="shared" si="29"/>
        <v>0.82625000000000004</v>
      </c>
      <c r="AI87" s="62" t="str">
        <f t="shared" si="30"/>
        <v/>
      </c>
      <c r="AM87" s="62" t="str">
        <f t="shared" si="31"/>
        <v/>
      </c>
      <c r="AQ87" s="62" t="str">
        <f t="shared" si="32"/>
        <v/>
      </c>
      <c r="AU87" s="62" t="str">
        <f t="shared" si="33"/>
        <v/>
      </c>
      <c r="AY87" s="62" t="str">
        <f t="shared" si="34"/>
        <v/>
      </c>
      <c r="BC87" s="62" t="str">
        <f t="shared" si="35"/>
        <v/>
      </c>
      <c r="BF87" s="62" t="str">
        <f t="shared" si="36"/>
        <v/>
      </c>
      <c r="BJ87" s="62" t="str">
        <f t="shared" si="37"/>
        <v/>
      </c>
      <c r="BM87" s="62" t="str">
        <f t="shared" si="38"/>
        <v/>
      </c>
      <c r="BQ87" s="62" t="str">
        <f t="shared" si="39"/>
        <v/>
      </c>
      <c r="BT87" s="62" t="str">
        <f t="shared" si="40"/>
        <v/>
      </c>
      <c r="BW87" s="62" t="str">
        <f t="shared" si="41"/>
        <v/>
      </c>
      <c r="CA87" s="62" t="str">
        <f t="shared" si="42"/>
        <v/>
      </c>
      <c r="CD87" s="62" t="str">
        <f t="shared" si="43"/>
        <v/>
      </c>
    </row>
    <row r="88" spans="1:82" x14ac:dyDescent="0.3">
      <c r="A88" s="53" t="s">
        <v>254</v>
      </c>
      <c r="B88" s="49" t="s">
        <v>104</v>
      </c>
      <c r="C88" s="44" t="s">
        <v>38</v>
      </c>
      <c r="F88" s="62" t="str">
        <f t="shared" si="22"/>
        <v/>
      </c>
      <c r="J88" s="62" t="str">
        <f t="shared" si="23"/>
        <v/>
      </c>
      <c r="N88" s="62" t="str">
        <f t="shared" si="24"/>
        <v/>
      </c>
      <c r="R88" s="62" t="str">
        <f t="shared" si="25"/>
        <v/>
      </c>
      <c r="V88" s="62" t="str">
        <f t="shared" si="26"/>
        <v/>
      </c>
      <c r="Y88" s="62" t="str">
        <f t="shared" si="27"/>
        <v/>
      </c>
      <c r="AB88" s="62" t="str">
        <f t="shared" si="28"/>
        <v/>
      </c>
      <c r="AF88" s="62" t="str">
        <f t="shared" si="29"/>
        <v/>
      </c>
      <c r="AI88" s="62" t="str">
        <f t="shared" si="30"/>
        <v/>
      </c>
      <c r="AJ88" s="44" t="s">
        <v>38</v>
      </c>
      <c r="AK88" s="44">
        <v>600</v>
      </c>
      <c r="AL88" s="44">
        <v>471</v>
      </c>
      <c r="AM88" s="62">
        <f t="shared" si="31"/>
        <v>0.78500000000000003</v>
      </c>
      <c r="AQ88" s="62" t="str">
        <f t="shared" si="32"/>
        <v/>
      </c>
      <c r="AU88" s="62" t="str">
        <f t="shared" si="33"/>
        <v/>
      </c>
      <c r="AY88" s="62" t="str">
        <f t="shared" si="34"/>
        <v/>
      </c>
      <c r="BC88" s="62" t="str">
        <f t="shared" si="35"/>
        <v/>
      </c>
      <c r="BF88" s="62" t="str">
        <f t="shared" si="36"/>
        <v/>
      </c>
      <c r="BJ88" s="62" t="str">
        <f t="shared" si="37"/>
        <v/>
      </c>
      <c r="BM88" s="62" t="str">
        <f t="shared" si="38"/>
        <v/>
      </c>
      <c r="BQ88" s="62" t="str">
        <f t="shared" si="39"/>
        <v/>
      </c>
      <c r="BT88" s="62" t="str">
        <f t="shared" si="40"/>
        <v/>
      </c>
      <c r="BW88" s="62" t="str">
        <f t="shared" si="41"/>
        <v/>
      </c>
      <c r="CA88" s="62" t="str">
        <f t="shared" si="42"/>
        <v/>
      </c>
      <c r="CD88" s="62" t="str">
        <f t="shared" si="43"/>
        <v/>
      </c>
    </row>
    <row r="89" spans="1:82" x14ac:dyDescent="0.3">
      <c r="A89" s="53" t="s">
        <v>256</v>
      </c>
      <c r="B89" s="49" t="s">
        <v>104</v>
      </c>
      <c r="C89" s="44" t="s">
        <v>38</v>
      </c>
      <c r="D89" s="44">
        <v>1060</v>
      </c>
      <c r="E89" s="44">
        <v>661</v>
      </c>
      <c r="F89" s="62">
        <f t="shared" si="22"/>
        <v>0.62358490566037739</v>
      </c>
      <c r="G89" s="44" t="s">
        <v>38</v>
      </c>
      <c r="H89" s="44">
        <v>804</v>
      </c>
      <c r="I89" s="44">
        <v>540</v>
      </c>
      <c r="J89" s="62">
        <f t="shared" si="23"/>
        <v>0.67164179104477617</v>
      </c>
      <c r="K89" s="44" t="s">
        <v>38</v>
      </c>
      <c r="L89" s="44">
        <v>1340</v>
      </c>
      <c r="M89" s="44">
        <v>825</v>
      </c>
      <c r="N89" s="62">
        <f t="shared" si="24"/>
        <v>0.61567164179104472</v>
      </c>
      <c r="O89" s="44" t="s">
        <v>38</v>
      </c>
      <c r="P89" s="44">
        <v>1950</v>
      </c>
      <c r="Q89" s="44">
        <v>1500</v>
      </c>
      <c r="R89" s="62">
        <f t="shared" si="25"/>
        <v>0.76923076923076927</v>
      </c>
      <c r="S89" s="44" t="s">
        <v>38</v>
      </c>
      <c r="T89" s="44">
        <v>1750</v>
      </c>
      <c r="U89" s="44">
        <v>1500</v>
      </c>
      <c r="V89" s="62">
        <f t="shared" si="26"/>
        <v>0.8571428571428571</v>
      </c>
      <c r="W89" s="44">
        <v>1500</v>
      </c>
      <c r="X89" s="44">
        <v>1687</v>
      </c>
      <c r="Y89" s="62">
        <f t="shared" si="27"/>
        <v>1.1246666666666667</v>
      </c>
      <c r="Z89" s="44">
        <v>1700</v>
      </c>
      <c r="AA89" s="44">
        <v>1883</v>
      </c>
      <c r="AB89" s="62">
        <f t="shared" si="28"/>
        <v>1.1076470588235294</v>
      </c>
      <c r="AC89" s="44" t="s">
        <v>38</v>
      </c>
      <c r="AD89" s="44">
        <v>2000</v>
      </c>
      <c r="AE89" s="44">
        <v>2000</v>
      </c>
      <c r="AF89" s="62">
        <f t="shared" si="29"/>
        <v>1</v>
      </c>
      <c r="AG89" s="44">
        <v>2000</v>
      </c>
      <c r="AH89" s="44">
        <v>1556</v>
      </c>
      <c r="AI89" s="62">
        <f t="shared" si="30"/>
        <v>0.77800000000000002</v>
      </c>
      <c r="AJ89" s="44" t="s">
        <v>38</v>
      </c>
      <c r="AK89" s="44">
        <v>1680</v>
      </c>
      <c r="AL89" s="44">
        <v>1474</v>
      </c>
      <c r="AM89" s="62">
        <f t="shared" si="31"/>
        <v>0.87738095238095237</v>
      </c>
      <c r="AN89" s="44" t="s">
        <v>38</v>
      </c>
      <c r="AO89" s="44">
        <v>2000</v>
      </c>
      <c r="AP89" s="44">
        <v>1624</v>
      </c>
      <c r="AQ89" s="62">
        <f t="shared" si="32"/>
        <v>0.81200000000000006</v>
      </c>
      <c r="AR89" s="44" t="s">
        <v>38</v>
      </c>
      <c r="AS89" s="44">
        <v>1500</v>
      </c>
      <c r="AT89" s="44">
        <v>1125</v>
      </c>
      <c r="AU89" s="62">
        <f t="shared" si="33"/>
        <v>0.75</v>
      </c>
      <c r="AV89" s="44" t="s">
        <v>38</v>
      </c>
      <c r="AW89" s="44">
        <v>1000</v>
      </c>
      <c r="AX89" s="44">
        <v>1200</v>
      </c>
      <c r="AY89" s="62">
        <f t="shared" si="34"/>
        <v>1.2</v>
      </c>
      <c r="AZ89" s="44" t="s">
        <v>38</v>
      </c>
      <c r="BA89" s="44">
        <v>720</v>
      </c>
      <c r="BB89" s="44">
        <v>960</v>
      </c>
      <c r="BC89" s="62">
        <f t="shared" si="35"/>
        <v>1.3333333333333333</v>
      </c>
      <c r="BD89" s="44">
        <v>1050</v>
      </c>
      <c r="BE89" s="44">
        <v>1400</v>
      </c>
      <c r="BF89" s="62">
        <f t="shared" si="36"/>
        <v>1.3333333333333333</v>
      </c>
      <c r="BJ89" s="62" t="str">
        <f t="shared" si="37"/>
        <v/>
      </c>
      <c r="BM89" s="62" t="str">
        <f t="shared" si="38"/>
        <v/>
      </c>
      <c r="BQ89" s="62" t="str">
        <f t="shared" si="39"/>
        <v/>
      </c>
      <c r="BT89" s="62" t="str">
        <f t="shared" si="40"/>
        <v/>
      </c>
      <c r="BW89" s="62" t="str">
        <f t="shared" si="41"/>
        <v/>
      </c>
      <c r="CA89" s="62" t="str">
        <f t="shared" si="42"/>
        <v/>
      </c>
      <c r="CD89" s="62" t="str">
        <f t="shared" si="43"/>
        <v/>
      </c>
    </row>
    <row r="90" spans="1:82" x14ac:dyDescent="0.3">
      <c r="A90" s="53" t="s">
        <v>255</v>
      </c>
      <c r="B90" s="49" t="s">
        <v>104</v>
      </c>
      <c r="C90" s="44" t="s">
        <v>38</v>
      </c>
      <c r="F90" s="62" t="str">
        <f t="shared" si="22"/>
        <v/>
      </c>
      <c r="J90" s="62" t="str">
        <f t="shared" si="23"/>
        <v/>
      </c>
      <c r="N90" s="62" t="str">
        <f t="shared" si="24"/>
        <v/>
      </c>
      <c r="R90" s="62" t="str">
        <f t="shared" si="25"/>
        <v/>
      </c>
      <c r="V90" s="62" t="str">
        <f t="shared" si="26"/>
        <v/>
      </c>
      <c r="Y90" s="62" t="str">
        <f t="shared" si="27"/>
        <v/>
      </c>
      <c r="AB90" s="62" t="str">
        <f t="shared" si="28"/>
        <v/>
      </c>
      <c r="AF90" s="62" t="str">
        <f t="shared" si="29"/>
        <v/>
      </c>
      <c r="AI90" s="62" t="str">
        <f t="shared" si="30"/>
        <v/>
      </c>
      <c r="AM90" s="62" t="str">
        <f t="shared" si="31"/>
        <v/>
      </c>
      <c r="AQ90" s="62" t="str">
        <f t="shared" si="32"/>
        <v/>
      </c>
      <c r="AU90" s="62" t="str">
        <f t="shared" si="33"/>
        <v/>
      </c>
      <c r="AY90" s="62" t="str">
        <f t="shared" si="34"/>
        <v/>
      </c>
      <c r="BC90" s="62" t="str">
        <f t="shared" si="35"/>
        <v/>
      </c>
      <c r="BF90" s="62" t="str">
        <f t="shared" si="36"/>
        <v/>
      </c>
      <c r="BG90" s="44" t="s">
        <v>38</v>
      </c>
      <c r="BH90" s="44">
        <v>1101</v>
      </c>
      <c r="BI90" s="44">
        <v>192</v>
      </c>
      <c r="BJ90" s="62">
        <f t="shared" si="37"/>
        <v>0.17438692098092642</v>
      </c>
      <c r="BK90" s="44">
        <v>1524</v>
      </c>
      <c r="BL90" s="44">
        <v>298</v>
      </c>
      <c r="BM90" s="62">
        <f t="shared" si="38"/>
        <v>0.19553805774278216</v>
      </c>
      <c r="BN90" s="44" t="s">
        <v>38</v>
      </c>
      <c r="BO90" s="44">
        <v>1654</v>
      </c>
      <c r="BP90" s="44">
        <v>484</v>
      </c>
      <c r="BQ90" s="62">
        <f t="shared" si="39"/>
        <v>0.29262394195888752</v>
      </c>
      <c r="BR90" s="44">
        <v>659</v>
      </c>
      <c r="BS90" s="44">
        <v>193</v>
      </c>
      <c r="BT90" s="62">
        <f t="shared" si="40"/>
        <v>0.29286798179059181</v>
      </c>
      <c r="BU90" s="44">
        <v>1027</v>
      </c>
      <c r="BV90" s="44">
        <v>371</v>
      </c>
      <c r="BW90" s="62">
        <f t="shared" si="41"/>
        <v>0.36124634858812071</v>
      </c>
      <c r="BX90" s="44" t="s">
        <v>38</v>
      </c>
      <c r="BY90" s="44">
        <v>1275</v>
      </c>
      <c r="BZ90" s="44">
        <v>267</v>
      </c>
      <c r="CA90" s="62">
        <f t="shared" si="42"/>
        <v>0.20941176470588235</v>
      </c>
      <c r="CB90" s="44">
        <v>1239.75</v>
      </c>
      <c r="CC90" s="44">
        <v>354</v>
      </c>
      <c r="CD90" s="62">
        <f t="shared" si="43"/>
        <v>0.28554143980641256</v>
      </c>
    </row>
    <row r="91" spans="1:82" x14ac:dyDescent="0.3">
      <c r="A91" s="53" t="s">
        <v>135</v>
      </c>
      <c r="B91" s="49" t="s">
        <v>104</v>
      </c>
      <c r="C91" s="44" t="s">
        <v>38</v>
      </c>
      <c r="F91" s="62" t="str">
        <f t="shared" si="22"/>
        <v/>
      </c>
      <c r="J91" s="62" t="str">
        <f t="shared" si="23"/>
        <v/>
      </c>
      <c r="N91" s="62" t="str">
        <f t="shared" si="24"/>
        <v/>
      </c>
      <c r="R91" s="62" t="str">
        <f t="shared" si="25"/>
        <v/>
      </c>
      <c r="V91" s="62" t="str">
        <f t="shared" si="26"/>
        <v/>
      </c>
      <c r="Y91" s="62" t="str">
        <f t="shared" si="27"/>
        <v/>
      </c>
      <c r="AB91" s="62" t="str">
        <f t="shared" si="28"/>
        <v/>
      </c>
      <c r="AF91" s="62" t="str">
        <f t="shared" si="29"/>
        <v/>
      </c>
      <c r="AI91" s="62" t="str">
        <f t="shared" si="30"/>
        <v/>
      </c>
      <c r="AJ91" s="44" t="s">
        <v>38</v>
      </c>
      <c r="AK91" s="44">
        <v>500</v>
      </c>
      <c r="AL91" s="44">
        <v>294</v>
      </c>
      <c r="AM91" s="62">
        <f t="shared" si="31"/>
        <v>0.58799999999999997</v>
      </c>
      <c r="AN91" s="44" t="s">
        <v>38</v>
      </c>
      <c r="AO91" s="44">
        <v>900</v>
      </c>
      <c r="AP91" s="44">
        <v>562</v>
      </c>
      <c r="AQ91" s="62">
        <f t="shared" si="32"/>
        <v>0.62444444444444447</v>
      </c>
      <c r="AR91" s="44" t="s">
        <v>38</v>
      </c>
      <c r="AS91" s="44">
        <v>40000</v>
      </c>
      <c r="AT91" s="44">
        <v>12500</v>
      </c>
      <c r="AU91" s="62">
        <f t="shared" si="33"/>
        <v>0.3125</v>
      </c>
      <c r="AV91" s="44" t="s">
        <v>38</v>
      </c>
      <c r="AW91" s="44">
        <v>10000</v>
      </c>
      <c r="AX91" s="44">
        <v>3334</v>
      </c>
      <c r="AY91" s="62">
        <f t="shared" si="34"/>
        <v>0.33339999999999997</v>
      </c>
      <c r="BC91" s="62" t="str">
        <f t="shared" si="35"/>
        <v/>
      </c>
      <c r="BF91" s="62" t="str">
        <f t="shared" si="36"/>
        <v/>
      </c>
      <c r="BG91" s="44" t="s">
        <v>38</v>
      </c>
      <c r="BH91" s="44">
        <v>1845</v>
      </c>
      <c r="BI91" s="44">
        <v>602</v>
      </c>
      <c r="BJ91" s="62">
        <f t="shared" si="37"/>
        <v>0.32628726287262871</v>
      </c>
      <c r="BK91" s="44">
        <v>2626</v>
      </c>
      <c r="BL91" s="44">
        <v>1073</v>
      </c>
      <c r="BM91" s="62">
        <f t="shared" si="38"/>
        <v>0.40860624523990863</v>
      </c>
      <c r="BN91" s="44" t="s">
        <v>38</v>
      </c>
      <c r="BO91" s="44">
        <v>1524</v>
      </c>
      <c r="BP91" s="44">
        <v>735</v>
      </c>
      <c r="BQ91" s="62">
        <f t="shared" si="39"/>
        <v>0.48228346456692911</v>
      </c>
      <c r="BR91" s="44">
        <v>2586.5</v>
      </c>
      <c r="BS91" s="44">
        <v>1249</v>
      </c>
      <c r="BT91" s="62">
        <f t="shared" si="40"/>
        <v>0.48289193891358978</v>
      </c>
      <c r="BU91" s="44">
        <v>922</v>
      </c>
      <c r="BV91" s="44">
        <v>455</v>
      </c>
      <c r="BW91" s="62">
        <f t="shared" si="41"/>
        <v>0.49349240780911063</v>
      </c>
      <c r="BX91" s="44" t="s">
        <v>38</v>
      </c>
      <c r="BY91" s="44">
        <v>274</v>
      </c>
      <c r="BZ91" s="44">
        <v>191.5</v>
      </c>
      <c r="CA91" s="62">
        <f t="shared" si="42"/>
        <v>0.69890510948905105</v>
      </c>
      <c r="CB91" s="44">
        <v>768</v>
      </c>
      <c r="CC91" s="44">
        <v>415</v>
      </c>
      <c r="CD91" s="62">
        <f t="shared" si="43"/>
        <v>0.54036458333333337</v>
      </c>
    </row>
    <row r="92" spans="1:82" x14ac:dyDescent="0.3">
      <c r="A92" s="53" t="s">
        <v>121</v>
      </c>
      <c r="B92" s="49" t="s">
        <v>104</v>
      </c>
      <c r="C92" s="44" t="s">
        <v>38</v>
      </c>
      <c r="F92" s="62" t="str">
        <f t="shared" si="22"/>
        <v/>
      </c>
      <c r="J92" s="62" t="str">
        <f t="shared" si="23"/>
        <v/>
      </c>
      <c r="N92" s="62" t="str">
        <f t="shared" si="24"/>
        <v/>
      </c>
      <c r="R92" s="62" t="str">
        <f t="shared" si="25"/>
        <v/>
      </c>
      <c r="V92" s="62" t="str">
        <f t="shared" si="26"/>
        <v/>
      </c>
      <c r="Y92" s="62" t="str">
        <f t="shared" si="27"/>
        <v/>
      </c>
      <c r="AB92" s="62" t="str">
        <f t="shared" si="28"/>
        <v/>
      </c>
      <c r="AF92" s="62" t="str">
        <f t="shared" si="29"/>
        <v/>
      </c>
      <c r="AI92" s="62" t="str">
        <f t="shared" si="30"/>
        <v/>
      </c>
      <c r="AM92" s="62" t="str">
        <f t="shared" si="31"/>
        <v/>
      </c>
      <c r="AQ92" s="62" t="str">
        <f t="shared" si="32"/>
        <v/>
      </c>
      <c r="AU92" s="62" t="str">
        <f t="shared" si="33"/>
        <v/>
      </c>
      <c r="AY92" s="62" t="str">
        <f t="shared" si="34"/>
        <v/>
      </c>
      <c r="BC92" s="62" t="str">
        <f t="shared" si="35"/>
        <v/>
      </c>
      <c r="BF92" s="62" t="str">
        <f t="shared" si="36"/>
        <v/>
      </c>
      <c r="BJ92" s="62" t="str">
        <f t="shared" si="37"/>
        <v/>
      </c>
      <c r="BM92" s="62" t="str">
        <f t="shared" si="38"/>
        <v/>
      </c>
      <c r="BN92" s="44" t="s">
        <v>38</v>
      </c>
      <c r="BQ92" s="62" t="str">
        <f t="shared" si="39"/>
        <v/>
      </c>
      <c r="BT92" s="62" t="str">
        <f t="shared" si="40"/>
        <v/>
      </c>
      <c r="BU92" s="44">
        <v>2.75</v>
      </c>
      <c r="BV92" s="44">
        <v>3.25</v>
      </c>
      <c r="BW92" s="62">
        <f t="shared" si="41"/>
        <v>1.1818181818181819</v>
      </c>
      <c r="BX92" s="44" t="s">
        <v>38</v>
      </c>
      <c r="CA92" s="62" t="str">
        <f t="shared" si="42"/>
        <v/>
      </c>
      <c r="CB92" s="44">
        <v>2.5</v>
      </c>
      <c r="CC92" s="44">
        <v>4</v>
      </c>
      <c r="CD92" s="62">
        <f t="shared" si="43"/>
        <v>1.6</v>
      </c>
    </row>
    <row r="93" spans="1:82" x14ac:dyDescent="0.3">
      <c r="A93" s="53" t="s">
        <v>137</v>
      </c>
      <c r="B93" s="49" t="s">
        <v>104</v>
      </c>
      <c r="C93" s="44" t="s">
        <v>38</v>
      </c>
      <c r="F93" s="62" t="str">
        <f t="shared" si="22"/>
        <v/>
      </c>
      <c r="J93" s="62" t="str">
        <f t="shared" si="23"/>
        <v/>
      </c>
      <c r="N93" s="62" t="str">
        <f t="shared" si="24"/>
        <v/>
      </c>
      <c r="R93" s="62" t="str">
        <f t="shared" si="25"/>
        <v/>
      </c>
      <c r="V93" s="62" t="str">
        <f t="shared" si="26"/>
        <v/>
      </c>
      <c r="Y93" s="62" t="str">
        <f t="shared" si="27"/>
        <v/>
      </c>
      <c r="AB93" s="62" t="str">
        <f t="shared" si="28"/>
        <v/>
      </c>
      <c r="AF93" s="62" t="str">
        <f t="shared" si="29"/>
        <v/>
      </c>
      <c r="AI93" s="62" t="str">
        <f t="shared" si="30"/>
        <v/>
      </c>
      <c r="AJ93" s="44" t="s">
        <v>38</v>
      </c>
      <c r="AK93" s="44">
        <v>1826</v>
      </c>
      <c r="AL93" s="44">
        <v>4530</v>
      </c>
      <c r="AM93" s="62">
        <f t="shared" si="31"/>
        <v>2.4808324205914567</v>
      </c>
      <c r="AN93" s="44" t="s">
        <v>38</v>
      </c>
      <c r="AO93" s="44">
        <v>2100</v>
      </c>
      <c r="AP93" s="44">
        <v>5250</v>
      </c>
      <c r="AQ93" s="62">
        <f t="shared" si="32"/>
        <v>2.5</v>
      </c>
      <c r="AR93" s="44" t="s">
        <v>38</v>
      </c>
      <c r="AS93" s="44">
        <v>1700</v>
      </c>
      <c r="AT93" s="44">
        <v>5312</v>
      </c>
      <c r="AU93" s="62">
        <f t="shared" si="33"/>
        <v>3.124705882352941</v>
      </c>
      <c r="AV93" s="44" t="s">
        <v>38</v>
      </c>
      <c r="AW93" s="44">
        <v>1530</v>
      </c>
      <c r="AX93" s="44">
        <v>5098</v>
      </c>
      <c r="AY93" s="62">
        <f t="shared" si="34"/>
        <v>3.3320261437908498</v>
      </c>
      <c r="AZ93" s="44" t="s">
        <v>38</v>
      </c>
      <c r="BA93" s="44">
        <v>3650</v>
      </c>
      <c r="BB93" s="44">
        <v>9123</v>
      </c>
      <c r="BC93" s="62">
        <f t="shared" si="35"/>
        <v>2.4994520547945207</v>
      </c>
      <c r="BD93" s="44">
        <v>2450</v>
      </c>
      <c r="BE93" s="44">
        <v>7267</v>
      </c>
      <c r="BF93" s="62">
        <f t="shared" si="36"/>
        <v>2.9661224489795917</v>
      </c>
      <c r="BG93" s="44" t="s">
        <v>38</v>
      </c>
      <c r="BH93" s="44">
        <v>229</v>
      </c>
      <c r="BI93" s="44">
        <v>587</v>
      </c>
      <c r="BJ93" s="62">
        <f t="shared" si="37"/>
        <v>2.5633187772925763</v>
      </c>
      <c r="BK93" s="44">
        <v>544</v>
      </c>
      <c r="BL93" s="44">
        <v>1883</v>
      </c>
      <c r="BM93" s="62">
        <f t="shared" si="38"/>
        <v>3.4613970588235294</v>
      </c>
      <c r="BN93" s="44" t="s">
        <v>38</v>
      </c>
      <c r="BO93" s="44">
        <v>999</v>
      </c>
      <c r="BP93" s="44">
        <v>3110</v>
      </c>
      <c r="BQ93" s="62">
        <f t="shared" si="39"/>
        <v>3.1131131131131129</v>
      </c>
      <c r="BR93" s="44">
        <v>488.5</v>
      </c>
      <c r="BS93" s="44">
        <v>2537</v>
      </c>
      <c r="BT93" s="62">
        <f t="shared" si="40"/>
        <v>5.1934493346980553</v>
      </c>
      <c r="BU93" s="44">
        <v>267.75</v>
      </c>
      <c r="BV93" s="44">
        <v>812.5</v>
      </c>
      <c r="BW93" s="62">
        <f t="shared" si="41"/>
        <v>3.0345471521942109</v>
      </c>
      <c r="BX93" s="44" t="s">
        <v>38</v>
      </c>
      <c r="BY93" s="44">
        <v>71.25</v>
      </c>
      <c r="BZ93" s="44">
        <v>225</v>
      </c>
      <c r="CA93" s="62">
        <f t="shared" si="42"/>
        <v>3.1578947368421053</v>
      </c>
      <c r="CB93" s="44">
        <v>441.5</v>
      </c>
      <c r="CC93" s="44">
        <v>1737.5</v>
      </c>
      <c r="CD93" s="62">
        <f t="shared" si="43"/>
        <v>3.9354473386183466</v>
      </c>
    </row>
    <row r="94" spans="1:82" x14ac:dyDescent="0.3">
      <c r="A94" s="53" t="s">
        <v>257</v>
      </c>
      <c r="B94" s="49" t="s">
        <v>104</v>
      </c>
      <c r="C94" s="44" t="s">
        <v>38</v>
      </c>
      <c r="F94" s="62" t="str">
        <f t="shared" si="22"/>
        <v/>
      </c>
      <c r="J94" s="62" t="str">
        <f t="shared" si="23"/>
        <v/>
      </c>
      <c r="N94" s="62" t="str">
        <f t="shared" si="24"/>
        <v/>
      </c>
      <c r="R94" s="62" t="str">
        <f t="shared" si="25"/>
        <v/>
      </c>
      <c r="V94" s="62" t="str">
        <f t="shared" si="26"/>
        <v/>
      </c>
      <c r="Y94" s="62" t="str">
        <f t="shared" si="27"/>
        <v/>
      </c>
      <c r="AB94" s="62" t="str">
        <f t="shared" si="28"/>
        <v/>
      </c>
      <c r="AF94" s="62" t="str">
        <f t="shared" si="29"/>
        <v/>
      </c>
      <c r="AI94" s="62" t="str">
        <f t="shared" si="30"/>
        <v/>
      </c>
      <c r="AM94" s="62" t="str">
        <f t="shared" si="31"/>
        <v/>
      </c>
      <c r="AQ94" s="62" t="str">
        <f t="shared" si="32"/>
        <v/>
      </c>
      <c r="AU94" s="62" t="str">
        <f t="shared" si="33"/>
        <v/>
      </c>
      <c r="AY94" s="62" t="str">
        <f t="shared" si="34"/>
        <v/>
      </c>
      <c r="BC94" s="62" t="str">
        <f t="shared" si="35"/>
        <v/>
      </c>
      <c r="BF94" s="62" t="str">
        <f t="shared" si="36"/>
        <v/>
      </c>
      <c r="BJ94" s="62" t="str">
        <f t="shared" si="37"/>
        <v/>
      </c>
      <c r="BM94" s="62" t="str">
        <f t="shared" si="38"/>
        <v/>
      </c>
      <c r="BN94" s="44" t="s">
        <v>38</v>
      </c>
      <c r="BQ94" s="62" t="str">
        <f t="shared" si="39"/>
        <v/>
      </c>
      <c r="BR94" s="44">
        <v>4.75</v>
      </c>
      <c r="BS94" s="44">
        <v>15</v>
      </c>
      <c r="BT94" s="62">
        <f t="shared" si="40"/>
        <v>3.1578947368421053</v>
      </c>
      <c r="BU94" s="44">
        <v>1.5</v>
      </c>
      <c r="BV94" s="44">
        <v>6</v>
      </c>
      <c r="BW94" s="62">
        <f t="shared" si="41"/>
        <v>4</v>
      </c>
      <c r="BX94" s="44" t="s">
        <v>38</v>
      </c>
      <c r="BY94" s="44">
        <v>0.25</v>
      </c>
      <c r="BZ94" s="44">
        <v>2</v>
      </c>
      <c r="CA94" s="62">
        <f t="shared" si="42"/>
        <v>8</v>
      </c>
      <c r="CB94" s="44">
        <v>0.75</v>
      </c>
      <c r="CC94" s="44">
        <v>7</v>
      </c>
      <c r="CD94" s="62">
        <f t="shared" si="43"/>
        <v>9.3333333333333339</v>
      </c>
    </row>
    <row r="95" spans="1:82" x14ac:dyDescent="0.3">
      <c r="A95" s="53" t="s">
        <v>258</v>
      </c>
      <c r="B95" s="49" t="s">
        <v>104</v>
      </c>
      <c r="C95" s="44" t="s">
        <v>38</v>
      </c>
      <c r="F95" s="62" t="str">
        <f t="shared" si="22"/>
        <v/>
      </c>
      <c r="J95" s="62" t="str">
        <f t="shared" si="23"/>
        <v/>
      </c>
      <c r="N95" s="62" t="str">
        <f t="shared" si="24"/>
        <v/>
      </c>
      <c r="R95" s="62" t="str">
        <f t="shared" si="25"/>
        <v/>
      </c>
      <c r="V95" s="62" t="str">
        <f t="shared" si="26"/>
        <v/>
      </c>
      <c r="Y95" s="62" t="str">
        <f t="shared" si="27"/>
        <v/>
      </c>
      <c r="AB95" s="62" t="str">
        <f t="shared" si="28"/>
        <v/>
      </c>
      <c r="AF95" s="62" t="str">
        <f t="shared" si="29"/>
        <v/>
      </c>
      <c r="AI95" s="62" t="str">
        <f t="shared" si="30"/>
        <v/>
      </c>
      <c r="AM95" s="62" t="str">
        <f t="shared" si="31"/>
        <v/>
      </c>
      <c r="AQ95" s="62" t="str">
        <f t="shared" si="32"/>
        <v/>
      </c>
      <c r="AU95" s="62" t="str">
        <f t="shared" si="33"/>
        <v/>
      </c>
      <c r="AY95" s="62" t="str">
        <f t="shared" si="34"/>
        <v/>
      </c>
      <c r="BC95" s="62" t="str">
        <f t="shared" si="35"/>
        <v/>
      </c>
      <c r="BF95" s="62" t="str">
        <f t="shared" si="36"/>
        <v/>
      </c>
      <c r="BG95" s="44" t="s">
        <v>38</v>
      </c>
      <c r="BH95" s="44">
        <v>641</v>
      </c>
      <c r="BI95" s="44">
        <v>243</v>
      </c>
      <c r="BJ95" s="62">
        <f t="shared" si="37"/>
        <v>0.37909516380655228</v>
      </c>
      <c r="BK95" s="44">
        <v>46</v>
      </c>
      <c r="BL95" s="44">
        <v>56</v>
      </c>
      <c r="BM95" s="62">
        <f t="shared" si="38"/>
        <v>1.2173913043478262</v>
      </c>
      <c r="BN95" s="44" t="s">
        <v>38</v>
      </c>
      <c r="BO95" s="44">
        <v>136</v>
      </c>
      <c r="BP95" s="44">
        <v>209</v>
      </c>
      <c r="BQ95" s="62">
        <f t="shared" si="39"/>
        <v>1.536764705882353</v>
      </c>
      <c r="BT95" s="62" t="str">
        <f t="shared" si="40"/>
        <v/>
      </c>
      <c r="BU95" s="44">
        <v>94</v>
      </c>
      <c r="BV95" s="44">
        <v>167</v>
      </c>
      <c r="BW95" s="62">
        <f t="shared" si="41"/>
        <v>1.7765957446808511</v>
      </c>
      <c r="BX95" s="44" t="s">
        <v>38</v>
      </c>
      <c r="BY95" s="44">
        <v>75</v>
      </c>
      <c r="BZ95" s="44">
        <v>141.25</v>
      </c>
      <c r="CA95" s="62">
        <f t="shared" si="42"/>
        <v>1.8833333333333333</v>
      </c>
      <c r="CB95" s="44">
        <v>262.5</v>
      </c>
      <c r="CC95" s="44">
        <v>479</v>
      </c>
      <c r="CD95" s="62">
        <f t="shared" si="43"/>
        <v>1.8247619047619048</v>
      </c>
    </row>
    <row r="96" spans="1:82" x14ac:dyDescent="0.3">
      <c r="A96" s="53" t="s">
        <v>62</v>
      </c>
      <c r="B96" s="49" t="s">
        <v>104</v>
      </c>
      <c r="C96" s="44" t="s">
        <v>38</v>
      </c>
      <c r="F96" s="62" t="str">
        <f t="shared" si="22"/>
        <v/>
      </c>
      <c r="J96" s="62" t="str">
        <f t="shared" si="23"/>
        <v/>
      </c>
      <c r="N96" s="62" t="str">
        <f t="shared" si="24"/>
        <v/>
      </c>
      <c r="R96" s="62" t="str">
        <f t="shared" si="25"/>
        <v/>
      </c>
      <c r="V96" s="62" t="str">
        <f t="shared" si="26"/>
        <v/>
      </c>
      <c r="Y96" s="62" t="str">
        <f t="shared" si="27"/>
        <v/>
      </c>
      <c r="AB96" s="62" t="str">
        <f t="shared" si="28"/>
        <v/>
      </c>
      <c r="AF96" s="62" t="str">
        <f t="shared" si="29"/>
        <v/>
      </c>
      <c r="AI96" s="62" t="str">
        <f t="shared" si="30"/>
        <v/>
      </c>
      <c r="AM96" s="62" t="str">
        <f t="shared" si="31"/>
        <v/>
      </c>
      <c r="AQ96" s="62" t="str">
        <f t="shared" si="32"/>
        <v/>
      </c>
      <c r="AU96" s="62" t="str">
        <f t="shared" si="33"/>
        <v/>
      </c>
      <c r="AY96" s="62" t="str">
        <f t="shared" si="34"/>
        <v/>
      </c>
      <c r="BC96" s="62" t="str">
        <f t="shared" si="35"/>
        <v/>
      </c>
      <c r="BF96" s="62" t="str">
        <f t="shared" si="36"/>
        <v/>
      </c>
      <c r="BJ96" s="62" t="str">
        <f t="shared" si="37"/>
        <v/>
      </c>
      <c r="BM96" s="62" t="str">
        <f t="shared" si="38"/>
        <v/>
      </c>
      <c r="BN96" s="44" t="s">
        <v>38</v>
      </c>
      <c r="BQ96" s="62" t="str">
        <f t="shared" si="39"/>
        <v/>
      </c>
      <c r="BR96" s="44">
        <v>45.75</v>
      </c>
      <c r="BS96" s="44">
        <v>31</v>
      </c>
      <c r="BT96" s="62">
        <f t="shared" si="40"/>
        <v>0.67759562841530052</v>
      </c>
      <c r="BU96" s="44">
        <v>70</v>
      </c>
      <c r="BV96" s="44">
        <v>34</v>
      </c>
      <c r="BW96" s="62">
        <f t="shared" si="41"/>
        <v>0.48571428571428571</v>
      </c>
      <c r="BX96" s="44" t="s">
        <v>38</v>
      </c>
      <c r="BY96" s="44">
        <v>25.75</v>
      </c>
      <c r="BZ96" s="44">
        <v>10</v>
      </c>
      <c r="CA96" s="62">
        <f t="shared" si="42"/>
        <v>0.38834951456310679</v>
      </c>
      <c r="CB96" s="44">
        <v>54</v>
      </c>
      <c r="CC96" s="44">
        <v>29</v>
      </c>
      <c r="CD96" s="62">
        <f t="shared" si="43"/>
        <v>0.53703703703703709</v>
      </c>
    </row>
    <row r="97" spans="1:82" x14ac:dyDescent="0.3">
      <c r="A97" s="53" t="s">
        <v>49</v>
      </c>
      <c r="B97" s="49" t="s">
        <v>104</v>
      </c>
      <c r="C97" s="44" t="s">
        <v>38</v>
      </c>
      <c r="F97" s="62" t="str">
        <f t="shared" si="22"/>
        <v/>
      </c>
      <c r="J97" s="62" t="str">
        <f t="shared" si="23"/>
        <v/>
      </c>
      <c r="N97" s="62" t="str">
        <f t="shared" si="24"/>
        <v/>
      </c>
      <c r="R97" s="62" t="str">
        <f t="shared" si="25"/>
        <v/>
      </c>
      <c r="V97" s="62" t="str">
        <f t="shared" si="26"/>
        <v/>
      </c>
      <c r="Y97" s="62" t="str">
        <f t="shared" si="27"/>
        <v/>
      </c>
      <c r="AB97" s="62" t="str">
        <f t="shared" si="28"/>
        <v/>
      </c>
      <c r="AF97" s="62" t="str">
        <f t="shared" si="29"/>
        <v/>
      </c>
      <c r="AI97" s="62" t="str">
        <f t="shared" si="30"/>
        <v/>
      </c>
      <c r="AM97" s="62" t="str">
        <f t="shared" si="31"/>
        <v/>
      </c>
      <c r="AQ97" s="62" t="str">
        <f t="shared" si="32"/>
        <v/>
      </c>
      <c r="AU97" s="62" t="str">
        <f t="shared" si="33"/>
        <v/>
      </c>
      <c r="AY97" s="62" t="str">
        <f t="shared" si="34"/>
        <v/>
      </c>
      <c r="BC97" s="62" t="str">
        <f t="shared" si="35"/>
        <v/>
      </c>
      <c r="BF97" s="62" t="str">
        <f t="shared" si="36"/>
        <v/>
      </c>
      <c r="BG97" s="44" t="s">
        <v>38</v>
      </c>
      <c r="BJ97" s="62" t="str">
        <f t="shared" si="37"/>
        <v/>
      </c>
      <c r="BK97" s="44">
        <v>166</v>
      </c>
      <c r="BL97" s="44">
        <v>146</v>
      </c>
      <c r="BM97" s="62">
        <f t="shared" si="38"/>
        <v>0.87951807228915657</v>
      </c>
      <c r="BN97" s="44" t="s">
        <v>38</v>
      </c>
      <c r="BO97" s="44">
        <v>7</v>
      </c>
      <c r="BP97" s="44">
        <v>13</v>
      </c>
      <c r="BQ97" s="62">
        <f t="shared" si="39"/>
        <v>1.8571428571428572</v>
      </c>
      <c r="BR97" s="44">
        <v>4.75</v>
      </c>
      <c r="BS97" s="44">
        <v>22</v>
      </c>
      <c r="BT97" s="62">
        <f t="shared" si="40"/>
        <v>4.6315789473684212</v>
      </c>
      <c r="BU97" s="44">
        <v>60</v>
      </c>
      <c r="BV97" s="44">
        <v>72</v>
      </c>
      <c r="BW97" s="62">
        <f t="shared" si="41"/>
        <v>1.2</v>
      </c>
      <c r="BX97" s="44" t="s">
        <v>38</v>
      </c>
      <c r="BY97" s="44">
        <v>49</v>
      </c>
      <c r="BZ97" s="44">
        <v>121</v>
      </c>
      <c r="CA97" s="62">
        <f t="shared" si="42"/>
        <v>2.4693877551020407</v>
      </c>
      <c r="CB97" s="44">
        <v>36</v>
      </c>
      <c r="CC97" s="44">
        <v>72</v>
      </c>
      <c r="CD97" s="62">
        <f t="shared" si="43"/>
        <v>2</v>
      </c>
    </row>
    <row r="98" spans="1:82" x14ac:dyDescent="0.3">
      <c r="A98" s="49" t="s">
        <v>26</v>
      </c>
      <c r="B98" s="49" t="s">
        <v>134</v>
      </c>
      <c r="C98" s="44" t="s">
        <v>36</v>
      </c>
      <c r="D98" s="44">
        <v>6428</v>
      </c>
      <c r="E98" s="44">
        <v>2143</v>
      </c>
      <c r="F98" s="62">
        <f t="shared" si="22"/>
        <v>0.33338518979464843</v>
      </c>
      <c r="G98" s="44" t="s">
        <v>36</v>
      </c>
      <c r="H98" s="44">
        <v>10200</v>
      </c>
      <c r="I98" s="44">
        <v>1728</v>
      </c>
      <c r="J98" s="62">
        <f t="shared" si="23"/>
        <v>0.16941176470588235</v>
      </c>
      <c r="K98" s="44" t="s">
        <v>36</v>
      </c>
      <c r="L98" s="44">
        <v>2350</v>
      </c>
      <c r="M98" s="44">
        <v>803</v>
      </c>
      <c r="N98" s="62">
        <f t="shared" si="24"/>
        <v>0.34170212765957447</v>
      </c>
      <c r="O98" s="44" t="s">
        <v>36</v>
      </c>
      <c r="P98" s="44">
        <v>3600</v>
      </c>
      <c r="Q98" s="44">
        <v>1385</v>
      </c>
      <c r="R98" s="62">
        <f t="shared" si="25"/>
        <v>0.38472222222222224</v>
      </c>
      <c r="S98" s="44" t="s">
        <v>36</v>
      </c>
      <c r="T98" s="44">
        <v>2850</v>
      </c>
      <c r="U98" s="44">
        <v>1214</v>
      </c>
      <c r="V98" s="62">
        <f t="shared" si="26"/>
        <v>0.42596491228070177</v>
      </c>
      <c r="W98" s="44">
        <v>3900</v>
      </c>
      <c r="X98" s="44">
        <v>1218</v>
      </c>
      <c r="Y98" s="62">
        <f t="shared" si="27"/>
        <v>0.31230769230769229</v>
      </c>
      <c r="Z98" s="44">
        <v>4500</v>
      </c>
      <c r="AA98" s="44">
        <v>1385</v>
      </c>
      <c r="AB98" s="62">
        <f t="shared" si="28"/>
        <v>0.30777777777777776</v>
      </c>
      <c r="AC98" s="44" t="s">
        <v>36</v>
      </c>
      <c r="AD98" s="44">
        <v>6000</v>
      </c>
      <c r="AE98" s="44">
        <v>1666</v>
      </c>
      <c r="AF98" s="62">
        <f t="shared" si="29"/>
        <v>0.27766666666666667</v>
      </c>
      <c r="AG98" s="44">
        <v>6200</v>
      </c>
      <c r="AH98" s="44">
        <v>1722</v>
      </c>
      <c r="AI98" s="62">
        <f t="shared" si="30"/>
        <v>0.27774193548387099</v>
      </c>
      <c r="AJ98" s="44" t="s">
        <v>36</v>
      </c>
      <c r="AK98" s="44">
        <v>6000</v>
      </c>
      <c r="AL98" s="44">
        <v>1765</v>
      </c>
      <c r="AM98" s="62">
        <f t="shared" si="31"/>
        <v>0.29416666666666669</v>
      </c>
      <c r="AN98" s="44" t="s">
        <v>36</v>
      </c>
      <c r="AO98" s="44">
        <v>5500</v>
      </c>
      <c r="AP98" s="44">
        <v>1719</v>
      </c>
      <c r="AQ98" s="62">
        <f t="shared" si="32"/>
        <v>0.31254545454545457</v>
      </c>
      <c r="AR98" s="44" t="s">
        <v>36</v>
      </c>
      <c r="AS98" s="44">
        <v>4000</v>
      </c>
      <c r="AT98" s="44">
        <v>1250</v>
      </c>
      <c r="AU98" s="62">
        <f t="shared" si="33"/>
        <v>0.3125</v>
      </c>
      <c r="AV98" s="44" t="s">
        <v>36</v>
      </c>
      <c r="AW98" s="44">
        <v>5001</v>
      </c>
      <c r="AX98" s="44">
        <v>1667</v>
      </c>
      <c r="AY98" s="62">
        <f t="shared" si="34"/>
        <v>0.33333333333333331</v>
      </c>
      <c r="AZ98" s="44" t="s">
        <v>36</v>
      </c>
      <c r="BA98" s="44">
        <v>3000</v>
      </c>
      <c r="BB98" s="44">
        <v>1200</v>
      </c>
      <c r="BC98" s="62">
        <f t="shared" si="35"/>
        <v>0.4</v>
      </c>
      <c r="BD98" s="44">
        <v>2800</v>
      </c>
      <c r="BE98" s="44">
        <v>1260</v>
      </c>
      <c r="BF98" s="62">
        <f t="shared" si="36"/>
        <v>0.45</v>
      </c>
      <c r="BG98" s="44" t="s">
        <v>38</v>
      </c>
      <c r="BJ98" s="62" t="str">
        <f t="shared" si="37"/>
        <v/>
      </c>
      <c r="BK98" s="44">
        <v>44</v>
      </c>
      <c r="BL98" s="44">
        <v>1</v>
      </c>
      <c r="BM98" s="62">
        <f t="shared" si="38"/>
        <v>2.2727272727272728E-2</v>
      </c>
      <c r="BN98" s="44" t="s">
        <v>38</v>
      </c>
      <c r="BO98" s="44">
        <v>32</v>
      </c>
      <c r="BP98" s="44">
        <v>5</v>
      </c>
      <c r="BQ98" s="62">
        <f t="shared" si="39"/>
        <v>0.15625</v>
      </c>
      <c r="BT98" s="62" t="str">
        <f t="shared" si="40"/>
        <v/>
      </c>
      <c r="BU98" s="44">
        <v>11</v>
      </c>
      <c r="BV98" s="44">
        <v>1</v>
      </c>
      <c r="BW98" s="62">
        <f t="shared" si="41"/>
        <v>9.0909090909090912E-2</v>
      </c>
      <c r="CA98" s="62" t="str">
        <f t="shared" si="42"/>
        <v/>
      </c>
      <c r="CD98" s="62" t="str">
        <f t="shared" si="43"/>
        <v/>
      </c>
    </row>
    <row r="99" spans="1:82" x14ac:dyDescent="0.3">
      <c r="A99" s="49" t="s">
        <v>27</v>
      </c>
      <c r="B99" s="49" t="s">
        <v>104</v>
      </c>
      <c r="C99" s="44" t="s">
        <v>38</v>
      </c>
      <c r="D99" s="44">
        <v>2314</v>
      </c>
      <c r="E99" s="44">
        <v>1543</v>
      </c>
      <c r="F99" s="62">
        <f t="shared" si="22"/>
        <v>0.66681071737251507</v>
      </c>
      <c r="G99" s="44" t="s">
        <v>38</v>
      </c>
      <c r="H99" s="44">
        <v>1567</v>
      </c>
      <c r="I99" s="44">
        <v>1242</v>
      </c>
      <c r="J99" s="62">
        <f t="shared" si="23"/>
        <v>0.79259731971920866</v>
      </c>
      <c r="K99" s="44" t="s">
        <v>38</v>
      </c>
      <c r="L99" s="44">
        <v>1000</v>
      </c>
      <c r="M99" s="44">
        <v>1162</v>
      </c>
      <c r="N99" s="62">
        <f t="shared" si="24"/>
        <v>1.1619999999999999</v>
      </c>
      <c r="O99" s="44" t="s">
        <v>38</v>
      </c>
      <c r="P99" s="44">
        <v>1276</v>
      </c>
      <c r="Q99" s="44">
        <v>1677</v>
      </c>
      <c r="R99" s="62">
        <f t="shared" si="25"/>
        <v>1.3142633228840126</v>
      </c>
      <c r="S99" s="44" t="s">
        <v>38</v>
      </c>
      <c r="T99" s="44">
        <v>1155</v>
      </c>
      <c r="U99" s="44">
        <v>1486</v>
      </c>
      <c r="V99" s="62">
        <f t="shared" si="26"/>
        <v>1.2865800865800865</v>
      </c>
      <c r="W99" s="44">
        <v>800</v>
      </c>
      <c r="X99" s="44">
        <v>912</v>
      </c>
      <c r="Y99" s="62">
        <f t="shared" si="27"/>
        <v>1.1399999999999999</v>
      </c>
      <c r="Z99" s="44">
        <v>850</v>
      </c>
      <c r="AA99" s="44">
        <v>942</v>
      </c>
      <c r="AB99" s="62">
        <f t="shared" si="28"/>
        <v>1.108235294117647</v>
      </c>
      <c r="AC99" s="44" t="s">
        <v>38</v>
      </c>
      <c r="AD99" s="44">
        <v>890</v>
      </c>
      <c r="AE99" s="44">
        <v>890</v>
      </c>
      <c r="AF99" s="62">
        <f t="shared" si="29"/>
        <v>1</v>
      </c>
      <c r="AG99" s="44">
        <v>900</v>
      </c>
      <c r="AH99" s="44">
        <v>900</v>
      </c>
      <c r="AI99" s="62">
        <f t="shared" si="30"/>
        <v>1</v>
      </c>
      <c r="AM99" s="62" t="str">
        <f t="shared" si="31"/>
        <v/>
      </c>
      <c r="AQ99" s="62" t="str">
        <f t="shared" si="32"/>
        <v/>
      </c>
      <c r="AU99" s="62" t="str">
        <f t="shared" si="33"/>
        <v/>
      </c>
      <c r="AY99" s="62" t="str">
        <f t="shared" si="34"/>
        <v/>
      </c>
      <c r="AZ99" s="44" t="s">
        <v>38</v>
      </c>
      <c r="BA99" s="44">
        <v>4300</v>
      </c>
      <c r="BB99" s="44">
        <v>1747</v>
      </c>
      <c r="BC99" s="62">
        <f t="shared" si="35"/>
        <v>0.40627906976744188</v>
      </c>
      <c r="BD99" s="44">
        <v>670</v>
      </c>
      <c r="BE99" s="44">
        <v>310</v>
      </c>
      <c r="BF99" s="62">
        <f t="shared" si="36"/>
        <v>0.46268656716417911</v>
      </c>
      <c r="BJ99" s="62" t="str">
        <f t="shared" si="37"/>
        <v/>
      </c>
      <c r="BM99" s="62" t="str">
        <f t="shared" si="38"/>
        <v/>
      </c>
      <c r="BQ99" s="62" t="str">
        <f t="shared" si="39"/>
        <v/>
      </c>
      <c r="BT99" s="62" t="str">
        <f t="shared" si="40"/>
        <v/>
      </c>
      <c r="BW99" s="62" t="str">
        <f t="shared" si="41"/>
        <v/>
      </c>
      <c r="CA99" s="62" t="str">
        <f t="shared" si="42"/>
        <v/>
      </c>
      <c r="CD99" s="62" t="str">
        <f t="shared" si="43"/>
        <v/>
      </c>
    </row>
    <row r="100" spans="1:82" x14ac:dyDescent="0.3">
      <c r="A100" s="49" t="s">
        <v>260</v>
      </c>
      <c r="B100" s="49" t="s">
        <v>104</v>
      </c>
      <c r="C100" s="44" t="s">
        <v>38</v>
      </c>
      <c r="F100" s="62" t="str">
        <f t="shared" si="22"/>
        <v/>
      </c>
      <c r="J100" s="62" t="str">
        <f t="shared" si="23"/>
        <v/>
      </c>
      <c r="N100" s="62" t="str">
        <f t="shared" si="24"/>
        <v/>
      </c>
      <c r="R100" s="62" t="str">
        <f t="shared" si="25"/>
        <v/>
      </c>
      <c r="V100" s="62" t="str">
        <f t="shared" si="26"/>
        <v/>
      </c>
      <c r="Y100" s="62" t="str">
        <f t="shared" si="27"/>
        <v/>
      </c>
      <c r="AB100" s="62" t="str">
        <f t="shared" si="28"/>
        <v/>
      </c>
      <c r="AF100" s="62" t="str">
        <f t="shared" si="29"/>
        <v/>
      </c>
      <c r="AI100" s="62" t="str">
        <f t="shared" si="30"/>
        <v/>
      </c>
      <c r="AJ100" s="44" t="s">
        <v>38</v>
      </c>
      <c r="AK100" s="44">
        <v>2500</v>
      </c>
      <c r="AL100" s="44">
        <v>735</v>
      </c>
      <c r="AM100" s="62">
        <f t="shared" si="31"/>
        <v>0.29399999999999998</v>
      </c>
      <c r="AN100" s="44" t="s">
        <v>38</v>
      </c>
      <c r="AO100" s="44">
        <v>3000</v>
      </c>
      <c r="AP100" s="44">
        <v>937</v>
      </c>
      <c r="AQ100" s="62">
        <f t="shared" si="32"/>
        <v>0.31233333333333335</v>
      </c>
      <c r="AU100" s="62" t="str">
        <f t="shared" si="33"/>
        <v/>
      </c>
      <c r="AY100" s="62" t="str">
        <f t="shared" si="34"/>
        <v/>
      </c>
      <c r="BC100" s="62" t="str">
        <f t="shared" si="35"/>
        <v/>
      </c>
      <c r="BF100" s="62" t="str">
        <f t="shared" si="36"/>
        <v/>
      </c>
      <c r="BJ100" s="62" t="str">
        <f t="shared" si="37"/>
        <v/>
      </c>
      <c r="BM100" s="62" t="str">
        <f t="shared" si="38"/>
        <v/>
      </c>
      <c r="BQ100" s="62" t="str">
        <f t="shared" si="39"/>
        <v/>
      </c>
      <c r="BT100" s="62" t="str">
        <f t="shared" si="40"/>
        <v/>
      </c>
      <c r="BW100" s="62" t="str">
        <f t="shared" si="41"/>
        <v/>
      </c>
      <c r="CA100" s="62" t="str">
        <f t="shared" si="42"/>
        <v/>
      </c>
      <c r="CD100" s="62" t="str">
        <f t="shared" si="43"/>
        <v/>
      </c>
    </row>
    <row r="101" spans="1:82" x14ac:dyDescent="0.3">
      <c r="A101" s="49" t="s">
        <v>261</v>
      </c>
      <c r="B101" s="49" t="s">
        <v>104</v>
      </c>
      <c r="C101" s="44" t="s">
        <v>38</v>
      </c>
      <c r="F101" s="62" t="str">
        <f t="shared" si="22"/>
        <v/>
      </c>
      <c r="J101" s="62" t="str">
        <f t="shared" si="23"/>
        <v/>
      </c>
      <c r="N101" s="62" t="str">
        <f t="shared" si="24"/>
        <v/>
      </c>
      <c r="R101" s="62" t="str">
        <f t="shared" si="25"/>
        <v/>
      </c>
      <c r="V101" s="62" t="str">
        <f t="shared" si="26"/>
        <v/>
      </c>
      <c r="Y101" s="62" t="str">
        <f t="shared" si="27"/>
        <v/>
      </c>
      <c r="AB101" s="62" t="str">
        <f t="shared" si="28"/>
        <v/>
      </c>
      <c r="AF101" s="62" t="str">
        <f t="shared" si="29"/>
        <v/>
      </c>
      <c r="AI101" s="62" t="str">
        <f t="shared" si="30"/>
        <v/>
      </c>
      <c r="AJ101" s="44" t="s">
        <v>38</v>
      </c>
      <c r="AK101" s="44">
        <v>450</v>
      </c>
      <c r="AL101" s="44">
        <v>186</v>
      </c>
      <c r="AM101" s="62">
        <f t="shared" si="31"/>
        <v>0.41333333333333333</v>
      </c>
      <c r="AN101" s="44" t="s">
        <v>38</v>
      </c>
      <c r="AO101" s="44">
        <v>400</v>
      </c>
      <c r="AP101" s="44">
        <v>175</v>
      </c>
      <c r="AQ101" s="62">
        <f t="shared" si="32"/>
        <v>0.4375</v>
      </c>
      <c r="AR101" s="44" t="s">
        <v>38</v>
      </c>
      <c r="AS101" s="44">
        <v>250</v>
      </c>
      <c r="AT101" s="44">
        <v>109</v>
      </c>
      <c r="AU101" s="62">
        <f t="shared" si="33"/>
        <v>0.436</v>
      </c>
      <c r="AV101" s="44" t="s">
        <v>38</v>
      </c>
      <c r="AW101" s="44">
        <v>229</v>
      </c>
      <c r="AX101" s="44">
        <v>107</v>
      </c>
      <c r="AY101" s="62">
        <f t="shared" si="34"/>
        <v>0.46724890829694321</v>
      </c>
      <c r="BC101" s="62" t="str">
        <f t="shared" si="35"/>
        <v/>
      </c>
      <c r="BF101" s="62" t="str">
        <f t="shared" si="36"/>
        <v/>
      </c>
      <c r="BJ101" s="62" t="str">
        <f t="shared" si="37"/>
        <v/>
      </c>
      <c r="BM101" s="62" t="str">
        <f t="shared" si="38"/>
        <v/>
      </c>
      <c r="BQ101" s="62" t="str">
        <f t="shared" si="39"/>
        <v/>
      </c>
      <c r="BT101" s="62" t="str">
        <f t="shared" si="40"/>
        <v/>
      </c>
      <c r="BW101" s="62" t="str">
        <f t="shared" si="41"/>
        <v/>
      </c>
      <c r="CA101" s="62" t="str">
        <f t="shared" si="42"/>
        <v/>
      </c>
      <c r="CD101" s="62" t="str">
        <f t="shared" si="43"/>
        <v/>
      </c>
    </row>
    <row r="102" spans="1:82" x14ac:dyDescent="0.3">
      <c r="A102" s="49" t="s">
        <v>262</v>
      </c>
      <c r="B102" s="49" t="s">
        <v>104</v>
      </c>
      <c r="C102" s="44" t="s">
        <v>38</v>
      </c>
      <c r="F102" s="62" t="str">
        <f t="shared" si="22"/>
        <v/>
      </c>
      <c r="J102" s="62" t="str">
        <f t="shared" si="23"/>
        <v/>
      </c>
      <c r="N102" s="62" t="str">
        <f t="shared" si="24"/>
        <v/>
      </c>
      <c r="R102" s="62" t="str">
        <f t="shared" si="25"/>
        <v/>
      </c>
      <c r="V102" s="62" t="str">
        <f t="shared" si="26"/>
        <v/>
      </c>
      <c r="Y102" s="62" t="str">
        <f t="shared" si="27"/>
        <v/>
      </c>
      <c r="AB102" s="62" t="str">
        <f t="shared" si="28"/>
        <v/>
      </c>
      <c r="AF102" s="62" t="str">
        <f t="shared" si="29"/>
        <v/>
      </c>
      <c r="AI102" s="62" t="str">
        <f t="shared" si="30"/>
        <v/>
      </c>
      <c r="AJ102" s="44" t="s">
        <v>38</v>
      </c>
      <c r="AK102" s="44">
        <v>1300</v>
      </c>
      <c r="AL102" s="44">
        <v>1025</v>
      </c>
      <c r="AM102" s="62">
        <f t="shared" si="31"/>
        <v>0.78846153846153844</v>
      </c>
      <c r="AN102" s="44" t="s">
        <v>38</v>
      </c>
      <c r="AO102" s="44">
        <v>350</v>
      </c>
      <c r="AP102" s="44">
        <v>218</v>
      </c>
      <c r="AQ102" s="62">
        <f t="shared" si="32"/>
        <v>0.62285714285714289</v>
      </c>
      <c r="AR102" s="44" t="s">
        <v>38</v>
      </c>
      <c r="AS102" s="44">
        <v>50</v>
      </c>
      <c r="AT102" s="44">
        <v>31</v>
      </c>
      <c r="AU102" s="62">
        <f t="shared" si="33"/>
        <v>0.62</v>
      </c>
      <c r="AV102" s="44" t="s">
        <v>38</v>
      </c>
      <c r="AW102" s="44">
        <v>42</v>
      </c>
      <c r="AX102" s="44">
        <v>14</v>
      </c>
      <c r="AY102" s="62">
        <f t="shared" si="34"/>
        <v>0.33333333333333331</v>
      </c>
      <c r="BC102" s="62" t="str">
        <f t="shared" si="35"/>
        <v/>
      </c>
      <c r="BF102" s="62" t="str">
        <f t="shared" si="36"/>
        <v/>
      </c>
      <c r="BJ102" s="62" t="str">
        <f t="shared" si="37"/>
        <v/>
      </c>
      <c r="BM102" s="62" t="str">
        <f t="shared" si="38"/>
        <v/>
      </c>
      <c r="BQ102" s="62" t="str">
        <f t="shared" si="39"/>
        <v/>
      </c>
      <c r="BT102" s="62" t="str">
        <f t="shared" si="40"/>
        <v/>
      </c>
      <c r="BW102" s="62" t="str">
        <f t="shared" si="41"/>
        <v/>
      </c>
      <c r="CA102" s="62" t="str">
        <f t="shared" si="42"/>
        <v/>
      </c>
      <c r="CD102" s="62" t="str">
        <f t="shared" si="43"/>
        <v/>
      </c>
    </row>
    <row r="103" spans="1:82" x14ac:dyDescent="0.3">
      <c r="A103" s="49" t="s">
        <v>28</v>
      </c>
      <c r="B103" s="49" t="s">
        <v>104</v>
      </c>
      <c r="C103" s="44" t="s">
        <v>38</v>
      </c>
      <c r="D103" s="44">
        <v>8071</v>
      </c>
      <c r="E103" s="44">
        <v>8286</v>
      </c>
      <c r="F103" s="62">
        <f t="shared" si="22"/>
        <v>1.0266385825796061</v>
      </c>
      <c r="G103" s="44" t="s">
        <v>38</v>
      </c>
      <c r="H103" s="44">
        <v>9570</v>
      </c>
      <c r="I103" s="44">
        <v>8648</v>
      </c>
      <c r="J103" s="62">
        <f t="shared" si="23"/>
        <v>0.90365726227795196</v>
      </c>
      <c r="K103" s="44" t="s">
        <v>38</v>
      </c>
      <c r="L103" s="44">
        <v>10782</v>
      </c>
      <c r="M103" s="44">
        <v>12171</v>
      </c>
      <c r="N103" s="62">
        <f t="shared" si="24"/>
        <v>1.1288258208124653</v>
      </c>
      <c r="O103" s="44" t="s">
        <v>38</v>
      </c>
      <c r="P103" s="44">
        <v>6459</v>
      </c>
      <c r="Q103" s="44">
        <v>11923</v>
      </c>
      <c r="R103" s="62">
        <f t="shared" si="25"/>
        <v>1.8459513856634153</v>
      </c>
      <c r="S103" s="44" t="s">
        <v>38</v>
      </c>
      <c r="T103" s="44">
        <v>4400</v>
      </c>
      <c r="U103" s="44">
        <v>7214</v>
      </c>
      <c r="V103" s="62">
        <f t="shared" si="26"/>
        <v>1.6395454545454546</v>
      </c>
      <c r="W103" s="44">
        <v>6600</v>
      </c>
      <c r="X103" s="44">
        <v>8650</v>
      </c>
      <c r="Y103" s="62">
        <f t="shared" si="27"/>
        <v>1.3106060606060606</v>
      </c>
      <c r="Z103" s="44">
        <v>5266.5</v>
      </c>
      <c r="AA103" s="44">
        <v>6892</v>
      </c>
      <c r="AB103" s="62">
        <f t="shared" si="28"/>
        <v>1.3086490078799962</v>
      </c>
      <c r="AC103" s="44" t="s">
        <v>38</v>
      </c>
      <c r="AD103" s="44">
        <v>2450</v>
      </c>
      <c r="AE103" s="44">
        <v>3121</v>
      </c>
      <c r="AF103" s="62">
        <f t="shared" si="29"/>
        <v>1.2738775510204081</v>
      </c>
      <c r="AG103" s="44">
        <v>2300</v>
      </c>
      <c r="AH103" s="44">
        <v>2822</v>
      </c>
      <c r="AI103" s="62">
        <f t="shared" si="30"/>
        <v>1.2269565217391305</v>
      </c>
      <c r="AJ103" s="44" t="s">
        <v>38</v>
      </c>
      <c r="AK103" s="44">
        <v>1750</v>
      </c>
      <c r="AL103" s="44">
        <v>2294</v>
      </c>
      <c r="AM103" s="62">
        <f t="shared" si="31"/>
        <v>1.3108571428571429</v>
      </c>
      <c r="AN103" s="44" t="s">
        <v>38</v>
      </c>
      <c r="AO103" s="44">
        <v>2360</v>
      </c>
      <c r="AP103" s="44">
        <v>2306</v>
      </c>
      <c r="AQ103" s="62">
        <f t="shared" si="32"/>
        <v>0.97711864406779658</v>
      </c>
      <c r="AR103" s="44" t="s">
        <v>38</v>
      </c>
      <c r="AS103" s="44">
        <v>7570</v>
      </c>
      <c r="AT103" s="44">
        <v>3038</v>
      </c>
      <c r="AU103" s="62">
        <f t="shared" si="33"/>
        <v>0.4013210039630119</v>
      </c>
      <c r="AV103" s="44" t="s">
        <v>38</v>
      </c>
      <c r="AW103" s="44">
        <v>5150</v>
      </c>
      <c r="AX103" s="44">
        <v>5400</v>
      </c>
      <c r="AY103" s="62">
        <f t="shared" si="34"/>
        <v>1.0485436893203883</v>
      </c>
      <c r="AZ103" s="44" t="s">
        <v>38</v>
      </c>
      <c r="BA103" s="44">
        <v>3600</v>
      </c>
      <c r="BB103" s="44">
        <v>3766</v>
      </c>
      <c r="BC103" s="62">
        <f t="shared" si="35"/>
        <v>1.0461111111111112</v>
      </c>
      <c r="BD103" s="44">
        <v>6050</v>
      </c>
      <c r="BE103" s="44">
        <v>6133</v>
      </c>
      <c r="BF103" s="62">
        <f t="shared" si="36"/>
        <v>1.0137190082644627</v>
      </c>
      <c r="BJ103" s="62" t="str">
        <f t="shared" si="37"/>
        <v/>
      </c>
      <c r="BM103" s="62" t="str">
        <f t="shared" si="38"/>
        <v/>
      </c>
      <c r="BN103" s="44" t="s">
        <v>38</v>
      </c>
      <c r="BO103" s="44">
        <v>995</v>
      </c>
      <c r="BP103" s="44">
        <v>172</v>
      </c>
      <c r="BQ103" s="62">
        <f t="shared" si="39"/>
        <v>0.17286432160804019</v>
      </c>
      <c r="BR103" s="44">
        <v>5084.75</v>
      </c>
      <c r="BS103" s="44">
        <v>672</v>
      </c>
      <c r="BT103" s="62">
        <f t="shared" si="40"/>
        <v>0.13215988986675845</v>
      </c>
      <c r="BU103" s="44">
        <v>1641</v>
      </c>
      <c r="BV103" s="44">
        <v>321</v>
      </c>
      <c r="BW103" s="62">
        <f t="shared" si="41"/>
        <v>0.19561243144424131</v>
      </c>
      <c r="CA103" s="62" t="str">
        <f t="shared" si="42"/>
        <v/>
      </c>
      <c r="CD103" s="62" t="str">
        <f t="shared" si="43"/>
        <v/>
      </c>
    </row>
    <row r="104" spans="1:82" x14ac:dyDescent="0.3">
      <c r="A104" s="49" t="s">
        <v>29</v>
      </c>
      <c r="B104" s="49" t="s">
        <v>104</v>
      </c>
      <c r="C104" s="44" t="s">
        <v>38</v>
      </c>
      <c r="D104" s="44">
        <v>18</v>
      </c>
      <c r="E104" s="44">
        <v>957</v>
      </c>
      <c r="F104" s="62">
        <f t="shared" si="22"/>
        <v>53.166666666666664</v>
      </c>
      <c r="G104" s="44" t="s">
        <v>38</v>
      </c>
      <c r="H104" s="44">
        <f>$F$192*15</f>
        <v>32.410714285714285</v>
      </c>
      <c r="I104" s="44">
        <v>672</v>
      </c>
      <c r="J104" s="62">
        <f t="shared" si="23"/>
        <v>20.73388429752066</v>
      </c>
      <c r="K104" s="44" t="s">
        <v>38</v>
      </c>
      <c r="L104" s="44">
        <f>1105/$D$139</f>
        <v>9.8660714285714288</v>
      </c>
      <c r="M104" s="44">
        <v>756</v>
      </c>
      <c r="N104" s="62">
        <f t="shared" si="24"/>
        <v>76.6262443438914</v>
      </c>
      <c r="O104" s="44" t="s">
        <v>38</v>
      </c>
      <c r="P104" s="44">
        <f>1400/$D$139</f>
        <v>12.5</v>
      </c>
      <c r="Q104" s="44">
        <v>1077</v>
      </c>
      <c r="R104" s="62">
        <f t="shared" si="25"/>
        <v>86.16</v>
      </c>
      <c r="S104" s="44" t="s">
        <v>38</v>
      </c>
      <c r="T104" s="44">
        <f>1700/$D$139</f>
        <v>15.178571428571429</v>
      </c>
      <c r="U104" s="44">
        <v>1214</v>
      </c>
      <c r="V104" s="62">
        <f t="shared" si="26"/>
        <v>79.981176470588238</v>
      </c>
      <c r="W104" s="44">
        <f>1500/$D$139</f>
        <v>13.392857142857142</v>
      </c>
      <c r="X104" s="44">
        <v>937</v>
      </c>
      <c r="Y104" s="62">
        <f t="shared" si="27"/>
        <v>69.962666666666664</v>
      </c>
      <c r="Z104" s="44">
        <f>1100/$D$139</f>
        <v>9.8214285714285712</v>
      </c>
      <c r="AA104" s="44">
        <v>677</v>
      </c>
      <c r="AB104" s="62">
        <f t="shared" si="28"/>
        <v>68.930909090909097</v>
      </c>
      <c r="AC104" s="44" t="s">
        <v>38</v>
      </c>
      <c r="AD104" s="44">
        <f>1200/$D$139</f>
        <v>10.714285714285714</v>
      </c>
      <c r="AE104" s="44">
        <v>666</v>
      </c>
      <c r="AF104" s="62">
        <f t="shared" si="29"/>
        <v>62.160000000000004</v>
      </c>
      <c r="AG104" s="44">
        <f>1010/$D$139</f>
        <v>9.0178571428571423</v>
      </c>
      <c r="AH104" s="44">
        <v>561</v>
      </c>
      <c r="AI104" s="62">
        <f t="shared" si="30"/>
        <v>62.209900990099015</v>
      </c>
      <c r="AJ104" s="44" t="s">
        <v>38</v>
      </c>
      <c r="AK104" s="44">
        <f>150/$D$139</f>
        <v>1.3392857142857142</v>
      </c>
      <c r="AL104" s="44">
        <v>88</v>
      </c>
      <c r="AM104" s="62">
        <f t="shared" si="31"/>
        <v>65.706666666666678</v>
      </c>
      <c r="AN104" s="44" t="s">
        <v>38</v>
      </c>
      <c r="AO104" s="44">
        <f>600/$D$139</f>
        <v>5.3571428571428568</v>
      </c>
      <c r="AP104" s="44">
        <v>374</v>
      </c>
      <c r="AQ104" s="62">
        <f t="shared" si="32"/>
        <v>69.813333333333333</v>
      </c>
      <c r="AR104" s="44" t="s">
        <v>38</v>
      </c>
      <c r="AS104" s="44">
        <f>450/$D$139</f>
        <v>4.0178571428571432</v>
      </c>
      <c r="AT104" s="44">
        <v>281</v>
      </c>
      <c r="AU104" s="62">
        <f t="shared" si="33"/>
        <v>69.937777777777768</v>
      </c>
      <c r="AV104" s="44" t="s">
        <v>38</v>
      </c>
      <c r="AW104" s="44">
        <f>579/$D$139</f>
        <v>5.1696428571428568</v>
      </c>
      <c r="AX104" s="44">
        <v>386</v>
      </c>
      <c r="AY104" s="62">
        <f t="shared" si="34"/>
        <v>74.666666666666671</v>
      </c>
      <c r="AZ104" s="44" t="s">
        <v>38</v>
      </c>
      <c r="BA104" s="44">
        <f>450/$D$139</f>
        <v>4.0178571428571432</v>
      </c>
      <c r="BB104" s="44">
        <v>300</v>
      </c>
      <c r="BC104" s="62">
        <f t="shared" si="35"/>
        <v>74.666666666666657</v>
      </c>
      <c r="BD104" s="44">
        <f>600/$D$139</f>
        <v>5.3571428571428568</v>
      </c>
      <c r="BE104" s="44">
        <v>400</v>
      </c>
      <c r="BF104" s="62">
        <f t="shared" si="36"/>
        <v>74.666666666666671</v>
      </c>
      <c r="BJ104" s="62" t="str">
        <f t="shared" si="37"/>
        <v/>
      </c>
      <c r="BM104" s="62" t="str">
        <f t="shared" si="38"/>
        <v/>
      </c>
      <c r="BN104" s="44" t="s">
        <v>38</v>
      </c>
      <c r="BQ104" s="62" t="str">
        <f t="shared" si="39"/>
        <v/>
      </c>
      <c r="BR104" s="44">
        <v>4.75</v>
      </c>
      <c r="BS104" s="44">
        <v>198</v>
      </c>
      <c r="BT104" s="62">
        <f t="shared" si="40"/>
        <v>41.684210526315788</v>
      </c>
      <c r="BU104" s="44">
        <v>7.25</v>
      </c>
      <c r="BV104" s="44">
        <v>492</v>
      </c>
      <c r="BW104" s="62">
        <f t="shared" si="41"/>
        <v>67.862068965517238</v>
      </c>
      <c r="BX104" s="44" t="s">
        <v>38</v>
      </c>
      <c r="BY104" s="44">
        <v>12</v>
      </c>
      <c r="BZ104" s="44">
        <v>411</v>
      </c>
      <c r="CA104" s="62">
        <f t="shared" si="42"/>
        <v>34.25</v>
      </c>
      <c r="CB104" s="44">
        <v>17</v>
      </c>
      <c r="CC104" s="44">
        <v>398</v>
      </c>
      <c r="CD104" s="62">
        <f t="shared" si="43"/>
        <v>23.411764705882351</v>
      </c>
    </row>
    <row r="105" spans="1:82" x14ac:dyDescent="0.3">
      <c r="A105" s="49" t="s">
        <v>184</v>
      </c>
      <c r="B105" s="49" t="s">
        <v>104</v>
      </c>
      <c r="C105" s="44" t="s">
        <v>38</v>
      </c>
      <c r="F105" s="62" t="str">
        <f t="shared" si="22"/>
        <v/>
      </c>
      <c r="J105" s="62" t="str">
        <f t="shared" si="23"/>
        <v/>
      </c>
      <c r="N105" s="62" t="str">
        <f t="shared" si="24"/>
        <v/>
      </c>
      <c r="R105" s="62" t="str">
        <f t="shared" si="25"/>
        <v/>
      </c>
      <c r="V105" s="62" t="str">
        <f t="shared" si="26"/>
        <v/>
      </c>
      <c r="Y105" s="62" t="str">
        <f t="shared" si="27"/>
        <v/>
      </c>
      <c r="AB105" s="62" t="str">
        <f t="shared" si="28"/>
        <v/>
      </c>
      <c r="AF105" s="62" t="str">
        <f t="shared" si="29"/>
        <v/>
      </c>
      <c r="AI105" s="62" t="str">
        <f t="shared" si="30"/>
        <v/>
      </c>
      <c r="AM105" s="62" t="str">
        <f t="shared" si="31"/>
        <v/>
      </c>
      <c r="AQ105" s="62" t="str">
        <f t="shared" si="32"/>
        <v/>
      </c>
      <c r="AU105" s="62" t="str">
        <f t="shared" si="33"/>
        <v/>
      </c>
      <c r="AY105" s="62" t="str">
        <f t="shared" si="34"/>
        <v/>
      </c>
      <c r="BC105" s="62" t="str">
        <f t="shared" si="35"/>
        <v/>
      </c>
      <c r="BF105" s="62" t="str">
        <f t="shared" si="36"/>
        <v/>
      </c>
      <c r="BJ105" s="62" t="str">
        <f t="shared" si="37"/>
        <v/>
      </c>
      <c r="BM105" s="62" t="str">
        <f t="shared" si="38"/>
        <v/>
      </c>
      <c r="BQ105" s="62" t="str">
        <f t="shared" si="39"/>
        <v/>
      </c>
      <c r="BT105" s="62" t="str">
        <f t="shared" si="40"/>
        <v/>
      </c>
      <c r="BW105" s="62" t="str">
        <f t="shared" si="41"/>
        <v/>
      </c>
      <c r="CA105" s="62" t="str">
        <f t="shared" si="42"/>
        <v/>
      </c>
      <c r="CD105" s="62" t="str">
        <f t="shared" si="43"/>
        <v/>
      </c>
    </row>
    <row r="106" spans="1:82" x14ac:dyDescent="0.3">
      <c r="A106" s="49" t="s">
        <v>348</v>
      </c>
      <c r="B106" s="49" t="s">
        <v>292</v>
      </c>
      <c r="C106" s="44" t="s">
        <v>35</v>
      </c>
      <c r="F106" s="62" t="str">
        <f t="shared" si="22"/>
        <v/>
      </c>
      <c r="J106" s="62" t="str">
        <f t="shared" si="23"/>
        <v/>
      </c>
      <c r="N106" s="62" t="str">
        <f t="shared" si="24"/>
        <v/>
      </c>
      <c r="R106" s="62" t="str">
        <f t="shared" si="25"/>
        <v/>
      </c>
      <c r="V106" s="62" t="str">
        <f t="shared" si="26"/>
        <v/>
      </c>
      <c r="Y106" s="62" t="str">
        <f t="shared" si="27"/>
        <v/>
      </c>
      <c r="AB106" s="62" t="str">
        <f t="shared" si="28"/>
        <v/>
      </c>
      <c r="AF106" s="62" t="str">
        <f t="shared" si="29"/>
        <v/>
      </c>
      <c r="AI106" s="62" t="str">
        <f t="shared" si="30"/>
        <v/>
      </c>
      <c r="AM106" s="62" t="str">
        <f t="shared" si="31"/>
        <v/>
      </c>
      <c r="AQ106" s="62" t="str">
        <f t="shared" si="32"/>
        <v/>
      </c>
      <c r="AR106" s="44" t="s">
        <v>35</v>
      </c>
      <c r="AS106" s="44">
        <v>330</v>
      </c>
      <c r="AT106" s="44">
        <v>1031</v>
      </c>
      <c r="AU106" s="62">
        <f t="shared" si="33"/>
        <v>3.124242424242424</v>
      </c>
      <c r="AV106" s="44" t="s">
        <v>35</v>
      </c>
      <c r="AW106" s="54">
        <v>500</v>
      </c>
      <c r="AX106" s="44">
        <v>1668</v>
      </c>
      <c r="AY106" s="62">
        <f t="shared" si="34"/>
        <v>3.3359999999999999</v>
      </c>
      <c r="BC106" s="62" t="str">
        <f t="shared" si="35"/>
        <v/>
      </c>
      <c r="BF106" s="62" t="str">
        <f t="shared" si="36"/>
        <v/>
      </c>
      <c r="BG106" s="44" t="s">
        <v>38</v>
      </c>
      <c r="BH106" s="44">
        <v>32</v>
      </c>
      <c r="BI106" s="44">
        <v>1343</v>
      </c>
      <c r="BJ106" s="62">
        <f t="shared" si="37"/>
        <v>41.96875</v>
      </c>
      <c r="BK106" s="44">
        <v>19</v>
      </c>
      <c r="BL106" s="44">
        <v>1223</v>
      </c>
      <c r="BM106" s="62">
        <f t="shared" si="38"/>
        <v>64.368421052631575</v>
      </c>
      <c r="BN106" s="44" t="s">
        <v>38</v>
      </c>
      <c r="BO106" s="44">
        <v>12</v>
      </c>
      <c r="BP106" s="44">
        <v>717</v>
      </c>
      <c r="BQ106" s="62">
        <f t="shared" si="39"/>
        <v>59.75</v>
      </c>
      <c r="BR106" s="44">
        <v>9.75</v>
      </c>
      <c r="BS106" s="44">
        <v>583</v>
      </c>
      <c r="BT106" s="62">
        <f t="shared" si="40"/>
        <v>59.794871794871796</v>
      </c>
      <c r="BU106" s="44">
        <v>10</v>
      </c>
      <c r="BV106" s="44">
        <v>628</v>
      </c>
      <c r="BW106" s="62">
        <f t="shared" si="41"/>
        <v>62.8</v>
      </c>
      <c r="BX106" s="44" t="s">
        <v>38</v>
      </c>
      <c r="BY106" s="44">
        <v>20.25</v>
      </c>
      <c r="BZ106" s="44">
        <v>878</v>
      </c>
      <c r="CA106" s="62">
        <f t="shared" si="42"/>
        <v>43.358024691358025</v>
      </c>
      <c r="CB106" s="44">
        <v>32.75</v>
      </c>
      <c r="CC106" s="44">
        <v>1524</v>
      </c>
      <c r="CD106" s="62">
        <f t="shared" si="43"/>
        <v>46.534351145038165</v>
      </c>
    </row>
    <row r="107" spans="1:82" x14ac:dyDescent="0.3">
      <c r="A107" s="49" t="s">
        <v>349</v>
      </c>
      <c r="B107" s="49" t="s">
        <v>104</v>
      </c>
      <c r="C107" s="44" t="s">
        <v>38</v>
      </c>
      <c r="F107" s="62" t="str">
        <f t="shared" si="22"/>
        <v/>
      </c>
      <c r="J107" s="62" t="str">
        <f t="shared" si="23"/>
        <v/>
      </c>
      <c r="N107" s="62" t="str">
        <f t="shared" si="24"/>
        <v/>
      </c>
      <c r="R107" s="62" t="str">
        <f t="shared" si="25"/>
        <v/>
      </c>
      <c r="V107" s="62" t="str">
        <f t="shared" si="26"/>
        <v/>
      </c>
      <c r="Y107" s="62" t="str">
        <f t="shared" si="27"/>
        <v/>
      </c>
      <c r="AB107" s="62" t="str">
        <f t="shared" si="28"/>
        <v/>
      </c>
      <c r="AF107" s="62" t="str">
        <f t="shared" si="29"/>
        <v/>
      </c>
      <c r="AI107" s="62" t="str">
        <f t="shared" si="30"/>
        <v/>
      </c>
      <c r="AM107" s="62" t="str">
        <f t="shared" si="31"/>
        <v/>
      </c>
      <c r="AQ107" s="62" t="str">
        <f t="shared" si="32"/>
        <v/>
      </c>
      <c r="AU107" s="62" t="str">
        <f t="shared" si="33"/>
        <v/>
      </c>
      <c r="AW107" s="32"/>
      <c r="AY107" s="62" t="str">
        <f t="shared" si="34"/>
        <v/>
      </c>
      <c r="BC107" s="62" t="str">
        <f t="shared" si="35"/>
        <v/>
      </c>
      <c r="BF107" s="62" t="str">
        <f t="shared" si="36"/>
        <v/>
      </c>
      <c r="BJ107" s="62" t="str">
        <f t="shared" si="37"/>
        <v/>
      </c>
      <c r="BM107" s="62" t="str">
        <f t="shared" si="38"/>
        <v/>
      </c>
      <c r="BN107" s="44" t="s">
        <v>38</v>
      </c>
      <c r="BQ107" s="62" t="str">
        <f t="shared" si="39"/>
        <v/>
      </c>
      <c r="BR107" s="44">
        <v>1.5</v>
      </c>
      <c r="BS107" s="44">
        <v>64</v>
      </c>
      <c r="BT107" s="62">
        <f t="shared" si="40"/>
        <v>42.666666666666664</v>
      </c>
      <c r="BU107" s="44">
        <v>1.5</v>
      </c>
      <c r="BV107" s="44">
        <v>144</v>
      </c>
      <c r="BW107" s="62">
        <f t="shared" si="41"/>
        <v>96</v>
      </c>
      <c r="CA107" s="62" t="str">
        <f t="shared" si="42"/>
        <v/>
      </c>
      <c r="CD107" s="62" t="str">
        <f t="shared" si="43"/>
        <v/>
      </c>
    </row>
    <row r="108" spans="1:82" x14ac:dyDescent="0.3">
      <c r="A108" s="49" t="s">
        <v>50</v>
      </c>
      <c r="B108" s="49" t="s">
        <v>104</v>
      </c>
      <c r="C108" s="44" t="s">
        <v>38</v>
      </c>
      <c r="F108" s="62" t="str">
        <f t="shared" si="22"/>
        <v/>
      </c>
      <c r="J108" s="62" t="str">
        <f t="shared" si="23"/>
        <v/>
      </c>
      <c r="N108" s="62" t="str">
        <f t="shared" si="24"/>
        <v/>
      </c>
      <c r="R108" s="62" t="str">
        <f t="shared" si="25"/>
        <v/>
      </c>
      <c r="V108" s="62" t="str">
        <f t="shared" si="26"/>
        <v/>
      </c>
      <c r="Y108" s="62" t="str">
        <f t="shared" si="27"/>
        <v/>
      </c>
      <c r="AB108" s="62" t="str">
        <f t="shared" si="28"/>
        <v/>
      </c>
      <c r="AF108" s="62" t="str">
        <f t="shared" si="29"/>
        <v/>
      </c>
      <c r="AI108" s="62" t="str">
        <f t="shared" si="30"/>
        <v/>
      </c>
      <c r="AM108" s="62" t="str">
        <f t="shared" si="31"/>
        <v/>
      </c>
      <c r="AQ108" s="62" t="str">
        <f t="shared" si="32"/>
        <v/>
      </c>
      <c r="AU108" s="62" t="str">
        <f t="shared" si="33"/>
        <v/>
      </c>
      <c r="AW108" s="32"/>
      <c r="AY108" s="62" t="str">
        <f t="shared" si="34"/>
        <v/>
      </c>
      <c r="BC108" s="62" t="str">
        <f t="shared" si="35"/>
        <v/>
      </c>
      <c r="BF108" s="62" t="str">
        <f t="shared" si="36"/>
        <v/>
      </c>
      <c r="BG108" s="44" t="s">
        <v>38</v>
      </c>
      <c r="BH108" s="44">
        <v>84</v>
      </c>
      <c r="BI108" s="44">
        <v>95</v>
      </c>
      <c r="BJ108" s="62">
        <f t="shared" si="37"/>
        <v>1.1309523809523809</v>
      </c>
      <c r="BK108" s="44">
        <v>76</v>
      </c>
      <c r="BL108" s="44">
        <v>117</v>
      </c>
      <c r="BM108" s="62">
        <f t="shared" si="38"/>
        <v>1.5394736842105263</v>
      </c>
      <c r="BN108" s="44" t="s">
        <v>38</v>
      </c>
      <c r="BO108" s="44">
        <v>117</v>
      </c>
      <c r="BP108" s="44">
        <v>117</v>
      </c>
      <c r="BQ108" s="62">
        <f t="shared" si="39"/>
        <v>1</v>
      </c>
      <c r="BR108" s="44">
        <v>62</v>
      </c>
      <c r="BS108" s="44">
        <v>89</v>
      </c>
      <c r="BT108" s="62">
        <f t="shared" si="40"/>
        <v>1.435483870967742</v>
      </c>
      <c r="BU108" s="44">
        <v>15</v>
      </c>
      <c r="BV108" s="44">
        <v>28</v>
      </c>
      <c r="BW108" s="62">
        <f t="shared" si="41"/>
        <v>1.8666666666666667</v>
      </c>
      <c r="BX108" s="44" t="s">
        <v>38</v>
      </c>
      <c r="BY108" s="44">
        <v>144.25</v>
      </c>
      <c r="BZ108" s="44">
        <v>201</v>
      </c>
      <c r="CA108" s="62">
        <f t="shared" si="42"/>
        <v>1.3934142114384749</v>
      </c>
      <c r="CB108" s="44">
        <v>154</v>
      </c>
      <c r="CC108" s="44">
        <v>173.5</v>
      </c>
      <c r="CD108" s="62">
        <f t="shared" si="43"/>
        <v>1.1266233766233766</v>
      </c>
    </row>
    <row r="109" spans="1:82" x14ac:dyDescent="0.3">
      <c r="A109" s="49" t="s">
        <v>30</v>
      </c>
      <c r="B109" s="49" t="s">
        <v>104</v>
      </c>
      <c r="C109" s="44" t="s">
        <v>38</v>
      </c>
      <c r="D109" s="44">
        <v>3643</v>
      </c>
      <c r="E109" s="44">
        <v>6500</v>
      </c>
      <c r="F109" s="62">
        <f t="shared" si="22"/>
        <v>1.7842437551468571</v>
      </c>
      <c r="G109" s="44" t="s">
        <v>38</v>
      </c>
      <c r="H109" s="44">
        <v>4628</v>
      </c>
      <c r="I109" s="44">
        <v>6481</v>
      </c>
      <c r="J109" s="62">
        <f t="shared" si="23"/>
        <v>1.4003889369057909</v>
      </c>
      <c r="K109" s="44" t="s">
        <v>38</v>
      </c>
      <c r="L109" s="44">
        <v>3125</v>
      </c>
      <c r="M109" s="44">
        <v>6410</v>
      </c>
      <c r="N109" s="62">
        <f t="shared" si="24"/>
        <v>2.0512000000000001</v>
      </c>
      <c r="O109" s="44" t="s">
        <v>38</v>
      </c>
      <c r="P109" s="44">
        <v>2870</v>
      </c>
      <c r="Q109" s="44">
        <v>6615</v>
      </c>
      <c r="R109" s="62">
        <f t="shared" si="25"/>
        <v>2.3048780487804876</v>
      </c>
      <c r="S109" s="44" t="s">
        <v>38</v>
      </c>
      <c r="T109" s="44">
        <v>4500</v>
      </c>
      <c r="U109" s="44">
        <v>8036</v>
      </c>
      <c r="V109" s="62">
        <f t="shared" si="26"/>
        <v>1.7857777777777777</v>
      </c>
      <c r="W109" s="44">
        <v>3600</v>
      </c>
      <c r="X109" s="44">
        <v>5625</v>
      </c>
      <c r="Y109" s="62">
        <f t="shared" si="27"/>
        <v>1.5625</v>
      </c>
      <c r="Z109" s="44">
        <v>3420</v>
      </c>
      <c r="AA109" s="44">
        <v>5262</v>
      </c>
      <c r="AB109" s="62">
        <f t="shared" si="28"/>
        <v>1.5385964912280701</v>
      </c>
      <c r="AC109" s="44" t="s">
        <v>38</v>
      </c>
      <c r="AD109" s="44">
        <v>3500</v>
      </c>
      <c r="AE109" s="44">
        <v>4861</v>
      </c>
      <c r="AF109" s="62">
        <f t="shared" si="29"/>
        <v>1.3888571428571428</v>
      </c>
      <c r="AG109" s="44">
        <v>2840</v>
      </c>
      <c r="AH109" s="44">
        <v>3944</v>
      </c>
      <c r="AI109" s="62">
        <f t="shared" si="30"/>
        <v>1.3887323943661971</v>
      </c>
      <c r="AM109" s="62" t="str">
        <f t="shared" si="31"/>
        <v/>
      </c>
      <c r="AQ109" s="62" t="str">
        <f t="shared" si="32"/>
        <v/>
      </c>
      <c r="AR109" s="44" t="s">
        <v>38</v>
      </c>
      <c r="AS109" s="44">
        <v>1800</v>
      </c>
      <c r="AT109" s="44">
        <v>2666</v>
      </c>
      <c r="AU109" s="62">
        <f t="shared" si="33"/>
        <v>1.481111111111111</v>
      </c>
      <c r="AV109" s="44" t="s">
        <v>38</v>
      </c>
      <c r="AW109" s="44">
        <v>1300</v>
      </c>
      <c r="AX109" s="44">
        <v>2125</v>
      </c>
      <c r="AY109" s="62">
        <f t="shared" si="34"/>
        <v>1.6346153846153846</v>
      </c>
      <c r="AZ109" s="44" t="s">
        <v>38</v>
      </c>
      <c r="BA109" s="44">
        <v>1075</v>
      </c>
      <c r="BB109" s="44">
        <v>2042</v>
      </c>
      <c r="BC109" s="62">
        <f t="shared" si="35"/>
        <v>1.8995348837209303</v>
      </c>
      <c r="BD109" s="44">
        <v>1517</v>
      </c>
      <c r="BE109" s="44">
        <v>2280</v>
      </c>
      <c r="BF109" s="62">
        <f t="shared" si="36"/>
        <v>1.5029663810151614</v>
      </c>
      <c r="BG109" s="44" t="s">
        <v>38</v>
      </c>
      <c r="BH109" s="44">
        <v>619</v>
      </c>
      <c r="BI109" s="44">
        <v>833</v>
      </c>
      <c r="BJ109" s="62">
        <f t="shared" si="37"/>
        <v>1.3457189014539579</v>
      </c>
      <c r="BK109" s="44">
        <v>405</v>
      </c>
      <c r="BL109" s="44">
        <v>294</v>
      </c>
      <c r="BM109" s="62">
        <f t="shared" si="38"/>
        <v>0.72592592592592597</v>
      </c>
      <c r="BQ109" s="62" t="str">
        <f t="shared" si="39"/>
        <v/>
      </c>
      <c r="BT109" s="62" t="str">
        <f t="shared" si="40"/>
        <v/>
      </c>
      <c r="BW109" s="62" t="str">
        <f t="shared" si="41"/>
        <v/>
      </c>
      <c r="CA109" s="62" t="str">
        <f t="shared" si="42"/>
        <v/>
      </c>
      <c r="CD109" s="62" t="str">
        <f t="shared" si="43"/>
        <v/>
      </c>
    </row>
    <row r="110" spans="1:82" x14ac:dyDescent="0.3">
      <c r="A110" s="49" t="s">
        <v>263</v>
      </c>
      <c r="B110" s="49" t="s">
        <v>104</v>
      </c>
      <c r="C110" s="44" t="s">
        <v>38</v>
      </c>
      <c r="F110" s="62" t="str">
        <f t="shared" si="22"/>
        <v/>
      </c>
      <c r="J110" s="62" t="str">
        <f t="shared" si="23"/>
        <v/>
      </c>
      <c r="N110" s="62" t="str">
        <f t="shared" si="24"/>
        <v/>
      </c>
      <c r="R110" s="62" t="str">
        <f t="shared" si="25"/>
        <v/>
      </c>
      <c r="V110" s="62" t="str">
        <f t="shared" si="26"/>
        <v/>
      </c>
      <c r="Y110" s="62" t="str">
        <f t="shared" si="27"/>
        <v/>
      </c>
      <c r="AB110" s="62" t="str">
        <f t="shared" si="28"/>
        <v/>
      </c>
      <c r="AF110" s="62" t="str">
        <f t="shared" si="29"/>
        <v/>
      </c>
      <c r="AI110" s="62" t="str">
        <f t="shared" si="30"/>
        <v/>
      </c>
      <c r="AJ110" s="44" t="s">
        <v>38</v>
      </c>
      <c r="AK110" s="44">
        <v>1200</v>
      </c>
      <c r="AL110" s="44">
        <v>706</v>
      </c>
      <c r="AM110" s="62">
        <f t="shared" si="31"/>
        <v>0.58833333333333337</v>
      </c>
      <c r="AN110" s="44" t="s">
        <v>38</v>
      </c>
      <c r="AO110" s="44">
        <v>1200</v>
      </c>
      <c r="AP110" s="44">
        <v>1125</v>
      </c>
      <c r="AQ110" s="62">
        <f t="shared" si="32"/>
        <v>0.9375</v>
      </c>
      <c r="AU110" s="62" t="str">
        <f t="shared" si="33"/>
        <v/>
      </c>
      <c r="AY110" s="62" t="str">
        <f t="shared" si="34"/>
        <v/>
      </c>
      <c r="BC110" s="62" t="str">
        <f t="shared" si="35"/>
        <v/>
      </c>
      <c r="BF110" s="62" t="str">
        <f t="shared" si="36"/>
        <v/>
      </c>
      <c r="BJ110" s="62" t="str">
        <f t="shared" si="37"/>
        <v/>
      </c>
      <c r="BM110" s="62" t="str">
        <f t="shared" si="38"/>
        <v/>
      </c>
      <c r="BQ110" s="62" t="str">
        <f t="shared" si="39"/>
        <v/>
      </c>
      <c r="BT110" s="62" t="str">
        <f t="shared" si="40"/>
        <v/>
      </c>
      <c r="BW110" s="62" t="str">
        <f t="shared" si="41"/>
        <v/>
      </c>
      <c r="CA110" s="62" t="str">
        <f t="shared" si="42"/>
        <v/>
      </c>
      <c r="CD110" s="62" t="str">
        <f t="shared" si="43"/>
        <v/>
      </c>
    </row>
    <row r="111" spans="1:82" x14ac:dyDescent="0.3">
      <c r="A111" s="49" t="s">
        <v>264</v>
      </c>
      <c r="B111" s="49" t="s">
        <v>104</v>
      </c>
      <c r="C111" s="44" t="s">
        <v>38</v>
      </c>
      <c r="F111" s="62" t="str">
        <f t="shared" si="22"/>
        <v/>
      </c>
      <c r="J111" s="62" t="str">
        <f t="shared" si="23"/>
        <v/>
      </c>
      <c r="N111" s="62" t="str">
        <f t="shared" si="24"/>
        <v/>
      </c>
      <c r="R111" s="62" t="str">
        <f t="shared" si="25"/>
        <v/>
      </c>
      <c r="V111" s="62" t="str">
        <f t="shared" si="26"/>
        <v/>
      </c>
      <c r="Y111" s="62" t="str">
        <f t="shared" si="27"/>
        <v/>
      </c>
      <c r="AB111" s="62" t="str">
        <f t="shared" si="28"/>
        <v/>
      </c>
      <c r="AF111" s="62" t="str">
        <f t="shared" si="29"/>
        <v/>
      </c>
      <c r="AI111" s="62" t="str">
        <f t="shared" si="30"/>
        <v/>
      </c>
      <c r="AJ111" s="44" t="s">
        <v>38</v>
      </c>
      <c r="AK111" s="44">
        <v>500</v>
      </c>
      <c r="AL111" s="44">
        <v>706</v>
      </c>
      <c r="AM111" s="62">
        <f t="shared" si="31"/>
        <v>1.4119999999999999</v>
      </c>
      <c r="AN111" s="44" t="s">
        <v>38</v>
      </c>
      <c r="AO111" s="44">
        <v>400</v>
      </c>
      <c r="AP111" s="44">
        <v>625</v>
      </c>
      <c r="AQ111" s="62">
        <f t="shared" si="32"/>
        <v>1.5625</v>
      </c>
      <c r="AU111" s="62" t="str">
        <f t="shared" si="33"/>
        <v/>
      </c>
      <c r="AY111" s="62" t="str">
        <f t="shared" si="34"/>
        <v/>
      </c>
      <c r="BC111" s="62" t="str">
        <f t="shared" si="35"/>
        <v/>
      </c>
      <c r="BF111" s="62" t="str">
        <f t="shared" si="36"/>
        <v/>
      </c>
      <c r="BJ111" s="62" t="str">
        <f t="shared" si="37"/>
        <v/>
      </c>
      <c r="BM111" s="62" t="str">
        <f t="shared" si="38"/>
        <v/>
      </c>
      <c r="BQ111" s="62" t="str">
        <f t="shared" si="39"/>
        <v/>
      </c>
      <c r="BT111" s="62" t="str">
        <f t="shared" si="40"/>
        <v/>
      </c>
      <c r="BW111" s="62" t="str">
        <f t="shared" si="41"/>
        <v/>
      </c>
      <c r="CA111" s="62" t="str">
        <f t="shared" si="42"/>
        <v/>
      </c>
      <c r="CD111" s="62" t="str">
        <f t="shared" si="43"/>
        <v/>
      </c>
    </row>
    <row r="112" spans="1:82" x14ac:dyDescent="0.3">
      <c r="A112" s="49" t="s">
        <v>120</v>
      </c>
      <c r="B112" s="49" t="s">
        <v>104</v>
      </c>
      <c r="C112" s="44" t="s">
        <v>38</v>
      </c>
      <c r="F112" s="62" t="str">
        <f t="shared" si="22"/>
        <v/>
      </c>
      <c r="J112" s="62" t="str">
        <f t="shared" si="23"/>
        <v/>
      </c>
      <c r="N112" s="62" t="str">
        <f t="shared" si="24"/>
        <v/>
      </c>
      <c r="R112" s="62" t="str">
        <f t="shared" si="25"/>
        <v/>
      </c>
      <c r="V112" s="62" t="str">
        <f t="shared" si="26"/>
        <v/>
      </c>
      <c r="Y112" s="62" t="str">
        <f t="shared" si="27"/>
        <v/>
      </c>
      <c r="AB112" s="62" t="str">
        <f t="shared" si="28"/>
        <v/>
      </c>
      <c r="AF112" s="62" t="str">
        <f t="shared" si="29"/>
        <v/>
      </c>
      <c r="AI112" s="62" t="str">
        <f t="shared" si="30"/>
        <v/>
      </c>
      <c r="AJ112" s="44" t="s">
        <v>38</v>
      </c>
      <c r="AK112" s="44">
        <v>580</v>
      </c>
      <c r="AL112" s="44">
        <v>853</v>
      </c>
      <c r="AM112" s="62">
        <f t="shared" si="31"/>
        <v>1.4706896551724138</v>
      </c>
      <c r="AN112" s="44" t="s">
        <v>38</v>
      </c>
      <c r="AO112" s="44">
        <v>135</v>
      </c>
      <c r="AP112" s="44">
        <v>125</v>
      </c>
      <c r="AQ112" s="62">
        <f t="shared" si="32"/>
        <v>0.92592592592592593</v>
      </c>
      <c r="AU112" s="62" t="str">
        <f t="shared" si="33"/>
        <v/>
      </c>
      <c r="AY112" s="62" t="str">
        <f t="shared" si="34"/>
        <v/>
      </c>
      <c r="BC112" s="62" t="str">
        <f t="shared" si="35"/>
        <v/>
      </c>
      <c r="BF112" s="62" t="str">
        <f t="shared" si="36"/>
        <v/>
      </c>
      <c r="BJ112" s="62" t="str">
        <f t="shared" si="37"/>
        <v/>
      </c>
      <c r="BM112" s="62" t="str">
        <f t="shared" si="38"/>
        <v/>
      </c>
      <c r="BN112" s="44" t="s">
        <v>38</v>
      </c>
      <c r="BQ112" s="62" t="str">
        <f t="shared" si="39"/>
        <v/>
      </c>
      <c r="BR112" s="44">
        <v>148.75</v>
      </c>
      <c r="BS112" s="44">
        <v>247</v>
      </c>
      <c r="BT112" s="62">
        <f t="shared" si="40"/>
        <v>1.6605042016806724</v>
      </c>
      <c r="BU112" s="44">
        <v>191</v>
      </c>
      <c r="BV112" s="44">
        <v>409</v>
      </c>
      <c r="BW112" s="62">
        <f t="shared" si="41"/>
        <v>2.1413612565445028</v>
      </c>
      <c r="BX112" s="44" t="s">
        <v>38</v>
      </c>
      <c r="BY112" s="44">
        <v>196.25</v>
      </c>
      <c r="BZ112" s="44">
        <v>548</v>
      </c>
      <c r="CA112" s="62">
        <f t="shared" si="42"/>
        <v>2.792356687898089</v>
      </c>
      <c r="CB112" s="44">
        <v>125</v>
      </c>
      <c r="CC112" s="44">
        <v>305</v>
      </c>
      <c r="CD112" s="62">
        <f t="shared" si="43"/>
        <v>2.44</v>
      </c>
    </row>
    <row r="113" spans="1:82" x14ac:dyDescent="0.3">
      <c r="A113" s="49" t="s">
        <v>265</v>
      </c>
      <c r="B113" s="49" t="s">
        <v>104</v>
      </c>
      <c r="C113" s="44" t="s">
        <v>38</v>
      </c>
      <c r="F113" s="62" t="str">
        <f t="shared" si="22"/>
        <v/>
      </c>
      <c r="J113" s="62" t="str">
        <f t="shared" si="23"/>
        <v/>
      </c>
      <c r="N113" s="62" t="str">
        <f t="shared" si="24"/>
        <v/>
      </c>
      <c r="R113" s="62" t="str">
        <f t="shared" si="25"/>
        <v/>
      </c>
      <c r="V113" s="62" t="str">
        <f t="shared" si="26"/>
        <v/>
      </c>
      <c r="Y113" s="62" t="str">
        <f t="shared" si="27"/>
        <v/>
      </c>
      <c r="AB113" s="62" t="str">
        <f t="shared" si="28"/>
        <v/>
      </c>
      <c r="AF113" s="62" t="str">
        <f t="shared" si="29"/>
        <v/>
      </c>
      <c r="AI113" s="62" t="str">
        <f t="shared" si="30"/>
        <v/>
      </c>
      <c r="AJ113" s="44" t="s">
        <v>38</v>
      </c>
      <c r="AK113" s="44">
        <v>280</v>
      </c>
      <c r="AL113" s="44">
        <v>470</v>
      </c>
      <c r="AM113" s="62">
        <f t="shared" si="31"/>
        <v>1.6785714285714286</v>
      </c>
      <c r="AN113" s="44" t="s">
        <v>38</v>
      </c>
      <c r="AO113" s="44">
        <v>350</v>
      </c>
      <c r="AP113" s="44">
        <v>1093</v>
      </c>
      <c r="AQ113" s="62">
        <f t="shared" si="32"/>
        <v>3.1228571428571428</v>
      </c>
      <c r="AU113" s="62" t="str">
        <f t="shared" si="33"/>
        <v/>
      </c>
      <c r="AY113" s="62" t="str">
        <f t="shared" si="34"/>
        <v/>
      </c>
      <c r="BC113" s="62" t="str">
        <f t="shared" si="35"/>
        <v/>
      </c>
      <c r="BF113" s="62" t="str">
        <f t="shared" si="36"/>
        <v/>
      </c>
      <c r="BJ113" s="62" t="str">
        <f t="shared" si="37"/>
        <v/>
      </c>
      <c r="BM113" s="62" t="str">
        <f t="shared" si="38"/>
        <v/>
      </c>
      <c r="BN113" s="44" t="s">
        <v>38</v>
      </c>
      <c r="BO113" s="44">
        <v>334</v>
      </c>
      <c r="BP113" s="44">
        <v>695</v>
      </c>
      <c r="BQ113" s="62">
        <f t="shared" si="39"/>
        <v>2.0808383233532934</v>
      </c>
      <c r="BR113" s="44">
        <v>40.75</v>
      </c>
      <c r="BS113" s="44">
        <v>118</v>
      </c>
      <c r="BT113" s="62">
        <f t="shared" si="40"/>
        <v>2.8957055214723928</v>
      </c>
      <c r="BU113" s="44">
        <v>222</v>
      </c>
      <c r="BV113" s="44">
        <v>332</v>
      </c>
      <c r="BW113" s="62">
        <f t="shared" si="41"/>
        <v>1.4954954954954955</v>
      </c>
      <c r="BX113" s="44" t="s">
        <v>38</v>
      </c>
      <c r="BY113" s="44">
        <v>171.75</v>
      </c>
      <c r="BZ113" s="44">
        <v>225</v>
      </c>
      <c r="CA113" s="62">
        <f t="shared" si="42"/>
        <v>1.3100436681222707</v>
      </c>
      <c r="CB113" s="44">
        <v>174</v>
      </c>
      <c r="CC113" s="44">
        <v>283</v>
      </c>
      <c r="CD113" s="62">
        <f t="shared" si="43"/>
        <v>1.6264367816091954</v>
      </c>
    </row>
    <row r="114" spans="1:82" x14ac:dyDescent="0.3">
      <c r="A114" s="49" t="s">
        <v>51</v>
      </c>
      <c r="B114" s="49" t="s">
        <v>104</v>
      </c>
      <c r="C114" s="44" t="s">
        <v>38</v>
      </c>
      <c r="F114" s="62" t="str">
        <f t="shared" si="22"/>
        <v/>
      </c>
      <c r="J114" s="62" t="str">
        <f t="shared" si="23"/>
        <v/>
      </c>
      <c r="N114" s="62" t="str">
        <f t="shared" si="24"/>
        <v/>
      </c>
      <c r="R114" s="62" t="str">
        <f t="shared" si="25"/>
        <v/>
      </c>
      <c r="V114" s="62" t="str">
        <f t="shared" si="26"/>
        <v/>
      </c>
      <c r="Y114" s="62" t="str">
        <f t="shared" si="27"/>
        <v/>
      </c>
      <c r="AB114" s="62" t="str">
        <f t="shared" si="28"/>
        <v/>
      </c>
      <c r="AF114" s="62" t="str">
        <f t="shared" si="29"/>
        <v/>
      </c>
      <c r="AI114" s="62" t="str">
        <f t="shared" si="30"/>
        <v/>
      </c>
      <c r="AM114" s="62" t="str">
        <f t="shared" si="31"/>
        <v/>
      </c>
      <c r="AQ114" s="62" t="str">
        <f t="shared" si="32"/>
        <v/>
      </c>
      <c r="AU114" s="62" t="str">
        <f t="shared" si="33"/>
        <v/>
      </c>
      <c r="AY114" s="62" t="str">
        <f t="shared" si="34"/>
        <v/>
      </c>
      <c r="BC114" s="62" t="str">
        <f t="shared" si="35"/>
        <v/>
      </c>
      <c r="BF114" s="62" t="str">
        <f t="shared" si="36"/>
        <v/>
      </c>
      <c r="BG114" s="44" t="s">
        <v>38</v>
      </c>
      <c r="BH114" s="44">
        <v>80</v>
      </c>
      <c r="BI114" s="44">
        <v>90</v>
      </c>
      <c r="BJ114" s="62">
        <f t="shared" si="37"/>
        <v>1.125</v>
      </c>
      <c r="BK114" s="44">
        <v>66</v>
      </c>
      <c r="BL114" s="44">
        <v>184</v>
      </c>
      <c r="BM114" s="62">
        <f t="shared" si="38"/>
        <v>2.7878787878787881</v>
      </c>
      <c r="BN114" s="44" t="s">
        <v>38</v>
      </c>
      <c r="BO114" s="44">
        <v>40</v>
      </c>
      <c r="BP114" s="44">
        <v>86</v>
      </c>
      <c r="BQ114" s="62">
        <f t="shared" si="39"/>
        <v>2.15</v>
      </c>
      <c r="BR114" s="44">
        <v>29.5</v>
      </c>
      <c r="BS114" s="44">
        <v>72</v>
      </c>
      <c r="BT114" s="62">
        <f t="shared" si="40"/>
        <v>2.4406779661016951</v>
      </c>
      <c r="BU114" s="44">
        <v>21.5</v>
      </c>
      <c r="BV114" s="44">
        <v>44.5</v>
      </c>
      <c r="BW114" s="62">
        <f t="shared" si="41"/>
        <v>2.0697674418604652</v>
      </c>
      <c r="BX114" s="44" t="s">
        <v>38</v>
      </c>
      <c r="BY114" s="44">
        <v>38.25</v>
      </c>
      <c r="BZ114" s="44">
        <v>80.75</v>
      </c>
      <c r="CA114" s="62">
        <f t="shared" si="42"/>
        <v>2.1111111111111112</v>
      </c>
      <c r="CB114" s="44">
        <v>40.5</v>
      </c>
      <c r="CC114" s="44">
        <v>140</v>
      </c>
      <c r="CD114" s="62">
        <f t="shared" si="43"/>
        <v>3.4567901234567899</v>
      </c>
    </row>
    <row r="115" spans="1:82" x14ac:dyDescent="0.3">
      <c r="A115" s="49" t="s">
        <v>266</v>
      </c>
      <c r="B115" s="49" t="s">
        <v>104</v>
      </c>
      <c r="C115" s="44" t="s">
        <v>38</v>
      </c>
      <c r="D115" s="44">
        <v>2962</v>
      </c>
      <c r="E115" s="44">
        <v>3071</v>
      </c>
      <c r="F115" s="62">
        <f t="shared" si="22"/>
        <v>1.036799459824443</v>
      </c>
      <c r="G115" s="44" t="s">
        <v>38</v>
      </c>
      <c r="H115" s="44">
        <v>783</v>
      </c>
      <c r="I115" s="44">
        <v>1060</v>
      </c>
      <c r="J115" s="62">
        <f t="shared" si="23"/>
        <v>1.3537675606641124</v>
      </c>
      <c r="K115" s="44" t="s">
        <v>38</v>
      </c>
      <c r="L115" s="44">
        <v>3200</v>
      </c>
      <c r="M115" s="44">
        <v>3939</v>
      </c>
      <c r="N115" s="62">
        <f t="shared" si="24"/>
        <v>1.2309375</v>
      </c>
      <c r="O115" s="44" t="s">
        <v>38</v>
      </c>
      <c r="P115" s="44">
        <v>9567</v>
      </c>
      <c r="Q115" s="44">
        <v>11038</v>
      </c>
      <c r="R115" s="62">
        <f t="shared" si="25"/>
        <v>1.1537577087906346</v>
      </c>
      <c r="S115" s="44" t="s">
        <v>38</v>
      </c>
      <c r="T115" s="44">
        <v>1800</v>
      </c>
      <c r="U115" s="44">
        <v>1929</v>
      </c>
      <c r="V115" s="62">
        <f t="shared" si="26"/>
        <v>1.0716666666666668</v>
      </c>
      <c r="W115" s="44">
        <v>500</v>
      </c>
      <c r="X115" s="44">
        <v>656</v>
      </c>
      <c r="Y115" s="62">
        <f t="shared" si="27"/>
        <v>1.3120000000000001</v>
      </c>
      <c r="Z115" s="44">
        <v>800</v>
      </c>
      <c r="AA115" s="44">
        <v>1034</v>
      </c>
      <c r="AB115" s="62">
        <f t="shared" si="28"/>
        <v>1.2925</v>
      </c>
      <c r="AC115" s="44" t="s">
        <v>38</v>
      </c>
      <c r="AD115" s="44">
        <v>1500</v>
      </c>
      <c r="AE115" s="44">
        <v>1750</v>
      </c>
      <c r="AF115" s="62">
        <f t="shared" si="29"/>
        <v>1.1666666666666667</v>
      </c>
      <c r="AG115" s="44">
        <v>1830</v>
      </c>
      <c r="AH115" s="44">
        <v>1833</v>
      </c>
      <c r="AI115" s="62">
        <f t="shared" si="30"/>
        <v>1.0016393442622951</v>
      </c>
      <c r="AJ115" s="44" t="s">
        <v>38</v>
      </c>
      <c r="AK115" s="44">
        <v>1311</v>
      </c>
      <c r="AL115" s="44">
        <v>1388</v>
      </c>
      <c r="AM115" s="62">
        <f t="shared" si="31"/>
        <v>1.0587337909992371</v>
      </c>
      <c r="AN115" s="44" t="s">
        <v>38</v>
      </c>
      <c r="AO115" s="44">
        <v>2125</v>
      </c>
      <c r="AP115" s="44">
        <v>1990</v>
      </c>
      <c r="AQ115" s="62">
        <f t="shared" si="32"/>
        <v>0.93647058823529417</v>
      </c>
      <c r="AR115" s="44" t="s">
        <v>38</v>
      </c>
      <c r="AS115" s="44">
        <v>1037</v>
      </c>
      <c r="AT115" s="44">
        <v>973</v>
      </c>
      <c r="AU115" s="62">
        <f t="shared" si="33"/>
        <v>0.9382835101253616</v>
      </c>
      <c r="AV115" s="44" t="s">
        <v>38</v>
      </c>
      <c r="AW115" s="44">
        <v>1000</v>
      </c>
      <c r="AX115" s="44">
        <v>1000</v>
      </c>
      <c r="AY115" s="62">
        <f t="shared" si="34"/>
        <v>1</v>
      </c>
      <c r="AZ115" s="44" t="s">
        <v>38</v>
      </c>
      <c r="BA115" s="44">
        <v>3000</v>
      </c>
      <c r="BB115" s="44">
        <v>3000</v>
      </c>
      <c r="BC115" s="62">
        <f t="shared" si="35"/>
        <v>1</v>
      </c>
      <c r="BD115" s="44">
        <v>5550</v>
      </c>
      <c r="BE115" s="44">
        <v>5550</v>
      </c>
      <c r="BF115" s="62">
        <f t="shared" si="36"/>
        <v>1</v>
      </c>
      <c r="BG115" s="44" t="s">
        <v>38</v>
      </c>
      <c r="BH115" s="44">
        <v>9649</v>
      </c>
      <c r="BI115" s="44">
        <v>8078</v>
      </c>
      <c r="BJ115" s="62">
        <f t="shared" si="37"/>
        <v>0.83718520053891599</v>
      </c>
      <c r="BK115" s="44">
        <v>7233</v>
      </c>
      <c r="BL115" s="44">
        <v>7019</v>
      </c>
      <c r="BM115" s="62">
        <f t="shared" si="38"/>
        <v>0.97041338310521219</v>
      </c>
      <c r="BN115" s="44" t="s">
        <v>38</v>
      </c>
      <c r="BO115" s="44">
        <v>1081</v>
      </c>
      <c r="BP115" s="44">
        <v>1075</v>
      </c>
      <c r="BQ115" s="62">
        <f t="shared" si="39"/>
        <v>0.9944495837187789</v>
      </c>
      <c r="BR115" s="44">
        <v>5035.75</v>
      </c>
      <c r="BS115" s="44">
        <v>4673</v>
      </c>
      <c r="BT115" s="62">
        <f t="shared" si="40"/>
        <v>0.92796504989326312</v>
      </c>
      <c r="BU115" s="44">
        <v>3338</v>
      </c>
      <c r="BV115" s="44">
        <v>3188</v>
      </c>
      <c r="BW115" s="62">
        <f t="shared" si="41"/>
        <v>0.95506291192330739</v>
      </c>
      <c r="BX115" s="44" t="s">
        <v>38</v>
      </c>
      <c r="BY115" s="44">
        <v>5590.5</v>
      </c>
      <c r="BZ115" s="44">
        <v>5897</v>
      </c>
      <c r="CA115" s="62">
        <f t="shared" si="42"/>
        <v>1.0548251498077095</v>
      </c>
      <c r="CB115" s="44">
        <v>4874</v>
      </c>
      <c r="CC115" s="44">
        <v>5703</v>
      </c>
      <c r="CD115" s="62">
        <f t="shared" si="43"/>
        <v>1.1700861715223636</v>
      </c>
    </row>
    <row r="116" spans="1:82" x14ac:dyDescent="0.3">
      <c r="A116" s="49" t="s">
        <v>267</v>
      </c>
      <c r="B116" s="49" t="s">
        <v>104</v>
      </c>
      <c r="C116" s="44" t="s">
        <v>38</v>
      </c>
      <c r="D116" s="44">
        <v>5000</v>
      </c>
      <c r="E116" s="44">
        <v>5429</v>
      </c>
      <c r="F116" s="62">
        <f t="shared" si="22"/>
        <v>1.0858000000000001</v>
      </c>
      <c r="G116" s="44" t="s">
        <v>38</v>
      </c>
      <c r="H116" s="44">
        <v>5786</v>
      </c>
      <c r="I116" s="44">
        <v>5401</v>
      </c>
      <c r="J116" s="62">
        <f t="shared" si="23"/>
        <v>0.93346007604562742</v>
      </c>
      <c r="K116" s="44" t="s">
        <v>38</v>
      </c>
      <c r="L116" s="44">
        <v>5000</v>
      </c>
      <c r="M116" s="44">
        <v>6154</v>
      </c>
      <c r="N116" s="62">
        <f t="shared" si="24"/>
        <v>1.2307999999999999</v>
      </c>
      <c r="O116" s="44" t="s">
        <v>38</v>
      </c>
      <c r="P116" s="44">
        <v>7000</v>
      </c>
      <c r="Q116" s="44">
        <v>7538</v>
      </c>
      <c r="R116" s="62">
        <f t="shared" si="25"/>
        <v>1.076857142857143</v>
      </c>
      <c r="S116" s="44" t="s">
        <v>38</v>
      </c>
      <c r="T116" s="44">
        <v>6000</v>
      </c>
      <c r="U116" s="44">
        <v>5786</v>
      </c>
      <c r="V116" s="62">
        <f t="shared" si="26"/>
        <v>0.96433333333333338</v>
      </c>
      <c r="W116" s="44">
        <v>5250</v>
      </c>
      <c r="X116" s="44">
        <v>5578</v>
      </c>
      <c r="Y116" s="62">
        <f t="shared" si="27"/>
        <v>1.0624761904761906</v>
      </c>
      <c r="Z116" s="44">
        <v>4800</v>
      </c>
      <c r="AA116" s="44">
        <v>5317</v>
      </c>
      <c r="AB116" s="62">
        <f t="shared" si="28"/>
        <v>1.1077083333333333</v>
      </c>
      <c r="AC116" s="44" t="s">
        <v>38</v>
      </c>
      <c r="AD116" s="44">
        <v>5000</v>
      </c>
      <c r="AE116" s="44">
        <v>4166</v>
      </c>
      <c r="AF116" s="62">
        <f t="shared" si="29"/>
        <v>0.83320000000000005</v>
      </c>
      <c r="AG116" s="44">
        <v>4000</v>
      </c>
      <c r="AH116" s="44">
        <v>2889</v>
      </c>
      <c r="AI116" s="62">
        <f t="shared" si="30"/>
        <v>0.72224999999999995</v>
      </c>
      <c r="AJ116" s="44" t="s">
        <v>38</v>
      </c>
      <c r="AK116" s="44">
        <v>3000</v>
      </c>
      <c r="AL116" s="44">
        <v>2294</v>
      </c>
      <c r="AM116" s="62">
        <f t="shared" si="31"/>
        <v>0.76466666666666672</v>
      </c>
      <c r="AN116" s="44" t="s">
        <v>38</v>
      </c>
      <c r="AO116" s="44">
        <v>4500</v>
      </c>
      <c r="AP116" s="44">
        <v>3656</v>
      </c>
      <c r="AQ116" s="62">
        <f t="shared" si="32"/>
        <v>0.81244444444444441</v>
      </c>
      <c r="AR116" s="44" t="s">
        <v>38</v>
      </c>
      <c r="AS116" s="44">
        <v>4400</v>
      </c>
      <c r="AT116" s="44">
        <v>3300</v>
      </c>
      <c r="AU116" s="62">
        <f t="shared" si="33"/>
        <v>0.75</v>
      </c>
      <c r="AV116" s="44" t="s">
        <v>38</v>
      </c>
      <c r="AW116" s="44">
        <v>6000</v>
      </c>
      <c r="AX116" s="44">
        <v>4800</v>
      </c>
      <c r="AY116" s="62">
        <f t="shared" si="34"/>
        <v>0.8</v>
      </c>
      <c r="AZ116" s="44" t="s">
        <v>38</v>
      </c>
      <c r="BA116" s="44">
        <v>7900</v>
      </c>
      <c r="BB116" s="44">
        <v>6320</v>
      </c>
      <c r="BC116" s="62">
        <f t="shared" si="35"/>
        <v>0.8</v>
      </c>
      <c r="BD116" s="44">
        <v>12500</v>
      </c>
      <c r="BE116" s="44">
        <v>8334</v>
      </c>
      <c r="BF116" s="62">
        <f t="shared" si="36"/>
        <v>0.66671999999999998</v>
      </c>
      <c r="BG116" s="44" t="s">
        <v>38</v>
      </c>
      <c r="BH116" s="44">
        <v>18906</v>
      </c>
      <c r="BI116" s="44">
        <v>13671</v>
      </c>
      <c r="BJ116" s="62">
        <f t="shared" si="37"/>
        <v>0.72310377657886382</v>
      </c>
      <c r="BK116" s="44">
        <v>12829</v>
      </c>
      <c r="BL116" s="44">
        <v>9002</v>
      </c>
      <c r="BM116" s="62">
        <f t="shared" si="38"/>
        <v>0.7016914802400811</v>
      </c>
      <c r="BN116" s="44" t="s">
        <v>38</v>
      </c>
      <c r="BO116" s="44">
        <v>10006</v>
      </c>
      <c r="BP116" s="44">
        <v>7181</v>
      </c>
      <c r="BQ116" s="62">
        <f t="shared" si="39"/>
        <v>0.71766939836098342</v>
      </c>
      <c r="BR116" s="44">
        <v>9700.5</v>
      </c>
      <c r="BS116" s="44">
        <v>7212</v>
      </c>
      <c r="BT116" s="62">
        <f t="shared" si="40"/>
        <v>0.74346683160661819</v>
      </c>
      <c r="BU116" s="44">
        <v>9144</v>
      </c>
      <c r="BV116" s="44">
        <v>7222.5</v>
      </c>
      <c r="BW116" s="62">
        <f t="shared" si="41"/>
        <v>0.78986220472440949</v>
      </c>
      <c r="BX116" s="44" t="s">
        <v>38</v>
      </c>
      <c r="BY116" s="44">
        <v>11174.5</v>
      </c>
      <c r="BZ116" s="44">
        <v>9080.5</v>
      </c>
      <c r="CA116" s="62">
        <f t="shared" si="42"/>
        <v>0.81260906528256294</v>
      </c>
      <c r="CB116" s="44">
        <v>18332</v>
      </c>
      <c r="CC116" s="44">
        <v>15627</v>
      </c>
      <c r="CD116" s="62">
        <f t="shared" si="43"/>
        <v>0.85244381409557057</v>
      </c>
    </row>
    <row r="117" spans="1:82" x14ac:dyDescent="0.3">
      <c r="A117" s="49" t="s">
        <v>268</v>
      </c>
      <c r="B117" s="49" t="s">
        <v>104</v>
      </c>
      <c r="C117" s="44" t="s">
        <v>38</v>
      </c>
      <c r="D117" s="44">
        <v>820</v>
      </c>
      <c r="E117" s="44">
        <v>1214</v>
      </c>
      <c r="F117" s="62">
        <f t="shared" si="22"/>
        <v>1.4804878048780488</v>
      </c>
      <c r="G117" s="44" t="s">
        <v>38</v>
      </c>
      <c r="H117" s="44">
        <v>700</v>
      </c>
      <c r="I117" s="44">
        <v>1013</v>
      </c>
      <c r="J117" s="62">
        <f t="shared" si="23"/>
        <v>1.4471428571428571</v>
      </c>
      <c r="K117" s="44" t="s">
        <v>38</v>
      </c>
      <c r="L117" s="44">
        <v>550</v>
      </c>
      <c r="M117" s="44">
        <v>903</v>
      </c>
      <c r="N117" s="62">
        <f t="shared" si="24"/>
        <v>1.6418181818181818</v>
      </c>
      <c r="O117" s="44" t="s">
        <v>38</v>
      </c>
      <c r="P117" s="44">
        <v>850</v>
      </c>
      <c r="Q117" s="44">
        <v>1308</v>
      </c>
      <c r="R117" s="62">
        <f t="shared" si="25"/>
        <v>1.5388235294117647</v>
      </c>
      <c r="S117" s="44" t="s">
        <v>38</v>
      </c>
      <c r="T117" s="44">
        <v>1050</v>
      </c>
      <c r="U117" s="44">
        <v>1125</v>
      </c>
      <c r="V117" s="62">
        <f t="shared" si="26"/>
        <v>1.0714285714285714</v>
      </c>
      <c r="W117" s="44">
        <v>800</v>
      </c>
      <c r="X117" s="44">
        <v>900</v>
      </c>
      <c r="Y117" s="62">
        <f t="shared" si="27"/>
        <v>1.125</v>
      </c>
      <c r="Z117" s="44">
        <v>600</v>
      </c>
      <c r="AA117" s="44">
        <v>738</v>
      </c>
      <c r="AB117" s="62">
        <f t="shared" si="28"/>
        <v>1.23</v>
      </c>
      <c r="AC117" s="44" t="s">
        <v>38</v>
      </c>
      <c r="AD117" s="44">
        <v>650</v>
      </c>
      <c r="AE117" s="44">
        <v>722</v>
      </c>
      <c r="AF117" s="62">
        <f t="shared" si="29"/>
        <v>1.1107692307692307</v>
      </c>
      <c r="AG117" s="44">
        <v>500</v>
      </c>
      <c r="AH117" s="44">
        <v>556</v>
      </c>
      <c r="AI117" s="62">
        <f t="shared" si="30"/>
        <v>1.1120000000000001</v>
      </c>
      <c r="AJ117" s="44" t="s">
        <v>38</v>
      </c>
      <c r="AK117" s="44">
        <v>400</v>
      </c>
      <c r="AL117" s="44">
        <v>471</v>
      </c>
      <c r="AM117" s="62">
        <f t="shared" si="31"/>
        <v>1.1775</v>
      </c>
      <c r="AN117" s="44" t="s">
        <v>38</v>
      </c>
      <c r="AO117" s="44">
        <v>350</v>
      </c>
      <c r="AP117" s="44">
        <v>437</v>
      </c>
      <c r="AQ117" s="62">
        <f t="shared" si="32"/>
        <v>1.2485714285714287</v>
      </c>
      <c r="AR117" s="44" t="s">
        <v>38</v>
      </c>
      <c r="AS117" s="44">
        <v>300</v>
      </c>
      <c r="AT117" s="44">
        <v>375</v>
      </c>
      <c r="AU117" s="62">
        <f t="shared" si="33"/>
        <v>1.25</v>
      </c>
      <c r="AV117" s="44" t="s">
        <v>38</v>
      </c>
      <c r="AW117" s="44">
        <v>150</v>
      </c>
      <c r="AX117" s="44">
        <v>200</v>
      </c>
      <c r="AY117" s="62">
        <f t="shared" si="34"/>
        <v>1.3333333333333333</v>
      </c>
      <c r="AZ117" s="44" t="s">
        <v>38</v>
      </c>
      <c r="BA117" s="44">
        <v>200</v>
      </c>
      <c r="BB117" s="44">
        <v>267</v>
      </c>
      <c r="BC117" s="62">
        <f t="shared" si="35"/>
        <v>1.335</v>
      </c>
      <c r="BD117" s="44">
        <v>250</v>
      </c>
      <c r="BE117" s="44">
        <v>250</v>
      </c>
      <c r="BF117" s="62">
        <f t="shared" si="36"/>
        <v>1</v>
      </c>
      <c r="BJ117" s="62" t="str">
        <f t="shared" si="37"/>
        <v/>
      </c>
      <c r="BM117" s="62" t="str">
        <f t="shared" si="38"/>
        <v/>
      </c>
      <c r="BQ117" s="62" t="str">
        <f t="shared" si="39"/>
        <v/>
      </c>
      <c r="BT117" s="62" t="str">
        <f t="shared" si="40"/>
        <v/>
      </c>
      <c r="BW117" s="62" t="str">
        <f t="shared" si="41"/>
        <v/>
      </c>
      <c r="CA117" s="62" t="str">
        <f t="shared" si="42"/>
        <v/>
      </c>
      <c r="CD117" s="62" t="str">
        <f t="shared" si="43"/>
        <v/>
      </c>
    </row>
    <row r="118" spans="1:82" x14ac:dyDescent="0.3">
      <c r="A118" s="49" t="s">
        <v>52</v>
      </c>
      <c r="B118" s="49" t="s">
        <v>104</v>
      </c>
      <c r="C118" s="44" t="s">
        <v>38</v>
      </c>
      <c r="F118" s="62" t="str">
        <f t="shared" si="22"/>
        <v/>
      </c>
      <c r="J118" s="62" t="str">
        <f t="shared" si="23"/>
        <v/>
      </c>
      <c r="N118" s="62" t="str">
        <f t="shared" si="24"/>
        <v/>
      </c>
      <c r="R118" s="62" t="str">
        <f t="shared" si="25"/>
        <v/>
      </c>
      <c r="V118" s="62" t="str">
        <f t="shared" si="26"/>
        <v/>
      </c>
      <c r="Y118" s="62" t="str">
        <f t="shared" si="27"/>
        <v/>
      </c>
      <c r="AB118" s="62" t="str">
        <f t="shared" si="28"/>
        <v/>
      </c>
      <c r="AF118" s="62" t="str">
        <f t="shared" si="29"/>
        <v/>
      </c>
      <c r="AI118" s="62" t="str">
        <f t="shared" si="30"/>
        <v/>
      </c>
      <c r="AM118" s="62" t="str">
        <f t="shared" si="31"/>
        <v/>
      </c>
      <c r="AQ118" s="62" t="str">
        <f t="shared" si="32"/>
        <v/>
      </c>
      <c r="AU118" s="62" t="str">
        <f t="shared" si="33"/>
        <v/>
      </c>
      <c r="AY118" s="62" t="str">
        <f t="shared" si="34"/>
        <v/>
      </c>
      <c r="BC118" s="62" t="str">
        <f t="shared" si="35"/>
        <v/>
      </c>
      <c r="BF118" s="62" t="str">
        <f t="shared" si="36"/>
        <v/>
      </c>
      <c r="BG118" s="44" t="s">
        <v>38</v>
      </c>
      <c r="BH118" s="44">
        <v>43</v>
      </c>
      <c r="BI118" s="44">
        <v>92</v>
      </c>
      <c r="BJ118" s="62">
        <f t="shared" si="37"/>
        <v>2.13953488372093</v>
      </c>
      <c r="BK118" s="44">
        <v>39</v>
      </c>
      <c r="BL118" s="44">
        <v>97</v>
      </c>
      <c r="BM118" s="62">
        <f t="shared" si="38"/>
        <v>2.4871794871794872</v>
      </c>
      <c r="BN118" s="44" t="s">
        <v>38</v>
      </c>
      <c r="BO118" s="44">
        <v>22</v>
      </c>
      <c r="BP118" s="44">
        <v>45</v>
      </c>
      <c r="BQ118" s="62">
        <f t="shared" si="39"/>
        <v>2.0454545454545454</v>
      </c>
      <c r="BR118" s="44">
        <v>29.5</v>
      </c>
      <c r="BS118" s="44">
        <v>76</v>
      </c>
      <c r="BT118" s="62">
        <f t="shared" si="40"/>
        <v>2.5762711864406778</v>
      </c>
      <c r="BU118" s="44">
        <v>18</v>
      </c>
      <c r="BV118" s="44">
        <v>28</v>
      </c>
      <c r="BW118" s="62">
        <f t="shared" si="41"/>
        <v>1.5555555555555556</v>
      </c>
      <c r="BX118" s="44" t="s">
        <v>38</v>
      </c>
      <c r="BY118" s="44">
        <v>45.25</v>
      </c>
      <c r="BZ118" s="44">
        <v>74</v>
      </c>
      <c r="CA118" s="62">
        <f t="shared" si="42"/>
        <v>1.6353591160220995</v>
      </c>
      <c r="CB118" s="44">
        <v>52</v>
      </c>
      <c r="CC118" s="44">
        <v>91</v>
      </c>
      <c r="CD118" s="62">
        <f t="shared" si="43"/>
        <v>1.75</v>
      </c>
    </row>
    <row r="119" spans="1:82" x14ac:dyDescent="0.3">
      <c r="A119" s="49" t="s">
        <v>31</v>
      </c>
      <c r="B119" s="49" t="s">
        <v>104</v>
      </c>
      <c r="C119" s="44" t="s">
        <v>38</v>
      </c>
      <c r="D119" s="44">
        <v>421</v>
      </c>
      <c r="E119" s="44">
        <v>750</v>
      </c>
      <c r="F119" s="62">
        <f t="shared" si="22"/>
        <v>1.7814726840855106</v>
      </c>
      <c r="G119" s="44" t="s">
        <v>38</v>
      </c>
      <c r="H119" s="44">
        <v>587</v>
      </c>
      <c r="I119" s="44">
        <v>743</v>
      </c>
      <c r="J119" s="62">
        <f t="shared" si="23"/>
        <v>1.2657580919931857</v>
      </c>
      <c r="K119" s="44" t="s">
        <v>38</v>
      </c>
      <c r="L119" s="44">
        <v>521</v>
      </c>
      <c r="M119" s="44">
        <v>855</v>
      </c>
      <c r="N119" s="62">
        <f t="shared" si="24"/>
        <v>1.6410748560460653</v>
      </c>
      <c r="O119" s="44" t="s">
        <v>38</v>
      </c>
      <c r="P119" s="44">
        <v>896</v>
      </c>
      <c r="Q119" s="44">
        <v>1654</v>
      </c>
      <c r="R119" s="62">
        <f t="shared" si="25"/>
        <v>1.8459821428571428</v>
      </c>
      <c r="S119" s="44" t="s">
        <v>38</v>
      </c>
      <c r="T119" s="44">
        <v>833</v>
      </c>
      <c r="U119" s="44">
        <v>1071</v>
      </c>
      <c r="V119" s="62">
        <f t="shared" si="26"/>
        <v>1.2857142857142858</v>
      </c>
      <c r="W119" s="44">
        <v>1000</v>
      </c>
      <c r="X119" s="44">
        <v>1500</v>
      </c>
      <c r="Y119" s="62">
        <f t="shared" si="27"/>
        <v>1.5</v>
      </c>
      <c r="Z119" s="44">
        <v>800</v>
      </c>
      <c r="AA119" s="44">
        <v>1182</v>
      </c>
      <c r="AB119" s="62">
        <f t="shared" si="28"/>
        <v>1.4775</v>
      </c>
      <c r="AC119" s="44" t="s">
        <v>38</v>
      </c>
      <c r="AD119" s="44">
        <v>600</v>
      </c>
      <c r="AE119" s="44">
        <v>800</v>
      </c>
      <c r="AF119" s="62">
        <f t="shared" si="29"/>
        <v>1.3333333333333333</v>
      </c>
      <c r="AG119" s="44">
        <v>458</v>
      </c>
      <c r="AH119" s="44">
        <v>611</v>
      </c>
      <c r="AI119" s="62">
        <f t="shared" si="30"/>
        <v>1.3340611353711791</v>
      </c>
      <c r="AJ119" s="44" t="s">
        <v>38</v>
      </c>
      <c r="AK119" s="44">
        <v>375</v>
      </c>
      <c r="AL119" s="44">
        <v>529</v>
      </c>
      <c r="AM119" s="62">
        <f t="shared" si="31"/>
        <v>1.4106666666666667</v>
      </c>
      <c r="AN119" s="44" t="s">
        <v>38</v>
      </c>
      <c r="AO119" s="44">
        <v>400</v>
      </c>
      <c r="AP119" s="44">
        <v>375</v>
      </c>
      <c r="AQ119" s="62">
        <f t="shared" si="32"/>
        <v>0.9375</v>
      </c>
      <c r="AR119" s="44" t="s">
        <v>38</v>
      </c>
      <c r="AS119" s="44">
        <v>600</v>
      </c>
      <c r="AT119" s="44">
        <v>562</v>
      </c>
      <c r="AU119" s="62">
        <f t="shared" si="33"/>
        <v>0.93666666666666665</v>
      </c>
      <c r="AV119" s="44" t="s">
        <v>38</v>
      </c>
      <c r="AW119" s="44">
        <v>400</v>
      </c>
      <c r="AX119" s="44">
        <v>400</v>
      </c>
      <c r="AY119" s="62">
        <f t="shared" si="34"/>
        <v>1</v>
      </c>
      <c r="AZ119" s="44" t="s">
        <v>38</v>
      </c>
      <c r="BA119" s="44">
        <v>300</v>
      </c>
      <c r="BB119" s="44">
        <v>300</v>
      </c>
      <c r="BC119" s="62">
        <f t="shared" si="35"/>
        <v>1</v>
      </c>
      <c r="BD119" s="44">
        <v>480</v>
      </c>
      <c r="BE119" s="44">
        <v>480</v>
      </c>
      <c r="BF119" s="62">
        <f t="shared" si="36"/>
        <v>1</v>
      </c>
      <c r="BJ119" s="62" t="str">
        <f t="shared" si="37"/>
        <v/>
      </c>
      <c r="BM119" s="62" t="str">
        <f t="shared" si="38"/>
        <v/>
      </c>
      <c r="BQ119" s="62" t="str">
        <f t="shared" si="39"/>
        <v/>
      </c>
      <c r="BT119" s="62" t="str">
        <f t="shared" si="40"/>
        <v/>
      </c>
      <c r="BW119" s="62" t="str">
        <f t="shared" si="41"/>
        <v/>
      </c>
      <c r="CA119" s="62" t="str">
        <f t="shared" si="42"/>
        <v/>
      </c>
      <c r="CD119" s="62" t="str">
        <f t="shared" si="43"/>
        <v/>
      </c>
    </row>
    <row r="120" spans="1:82" x14ac:dyDescent="0.3">
      <c r="A120" s="49" t="s">
        <v>32</v>
      </c>
      <c r="B120" s="49" t="s">
        <v>104</v>
      </c>
      <c r="C120" s="44" t="s">
        <v>38</v>
      </c>
      <c r="D120" s="44">
        <f>$D$194*118</f>
        <v>104.312</v>
      </c>
      <c r="E120" s="44">
        <v>1057</v>
      </c>
      <c r="F120" s="62">
        <f t="shared" si="22"/>
        <v>10.133062351407316</v>
      </c>
      <c r="G120" s="44" t="s">
        <v>38</v>
      </c>
      <c r="H120" s="32">
        <f>$D$194*329</f>
        <v>290.83600000000001</v>
      </c>
      <c r="I120" s="32">
        <v>770</v>
      </c>
      <c r="J120" s="62">
        <f t="shared" si="23"/>
        <v>2.6475401944738612</v>
      </c>
      <c r="K120" s="44" t="s">
        <v>38</v>
      </c>
      <c r="L120" s="32">
        <f>$D$194*430</f>
        <v>380.12</v>
      </c>
      <c r="M120" s="32">
        <v>1029</v>
      </c>
      <c r="N120" s="62">
        <f t="shared" si="24"/>
        <v>2.7070398821424813</v>
      </c>
      <c r="O120" s="44" t="s">
        <v>38</v>
      </c>
      <c r="P120" s="44">
        <f>$D$194*671</f>
        <v>593.16399999999999</v>
      </c>
      <c r="Q120" s="44">
        <v>1731</v>
      </c>
      <c r="R120" s="62">
        <f t="shared" si="25"/>
        <v>2.9182485788078845</v>
      </c>
      <c r="S120" s="44" t="s">
        <v>38</v>
      </c>
      <c r="T120" s="44">
        <f>$D$194*300</f>
        <v>265.2</v>
      </c>
      <c r="U120" s="44">
        <v>1071</v>
      </c>
      <c r="V120" s="62">
        <f t="shared" si="26"/>
        <v>4.0384615384615383</v>
      </c>
      <c r="W120" s="44">
        <f>$D$194*250</f>
        <v>221</v>
      </c>
      <c r="X120" s="44">
        <v>986</v>
      </c>
      <c r="Y120" s="62">
        <f t="shared" si="27"/>
        <v>4.4615384615384617</v>
      </c>
      <c r="Z120" s="44">
        <f>$D$194*227</f>
        <v>200.66800000000001</v>
      </c>
      <c r="AA120" s="44">
        <v>831</v>
      </c>
      <c r="AB120" s="62">
        <f t="shared" si="28"/>
        <v>4.1411684972192875</v>
      </c>
      <c r="AC120" s="44" t="s">
        <v>38</v>
      </c>
      <c r="AD120" s="44">
        <f>$D$194*250</f>
        <v>221</v>
      </c>
      <c r="AE120" s="44">
        <v>778</v>
      </c>
      <c r="AF120" s="62">
        <f t="shared" si="29"/>
        <v>3.5203619909502262</v>
      </c>
      <c r="AG120" s="44">
        <f>$D$194*200</f>
        <v>176.8</v>
      </c>
      <c r="AH120" s="44">
        <v>667</v>
      </c>
      <c r="AI120" s="62">
        <f t="shared" si="30"/>
        <v>3.7726244343891402</v>
      </c>
      <c r="AJ120" s="44" t="s">
        <v>38</v>
      </c>
      <c r="AK120" s="44">
        <f>$D$194*160</f>
        <v>141.44</v>
      </c>
      <c r="AL120" s="44">
        <v>612</v>
      </c>
      <c r="AM120" s="62">
        <f t="shared" si="31"/>
        <v>4.3269230769230766</v>
      </c>
      <c r="AN120" s="44" t="s">
        <v>38</v>
      </c>
      <c r="AO120" s="44">
        <f>$D$194*150</f>
        <v>132.6</v>
      </c>
      <c r="AP120" s="44">
        <v>562</v>
      </c>
      <c r="AQ120" s="62">
        <f t="shared" si="32"/>
        <v>4.2383107088989442</v>
      </c>
      <c r="AR120" s="44" t="s">
        <v>38</v>
      </c>
      <c r="AS120" s="44">
        <f>$D$194*200</f>
        <v>176.8</v>
      </c>
      <c r="AT120" s="44">
        <v>750</v>
      </c>
      <c r="AU120" s="62">
        <f t="shared" si="33"/>
        <v>4.2420814479638009</v>
      </c>
      <c r="AV120" s="44" t="s">
        <v>38</v>
      </c>
      <c r="AW120" s="44">
        <f>$D$194*100</f>
        <v>88.4</v>
      </c>
      <c r="AX120" s="44">
        <v>640</v>
      </c>
      <c r="AY120" s="62">
        <f t="shared" si="34"/>
        <v>7.239819004524886</v>
      </c>
      <c r="AZ120" s="44" t="s">
        <v>38</v>
      </c>
      <c r="BA120" s="44">
        <f>$D$194*220</f>
        <v>194.48</v>
      </c>
      <c r="BB120" s="44">
        <v>880</v>
      </c>
      <c r="BC120" s="62">
        <f t="shared" si="35"/>
        <v>4.5248868778280542</v>
      </c>
      <c r="BD120" s="44">
        <f>$D$194*1036</f>
        <v>915.82399999999996</v>
      </c>
      <c r="BE120" s="44">
        <v>4144</v>
      </c>
      <c r="BF120" s="62">
        <f t="shared" si="36"/>
        <v>4.5248868778280542</v>
      </c>
      <c r="BG120" s="44" t="s">
        <v>38</v>
      </c>
      <c r="BH120" s="44">
        <v>160</v>
      </c>
      <c r="BI120" s="44">
        <v>706</v>
      </c>
      <c r="BJ120" s="62">
        <f t="shared" si="37"/>
        <v>4.4124999999999996</v>
      </c>
      <c r="BK120" s="44">
        <v>84</v>
      </c>
      <c r="BL120" s="44">
        <v>462</v>
      </c>
      <c r="BM120" s="62">
        <f t="shared" si="38"/>
        <v>5.5</v>
      </c>
      <c r="BN120" s="44" t="s">
        <v>38</v>
      </c>
      <c r="BO120" s="44">
        <v>20</v>
      </c>
      <c r="BP120" s="44">
        <v>133</v>
      </c>
      <c r="BQ120" s="62">
        <f t="shared" si="39"/>
        <v>6.65</v>
      </c>
      <c r="BR120" s="44">
        <v>37.5</v>
      </c>
      <c r="BS120" s="44">
        <v>251</v>
      </c>
      <c r="BT120" s="62">
        <f t="shared" si="40"/>
        <v>6.6933333333333334</v>
      </c>
      <c r="BU120" s="44">
        <v>11.5</v>
      </c>
      <c r="BV120" s="44">
        <v>89</v>
      </c>
      <c r="BW120" s="62">
        <f t="shared" si="41"/>
        <v>7.7391304347826084</v>
      </c>
      <c r="BX120" s="44" t="s">
        <v>38</v>
      </c>
      <c r="BY120" s="44">
        <v>13.75</v>
      </c>
      <c r="BZ120" s="44">
        <v>99.5</v>
      </c>
      <c r="CA120" s="62">
        <f t="shared" si="42"/>
        <v>7.2363636363636363</v>
      </c>
      <c r="CB120" s="44">
        <v>22.75</v>
      </c>
      <c r="CC120" s="44">
        <v>151</v>
      </c>
      <c r="CD120" s="62">
        <f t="shared" si="43"/>
        <v>6.6373626373626378</v>
      </c>
    </row>
    <row r="121" spans="1:82" x14ac:dyDescent="0.3">
      <c r="A121" s="49" t="s">
        <v>33</v>
      </c>
      <c r="B121" s="49" t="s">
        <v>104</v>
      </c>
      <c r="C121" s="44" t="s">
        <v>38</v>
      </c>
      <c r="F121" s="62" t="str">
        <f t="shared" si="22"/>
        <v/>
      </c>
      <c r="H121" s="32"/>
      <c r="I121" s="32"/>
      <c r="J121" s="62" t="str">
        <f t="shared" si="23"/>
        <v/>
      </c>
      <c r="N121" s="62" t="str">
        <f t="shared" si="24"/>
        <v/>
      </c>
      <c r="R121" s="62" t="str">
        <f t="shared" si="25"/>
        <v/>
      </c>
      <c r="V121" s="62" t="str">
        <f t="shared" si="26"/>
        <v/>
      </c>
      <c r="Y121" s="62" t="str">
        <f t="shared" si="27"/>
        <v/>
      </c>
      <c r="AB121" s="62" t="str">
        <f t="shared" si="28"/>
        <v/>
      </c>
      <c r="AF121" s="62" t="str">
        <f t="shared" si="29"/>
        <v/>
      </c>
      <c r="AI121" s="62" t="str">
        <f t="shared" si="30"/>
        <v/>
      </c>
      <c r="AM121" s="62" t="str">
        <f t="shared" si="31"/>
        <v/>
      </c>
      <c r="AQ121" s="62" t="str">
        <f t="shared" si="32"/>
        <v/>
      </c>
      <c r="AU121" s="62" t="str">
        <f t="shared" si="33"/>
        <v/>
      </c>
      <c r="AY121" s="62" t="str">
        <f t="shared" si="34"/>
        <v/>
      </c>
      <c r="BC121" s="62" t="str">
        <f t="shared" si="35"/>
        <v/>
      </c>
      <c r="BF121" s="62" t="str">
        <f t="shared" si="36"/>
        <v/>
      </c>
      <c r="BG121" s="44" t="s">
        <v>38</v>
      </c>
      <c r="BH121" s="44">
        <v>15</v>
      </c>
      <c r="BI121" s="44">
        <v>12</v>
      </c>
      <c r="BJ121" s="62">
        <f t="shared" si="37"/>
        <v>0.8</v>
      </c>
      <c r="BM121" s="62" t="str">
        <f t="shared" si="38"/>
        <v/>
      </c>
      <c r="BQ121" s="62" t="str">
        <f t="shared" si="39"/>
        <v/>
      </c>
      <c r="BT121" s="62" t="str">
        <f t="shared" si="40"/>
        <v/>
      </c>
      <c r="BW121" s="62" t="str">
        <f t="shared" si="41"/>
        <v/>
      </c>
      <c r="CA121" s="62" t="str">
        <f t="shared" si="42"/>
        <v/>
      </c>
      <c r="CD121" s="62" t="str">
        <f t="shared" si="43"/>
        <v/>
      </c>
    </row>
    <row r="122" spans="1:82" x14ac:dyDescent="0.3">
      <c r="A122" s="49" t="s">
        <v>2</v>
      </c>
      <c r="B122" s="49" t="s">
        <v>104</v>
      </c>
      <c r="C122" s="44" t="s">
        <v>38</v>
      </c>
      <c r="D122" s="44">
        <v>20714</v>
      </c>
      <c r="E122" s="44">
        <v>17143</v>
      </c>
      <c r="F122" s="62">
        <f t="shared" si="22"/>
        <v>0.82760451868301632</v>
      </c>
      <c r="G122" s="44" t="s">
        <v>38</v>
      </c>
      <c r="H122" s="32">
        <v>24643</v>
      </c>
      <c r="I122" s="32">
        <v>16607</v>
      </c>
      <c r="J122" s="62">
        <f t="shared" si="23"/>
        <v>0.67390333969078442</v>
      </c>
      <c r="K122" s="44" t="s">
        <v>38</v>
      </c>
      <c r="L122" s="32">
        <v>18000</v>
      </c>
      <c r="M122" s="32">
        <v>14769</v>
      </c>
      <c r="N122" s="62">
        <f t="shared" si="24"/>
        <v>0.82050000000000001</v>
      </c>
      <c r="O122" s="44" t="s">
        <v>38</v>
      </c>
      <c r="P122" s="44">
        <v>19000</v>
      </c>
      <c r="Q122" s="44">
        <v>14615</v>
      </c>
      <c r="R122" s="62">
        <f t="shared" si="25"/>
        <v>0.76921052631578946</v>
      </c>
      <c r="S122" s="44" t="s">
        <v>38</v>
      </c>
      <c r="T122" s="44">
        <v>15700</v>
      </c>
      <c r="U122" s="44">
        <v>11357</v>
      </c>
      <c r="V122" s="62">
        <f t="shared" si="26"/>
        <v>0.72337579617834391</v>
      </c>
      <c r="W122" s="44">
        <v>2700</v>
      </c>
      <c r="X122" s="44">
        <v>1750</v>
      </c>
      <c r="Y122" s="62">
        <f t="shared" si="27"/>
        <v>0.64814814814814814</v>
      </c>
      <c r="Z122" s="44">
        <v>6800</v>
      </c>
      <c r="AA122" s="44">
        <v>4369</v>
      </c>
      <c r="AB122" s="62">
        <f t="shared" si="28"/>
        <v>0.64249999999999996</v>
      </c>
      <c r="AC122" s="44" t="s">
        <v>38</v>
      </c>
      <c r="AD122" s="44">
        <v>6900</v>
      </c>
      <c r="AE122" s="44">
        <v>4721</v>
      </c>
      <c r="AF122" s="62">
        <f t="shared" si="29"/>
        <v>0.68420289855072469</v>
      </c>
      <c r="AG122" s="44">
        <v>7050</v>
      </c>
      <c r="AH122" s="44">
        <v>5000</v>
      </c>
      <c r="AI122" s="62">
        <f t="shared" si="30"/>
        <v>0.70921985815602839</v>
      </c>
      <c r="AM122" s="62" t="str">
        <f t="shared" si="31"/>
        <v/>
      </c>
      <c r="AN122" s="44" t="s">
        <v>38</v>
      </c>
      <c r="AO122" s="44">
        <v>2300</v>
      </c>
      <c r="AP122" s="44">
        <v>2944</v>
      </c>
      <c r="AQ122" s="62">
        <f t="shared" si="32"/>
        <v>1.28</v>
      </c>
      <c r="AR122" s="44" t="s">
        <v>38</v>
      </c>
      <c r="AS122" s="44">
        <v>1300</v>
      </c>
      <c r="AT122" s="44">
        <v>1706</v>
      </c>
      <c r="AU122" s="62">
        <f t="shared" si="33"/>
        <v>1.3123076923076924</v>
      </c>
      <c r="AV122" s="44" t="s">
        <v>38</v>
      </c>
      <c r="AW122" s="44">
        <v>1552</v>
      </c>
      <c r="AX122" s="44">
        <v>1900</v>
      </c>
      <c r="AY122" s="62">
        <f t="shared" si="34"/>
        <v>1.2242268041237114</v>
      </c>
      <c r="AZ122" s="44" t="s">
        <v>38</v>
      </c>
      <c r="BA122" s="54">
        <v>3750</v>
      </c>
      <c r="BB122" s="44">
        <v>3450</v>
      </c>
      <c r="BC122" s="62">
        <f t="shared" si="35"/>
        <v>0.92</v>
      </c>
      <c r="BF122" s="62" t="str">
        <f t="shared" si="36"/>
        <v/>
      </c>
      <c r="BG122" s="44" t="s">
        <v>38</v>
      </c>
      <c r="BH122" s="44">
        <v>668</v>
      </c>
      <c r="BI122" s="44">
        <v>1981</v>
      </c>
      <c r="BJ122" s="62">
        <f t="shared" si="37"/>
        <v>2.965568862275449</v>
      </c>
      <c r="BK122" s="44">
        <v>752</v>
      </c>
      <c r="BL122" s="44">
        <v>1549</v>
      </c>
      <c r="BM122" s="62">
        <f t="shared" si="38"/>
        <v>2.0598404255319149</v>
      </c>
      <c r="BQ122" s="62" t="str">
        <f t="shared" si="39"/>
        <v/>
      </c>
      <c r="BT122" s="62" t="str">
        <f t="shared" si="40"/>
        <v/>
      </c>
      <c r="BW122" s="62" t="str">
        <f t="shared" si="41"/>
        <v/>
      </c>
      <c r="CA122" s="62" t="str">
        <f t="shared" si="42"/>
        <v/>
      </c>
      <c r="CD122" s="62" t="str">
        <f t="shared" si="43"/>
        <v/>
      </c>
    </row>
    <row r="123" spans="1:82" x14ac:dyDescent="0.3">
      <c r="A123" s="49" t="s">
        <v>269</v>
      </c>
      <c r="B123" s="49" t="s">
        <v>104</v>
      </c>
      <c r="C123" s="44" t="s">
        <v>38</v>
      </c>
      <c r="F123" s="62" t="str">
        <f t="shared" si="22"/>
        <v/>
      </c>
      <c r="H123" s="32"/>
      <c r="I123" s="32"/>
      <c r="J123" s="62" t="str">
        <f t="shared" si="23"/>
        <v/>
      </c>
      <c r="L123" s="32"/>
      <c r="M123" s="32"/>
      <c r="N123" s="62" t="str">
        <f t="shared" si="24"/>
        <v/>
      </c>
      <c r="R123" s="62" t="str">
        <f t="shared" si="25"/>
        <v/>
      </c>
      <c r="V123" s="62" t="str">
        <f t="shared" si="26"/>
        <v/>
      </c>
      <c r="Y123" s="62" t="str">
        <f t="shared" si="27"/>
        <v/>
      </c>
      <c r="AB123" s="62" t="str">
        <f t="shared" si="28"/>
        <v/>
      </c>
      <c r="AF123" s="62" t="str">
        <f t="shared" si="29"/>
        <v/>
      </c>
      <c r="AI123" s="62" t="str">
        <f t="shared" si="30"/>
        <v/>
      </c>
      <c r="AM123" s="62" t="str">
        <f t="shared" si="31"/>
        <v/>
      </c>
      <c r="AQ123" s="62" t="str">
        <f t="shared" si="32"/>
        <v/>
      </c>
      <c r="AU123" s="62" t="str">
        <f t="shared" si="33"/>
        <v/>
      </c>
      <c r="AY123" s="62" t="str">
        <f t="shared" si="34"/>
        <v/>
      </c>
      <c r="BA123" s="32"/>
      <c r="BC123" s="62" t="str">
        <f t="shared" si="35"/>
        <v/>
      </c>
      <c r="BF123" s="62" t="str">
        <f t="shared" si="36"/>
        <v/>
      </c>
      <c r="BG123" s="44" t="s">
        <v>38</v>
      </c>
      <c r="BH123" s="44">
        <v>5</v>
      </c>
      <c r="BI123" s="44">
        <v>37</v>
      </c>
      <c r="BJ123" s="62">
        <f t="shared" si="37"/>
        <v>7.4</v>
      </c>
      <c r="BK123" s="44">
        <v>44</v>
      </c>
      <c r="BL123" s="44">
        <v>214</v>
      </c>
      <c r="BM123" s="62">
        <f t="shared" si="38"/>
        <v>4.8636363636363633</v>
      </c>
      <c r="BN123" s="44" t="s">
        <v>38</v>
      </c>
      <c r="BO123" s="44">
        <v>121</v>
      </c>
      <c r="BP123" s="44">
        <v>503</v>
      </c>
      <c r="BQ123" s="62">
        <f t="shared" si="39"/>
        <v>4.1570247933884295</v>
      </c>
      <c r="BR123" s="44">
        <v>1.5</v>
      </c>
      <c r="BS123" s="44">
        <v>25</v>
      </c>
      <c r="BT123" s="62">
        <f t="shared" si="40"/>
        <v>16.666666666666668</v>
      </c>
      <c r="BU123" s="44">
        <v>2</v>
      </c>
      <c r="BV123" s="44">
        <v>68</v>
      </c>
      <c r="BW123" s="62">
        <f t="shared" si="41"/>
        <v>34</v>
      </c>
      <c r="BX123" s="44" t="s">
        <v>38</v>
      </c>
      <c r="BY123" s="44">
        <v>0.25</v>
      </c>
      <c r="BZ123" s="44">
        <v>7</v>
      </c>
      <c r="CA123" s="62">
        <f t="shared" si="42"/>
        <v>28</v>
      </c>
      <c r="CB123" s="44">
        <v>1.25</v>
      </c>
      <c r="CC123" s="44">
        <v>15</v>
      </c>
      <c r="CD123" s="62">
        <f t="shared" si="43"/>
        <v>12</v>
      </c>
    </row>
    <row r="124" spans="1:82" x14ac:dyDescent="0.3">
      <c r="A124" s="49" t="s">
        <v>274</v>
      </c>
      <c r="B124" s="49" t="s">
        <v>104</v>
      </c>
      <c r="C124" s="44" t="s">
        <v>38</v>
      </c>
      <c r="F124" s="62" t="str">
        <f t="shared" si="22"/>
        <v/>
      </c>
      <c r="H124" s="32"/>
      <c r="I124" s="32"/>
      <c r="J124" s="62" t="str">
        <f t="shared" si="23"/>
        <v/>
      </c>
      <c r="L124" s="32"/>
      <c r="M124" s="32"/>
      <c r="N124" s="62" t="str">
        <f t="shared" si="24"/>
        <v/>
      </c>
      <c r="R124" s="62" t="str">
        <f t="shared" si="25"/>
        <v/>
      </c>
      <c r="V124" s="62" t="str">
        <f t="shared" si="26"/>
        <v/>
      </c>
      <c r="Y124" s="62" t="str">
        <f t="shared" si="27"/>
        <v/>
      </c>
      <c r="AB124" s="62" t="str">
        <f t="shared" si="28"/>
        <v/>
      </c>
      <c r="AF124" s="62" t="str">
        <f t="shared" si="29"/>
        <v/>
      </c>
      <c r="AI124" s="62" t="str">
        <f t="shared" si="30"/>
        <v/>
      </c>
      <c r="AM124" s="62" t="str">
        <f t="shared" si="31"/>
        <v/>
      </c>
      <c r="AQ124" s="62" t="str">
        <f t="shared" si="32"/>
        <v/>
      </c>
      <c r="AU124" s="62" t="str">
        <f t="shared" si="33"/>
        <v/>
      </c>
      <c r="AY124" s="62" t="str">
        <f t="shared" si="34"/>
        <v/>
      </c>
      <c r="BA124" s="32"/>
      <c r="BC124" s="62" t="str">
        <f t="shared" si="35"/>
        <v/>
      </c>
      <c r="BF124" s="62" t="str">
        <f t="shared" si="36"/>
        <v/>
      </c>
      <c r="BJ124" s="62" t="str">
        <f t="shared" si="37"/>
        <v/>
      </c>
      <c r="BM124" s="62" t="str">
        <f t="shared" si="38"/>
        <v/>
      </c>
      <c r="BN124" s="44" t="s">
        <v>38</v>
      </c>
      <c r="BO124" s="44">
        <v>748</v>
      </c>
      <c r="BP124" s="44">
        <v>2444</v>
      </c>
      <c r="BQ124" s="62">
        <f t="shared" si="39"/>
        <v>3.2673796791443852</v>
      </c>
      <c r="BR124" s="44">
        <v>332</v>
      </c>
      <c r="BS124" s="44">
        <v>1007</v>
      </c>
      <c r="BT124" s="62">
        <f t="shared" si="40"/>
        <v>3.0331325301204819</v>
      </c>
      <c r="BU124" s="44">
        <v>838</v>
      </c>
      <c r="BV124" s="44">
        <v>2476</v>
      </c>
      <c r="BW124" s="62">
        <f t="shared" si="41"/>
        <v>2.9546539379474939</v>
      </c>
      <c r="BX124" s="44" t="s">
        <v>38</v>
      </c>
      <c r="BY124" s="44">
        <v>846.25</v>
      </c>
      <c r="BZ124" s="44">
        <v>2841</v>
      </c>
      <c r="CA124" s="62">
        <f t="shared" si="42"/>
        <v>3.3571639586410633</v>
      </c>
      <c r="CB124" s="44">
        <v>618</v>
      </c>
      <c r="CC124" s="44">
        <v>1923.5</v>
      </c>
      <c r="CD124" s="62">
        <f t="shared" si="43"/>
        <v>3.1124595469255665</v>
      </c>
    </row>
    <row r="125" spans="1:82" x14ac:dyDescent="0.3">
      <c r="A125" s="49" t="s">
        <v>273</v>
      </c>
      <c r="B125" s="49" t="s">
        <v>104</v>
      </c>
      <c r="C125" s="44" t="s">
        <v>38</v>
      </c>
      <c r="F125" s="62" t="str">
        <f>IFERROR(E125/D125,"")</f>
        <v/>
      </c>
      <c r="H125" s="32"/>
      <c r="I125" s="32"/>
      <c r="J125" s="62" t="str">
        <f>IFERROR(I125/H125,"")</f>
        <v/>
      </c>
      <c r="L125" s="32"/>
      <c r="M125" s="32"/>
      <c r="N125" s="62" t="str">
        <f>IFERROR(M125/L125,"")</f>
        <v/>
      </c>
      <c r="R125" s="62" t="str">
        <f>IFERROR(Q125/P125,"")</f>
        <v/>
      </c>
      <c r="V125" s="62" t="str">
        <f>IFERROR(U125/T125,"")</f>
        <v/>
      </c>
      <c r="Y125" s="62" t="str">
        <f>IFERROR(X125/W125,"")</f>
        <v/>
      </c>
      <c r="AB125" s="62" t="str">
        <f>IFERROR(AA125/Z125,"")</f>
        <v/>
      </c>
      <c r="AF125" s="62" t="str">
        <f>IFERROR(AE125/AD125,"")</f>
        <v/>
      </c>
      <c r="AI125" s="62" t="str">
        <f>IFERROR(AH125/AG125,"")</f>
        <v/>
      </c>
      <c r="AJ125" s="44" t="s">
        <v>38</v>
      </c>
      <c r="AK125" s="44">
        <v>2980</v>
      </c>
      <c r="AL125" s="44">
        <v>3139</v>
      </c>
      <c r="AM125" s="62">
        <f>IFERROR(AL125/AK125,"")</f>
        <v>1.0533557046979867</v>
      </c>
      <c r="AQ125" s="62" t="str">
        <f>IFERROR(AP125/AO125,"")</f>
        <v/>
      </c>
      <c r="AU125" s="62" t="str">
        <f>IFERROR(AT125/AS125,"")</f>
        <v/>
      </c>
      <c r="AY125" s="62" t="str">
        <f>IFERROR(AX125/AW125,"")</f>
        <v/>
      </c>
      <c r="BC125" s="62" t="str">
        <f>IFERROR(BB125/BA125,"")</f>
        <v/>
      </c>
      <c r="BF125" s="62" t="str">
        <f>IFERROR(BE125/BD125,"")</f>
        <v/>
      </c>
      <c r="BJ125" s="62" t="str">
        <f>IFERROR(BI125/BH125,"")</f>
        <v/>
      </c>
      <c r="BM125" s="62" t="str">
        <f>IFERROR(BL125/BK125,"")</f>
        <v/>
      </c>
      <c r="BQ125" s="62" t="str">
        <f>IFERROR(BP125/BO125,"")</f>
        <v/>
      </c>
      <c r="BT125" s="62" t="str">
        <f>IFERROR(BS125/BR125,"")</f>
        <v/>
      </c>
      <c r="BW125" s="62" t="str">
        <f>IFERROR(BV125/BU125,"")</f>
        <v/>
      </c>
      <c r="CA125" s="62" t="str">
        <f>IFERROR(BZ125/BY125,"")</f>
        <v/>
      </c>
      <c r="CD125" s="62" t="str">
        <f>IFERROR(CC125/CB125,"")</f>
        <v/>
      </c>
    </row>
    <row r="126" spans="1:82" x14ac:dyDescent="0.3">
      <c r="A126" s="49" t="s">
        <v>55</v>
      </c>
      <c r="B126" s="49" t="s">
        <v>104</v>
      </c>
      <c r="C126" s="44" t="s">
        <v>38</v>
      </c>
      <c r="F126" s="62" t="str">
        <f t="shared" ref="F126:F132" si="44">IFERROR(E126/D126,"")</f>
        <v/>
      </c>
      <c r="J126" s="62" t="str">
        <f t="shared" ref="J126:J132" si="45">IFERROR(I126/H126,"")</f>
        <v/>
      </c>
      <c r="N126" s="62" t="str">
        <f t="shared" ref="N126:N132" si="46">IFERROR(M126/L126,"")</f>
        <v/>
      </c>
      <c r="R126" s="62" t="str">
        <f t="shared" ref="R126:R132" si="47">IFERROR(Q126/P126,"")</f>
        <v/>
      </c>
      <c r="V126" s="62" t="str">
        <f t="shared" ref="V126:V132" si="48">IFERROR(U126/T126,"")</f>
        <v/>
      </c>
      <c r="Y126" s="62" t="str">
        <f t="shared" ref="Y126:Y132" si="49">IFERROR(X126/W126,"")</f>
        <v/>
      </c>
      <c r="AB126" s="62" t="str">
        <f t="shared" ref="AB126:AB132" si="50">IFERROR(AA126/Z126,"")</f>
        <v/>
      </c>
      <c r="AF126" s="62" t="str">
        <f t="shared" ref="AF126:AF132" si="51">IFERROR(AE126/AD126,"")</f>
        <v/>
      </c>
      <c r="AI126" s="62" t="str">
        <f t="shared" ref="AI126:AI132" si="52">IFERROR(AH126/AG126,"")</f>
        <v/>
      </c>
      <c r="AM126" s="62" t="str">
        <f t="shared" ref="AM126:AM132" si="53">IFERROR(AL126/AK126,"")</f>
        <v/>
      </c>
      <c r="AQ126" s="62" t="str">
        <f t="shared" ref="AQ126:AQ132" si="54">IFERROR(AP126/AO126,"")</f>
        <v/>
      </c>
      <c r="AU126" s="62" t="str">
        <f t="shared" ref="AU126:AU132" si="55">IFERROR(AT126/AS126,"")</f>
        <v/>
      </c>
      <c r="AY126" s="62" t="str">
        <f t="shared" ref="AY126:AY132" si="56">IFERROR(AX126/AW126,"")</f>
        <v/>
      </c>
      <c r="BC126" s="62" t="str">
        <f t="shared" ref="BC126:BC132" si="57">IFERROR(BB126/BA126,"")</f>
        <v/>
      </c>
      <c r="BF126" s="62" t="str">
        <f t="shared" ref="BF126:BF132" si="58">IFERROR(BE126/BD126,"")</f>
        <v/>
      </c>
      <c r="BG126" s="44" t="s">
        <v>38</v>
      </c>
      <c r="BJ126" s="62" t="str">
        <f t="shared" ref="BJ126:BJ132" si="59">IFERROR(BI126/BH126,"")</f>
        <v/>
      </c>
      <c r="BK126" s="44">
        <v>604</v>
      </c>
      <c r="BL126" s="44">
        <v>448</v>
      </c>
      <c r="BM126" s="62">
        <f t="shared" ref="BM126:BM132" si="60">IFERROR(BL126/BK126,"")</f>
        <v>0.74172185430463577</v>
      </c>
      <c r="BN126" s="44" t="s">
        <v>38</v>
      </c>
      <c r="BQ126" s="62" t="str">
        <f t="shared" ref="BQ126:BQ132" si="61">IFERROR(BP126/BO126,"")</f>
        <v/>
      </c>
      <c r="BR126" s="44">
        <v>148.75</v>
      </c>
      <c r="BS126" s="44">
        <v>24</v>
      </c>
      <c r="BT126" s="62">
        <f t="shared" ref="BT126:BT132" si="62">IFERROR(BS126/BR126,"")</f>
        <v>0.16134453781512606</v>
      </c>
      <c r="BU126" s="44">
        <v>112</v>
      </c>
      <c r="BV126" s="44">
        <v>53</v>
      </c>
      <c r="BW126" s="62">
        <f t="shared" ref="BW126:BW132" si="63">IFERROR(BV126/BU126,"")</f>
        <v>0.4732142857142857</v>
      </c>
      <c r="BX126" s="44" t="s">
        <v>38</v>
      </c>
      <c r="BY126" s="44">
        <v>569</v>
      </c>
      <c r="BZ126" s="44">
        <v>201</v>
      </c>
      <c r="CA126" s="62">
        <f t="shared" ref="CA126:CA132" si="64">IFERROR(BZ126/BY126,"")</f>
        <v>0.35325131810193322</v>
      </c>
      <c r="CB126" s="44">
        <v>1060.5</v>
      </c>
      <c r="CC126" s="44">
        <v>405</v>
      </c>
      <c r="CD126" s="62">
        <f t="shared" ref="CD126:CD132" si="65">IFERROR(CC126/CB126,"")</f>
        <v>0.38189533239038187</v>
      </c>
    </row>
    <row r="127" spans="1:82" x14ac:dyDescent="0.3">
      <c r="A127" s="49" t="s">
        <v>53</v>
      </c>
      <c r="B127" s="49" t="s">
        <v>112</v>
      </c>
      <c r="C127" s="44" t="s">
        <v>34</v>
      </c>
      <c r="F127" s="62" t="str">
        <f t="shared" si="44"/>
        <v/>
      </c>
      <c r="H127" s="32"/>
      <c r="I127" s="32"/>
      <c r="J127" s="62" t="str">
        <f t="shared" si="45"/>
        <v/>
      </c>
      <c r="L127" s="32"/>
      <c r="M127" s="32"/>
      <c r="N127" s="62" t="str">
        <f t="shared" si="46"/>
        <v/>
      </c>
      <c r="R127" s="62" t="str">
        <f t="shared" si="47"/>
        <v/>
      </c>
      <c r="V127" s="62" t="str">
        <f t="shared" si="48"/>
        <v/>
      </c>
      <c r="Y127" s="62" t="str">
        <f t="shared" si="49"/>
        <v/>
      </c>
      <c r="AB127" s="62" t="str">
        <f t="shared" si="50"/>
        <v/>
      </c>
      <c r="AF127" s="62" t="str">
        <f t="shared" si="51"/>
        <v/>
      </c>
      <c r="AI127" s="62" t="str">
        <f t="shared" si="52"/>
        <v/>
      </c>
      <c r="AM127" s="62" t="str">
        <f t="shared" si="53"/>
        <v/>
      </c>
      <c r="AQ127" s="62" t="str">
        <f t="shared" si="54"/>
        <v/>
      </c>
      <c r="AU127" s="62" t="str">
        <f t="shared" si="55"/>
        <v/>
      </c>
      <c r="AY127" s="62" t="str">
        <f t="shared" si="56"/>
        <v/>
      </c>
      <c r="BC127" s="62" t="str">
        <f t="shared" si="57"/>
        <v/>
      </c>
      <c r="BF127" s="62" t="str">
        <f t="shared" si="58"/>
        <v/>
      </c>
      <c r="BG127" s="44" t="s">
        <v>34</v>
      </c>
      <c r="BH127" s="44">
        <v>5</v>
      </c>
      <c r="BI127" s="44">
        <v>4</v>
      </c>
      <c r="BJ127" s="62">
        <f t="shared" si="59"/>
        <v>0.8</v>
      </c>
      <c r="BK127" s="44">
        <v>8</v>
      </c>
      <c r="BL127" s="44">
        <v>8</v>
      </c>
      <c r="BM127" s="62">
        <f t="shared" si="60"/>
        <v>1</v>
      </c>
      <c r="BN127" s="44" t="s">
        <v>34</v>
      </c>
      <c r="BO127" s="44">
        <v>16</v>
      </c>
      <c r="BP127" s="44">
        <v>11</v>
      </c>
      <c r="BQ127" s="62">
        <f t="shared" si="61"/>
        <v>0.6875</v>
      </c>
      <c r="BR127" s="44">
        <v>4</v>
      </c>
      <c r="BS127" s="44">
        <v>2</v>
      </c>
      <c r="BT127" s="62">
        <f t="shared" si="62"/>
        <v>0.5</v>
      </c>
      <c r="BU127" s="44">
        <v>6</v>
      </c>
      <c r="BV127" s="44">
        <v>8</v>
      </c>
      <c r="BW127" s="62">
        <f t="shared" si="63"/>
        <v>1.3333333333333333</v>
      </c>
      <c r="BX127" s="44" t="s">
        <v>34</v>
      </c>
      <c r="BY127" s="44">
        <v>21</v>
      </c>
      <c r="BZ127" s="44">
        <v>15</v>
      </c>
      <c r="CA127" s="62">
        <f t="shared" si="64"/>
        <v>0.7142857142857143</v>
      </c>
      <c r="CB127" s="44">
        <v>16</v>
      </c>
      <c r="CC127" s="44">
        <v>6</v>
      </c>
      <c r="CD127" s="62">
        <f t="shared" si="65"/>
        <v>0.375</v>
      </c>
    </row>
    <row r="128" spans="1:82" x14ac:dyDescent="0.3">
      <c r="A128" s="49" t="s">
        <v>54</v>
      </c>
      <c r="B128" s="49" t="s">
        <v>104</v>
      </c>
      <c r="C128" s="44" t="s">
        <v>38</v>
      </c>
      <c r="F128" s="62" t="str">
        <f t="shared" si="44"/>
        <v/>
      </c>
      <c r="H128" s="32"/>
      <c r="I128" s="32"/>
      <c r="J128" s="62" t="str">
        <f t="shared" si="45"/>
        <v/>
      </c>
      <c r="L128" s="32"/>
      <c r="M128" s="32"/>
      <c r="N128" s="62" t="str">
        <f t="shared" si="46"/>
        <v/>
      </c>
      <c r="R128" s="62" t="str">
        <f t="shared" si="47"/>
        <v/>
      </c>
      <c r="V128" s="62" t="str">
        <f t="shared" si="48"/>
        <v/>
      </c>
      <c r="Y128" s="62" t="str">
        <f t="shared" si="49"/>
        <v/>
      </c>
      <c r="AB128" s="62" t="str">
        <f t="shared" si="50"/>
        <v/>
      </c>
      <c r="AF128" s="62" t="str">
        <f t="shared" si="51"/>
        <v/>
      </c>
      <c r="AI128" s="62" t="str">
        <f t="shared" si="52"/>
        <v/>
      </c>
      <c r="AM128" s="62" t="str">
        <f t="shared" si="53"/>
        <v/>
      </c>
      <c r="AQ128" s="62" t="str">
        <f t="shared" si="54"/>
        <v/>
      </c>
      <c r="AU128" s="62" t="str">
        <f t="shared" si="55"/>
        <v/>
      </c>
      <c r="AY128" s="62" t="str">
        <f t="shared" si="56"/>
        <v/>
      </c>
      <c r="BC128" s="62" t="str">
        <f t="shared" si="57"/>
        <v/>
      </c>
      <c r="BF128" s="62" t="str">
        <f t="shared" si="58"/>
        <v/>
      </c>
      <c r="BG128" s="44" t="s">
        <v>38</v>
      </c>
      <c r="BJ128" s="62" t="str">
        <f t="shared" si="59"/>
        <v/>
      </c>
      <c r="BK128" s="44">
        <v>31</v>
      </c>
      <c r="BL128" s="44">
        <v>28</v>
      </c>
      <c r="BM128" s="62">
        <f t="shared" si="60"/>
        <v>0.90322580645161288</v>
      </c>
      <c r="BN128" s="44" t="s">
        <v>38</v>
      </c>
      <c r="BO128" s="44">
        <v>104</v>
      </c>
      <c r="BP128" s="44">
        <v>176</v>
      </c>
      <c r="BQ128" s="62">
        <f t="shared" si="61"/>
        <v>1.6923076923076923</v>
      </c>
      <c r="BT128" s="62" t="str">
        <f t="shared" si="62"/>
        <v/>
      </c>
      <c r="BU128" s="44">
        <v>0.25</v>
      </c>
      <c r="BV128" s="44">
        <v>0.5</v>
      </c>
      <c r="BW128" s="62">
        <f t="shared" si="63"/>
        <v>2</v>
      </c>
      <c r="BX128" s="44" t="s">
        <v>38</v>
      </c>
      <c r="BY128" s="44">
        <v>23.25</v>
      </c>
      <c r="BZ128" s="44">
        <v>23.5</v>
      </c>
      <c r="CA128" s="62">
        <f t="shared" si="64"/>
        <v>1.010752688172043</v>
      </c>
      <c r="CD128" s="62" t="str">
        <f t="shared" si="65"/>
        <v/>
      </c>
    </row>
    <row r="129" spans="1:82" x14ac:dyDescent="0.3">
      <c r="A129" s="49" t="s">
        <v>270</v>
      </c>
      <c r="B129" s="49" t="s">
        <v>104</v>
      </c>
      <c r="C129" s="44" t="s">
        <v>38</v>
      </c>
      <c r="D129" s="44">
        <f>$F$198*185</f>
        <v>555</v>
      </c>
      <c r="E129" s="44">
        <v>15707</v>
      </c>
      <c r="F129" s="62">
        <f t="shared" si="44"/>
        <v>28.300900900900899</v>
      </c>
      <c r="G129" s="44" t="s">
        <v>38</v>
      </c>
      <c r="H129" s="32">
        <f>$F$198*230</f>
        <v>690</v>
      </c>
      <c r="I129" s="32">
        <v>19294</v>
      </c>
      <c r="J129" s="62">
        <f t="shared" si="45"/>
        <v>27.962318840579709</v>
      </c>
      <c r="K129" s="44" t="s">
        <v>38</v>
      </c>
      <c r="L129" s="32">
        <f>$F$198*240</f>
        <v>720</v>
      </c>
      <c r="M129" s="32">
        <v>16376</v>
      </c>
      <c r="N129" s="62">
        <f t="shared" si="46"/>
        <v>22.744444444444444</v>
      </c>
      <c r="O129" s="44" t="s">
        <v>38</v>
      </c>
      <c r="P129" s="44">
        <f>$F$198*253</f>
        <v>759</v>
      </c>
      <c r="Q129" s="44">
        <v>14077</v>
      </c>
      <c r="R129" s="62">
        <f t="shared" si="47"/>
        <v>18.546772068511199</v>
      </c>
      <c r="S129" s="44" t="s">
        <v>38</v>
      </c>
      <c r="T129" s="44">
        <f>$F$198*150</f>
        <v>450</v>
      </c>
      <c r="U129" s="44">
        <v>7536</v>
      </c>
      <c r="V129" s="62">
        <f t="shared" si="48"/>
        <v>16.746666666666666</v>
      </c>
      <c r="W129" s="44">
        <f>$F$198*90</f>
        <v>270</v>
      </c>
      <c r="X129" s="44">
        <v>6375</v>
      </c>
      <c r="Y129" s="62">
        <f t="shared" si="49"/>
        <v>23.611111111111111</v>
      </c>
      <c r="Z129" s="44">
        <f>$F$198*95</f>
        <v>285</v>
      </c>
      <c r="AA129" s="44">
        <v>5846</v>
      </c>
      <c r="AB129" s="62">
        <f t="shared" si="50"/>
        <v>20.512280701754385</v>
      </c>
      <c r="AC129" s="44" t="s">
        <v>38</v>
      </c>
      <c r="AD129" s="44">
        <f>$F$198*93</f>
        <v>279</v>
      </c>
      <c r="AE129" s="44">
        <v>5166</v>
      </c>
      <c r="AF129" s="62">
        <f t="shared" si="51"/>
        <v>18.516129032258064</v>
      </c>
      <c r="AG129" s="44">
        <f>$F$198*87</f>
        <v>261</v>
      </c>
      <c r="AH129" s="44">
        <v>4722</v>
      </c>
      <c r="AI129" s="62">
        <f t="shared" si="52"/>
        <v>18.091954022988507</v>
      </c>
      <c r="AM129" s="62" t="str">
        <f t="shared" si="53"/>
        <v/>
      </c>
      <c r="AQ129" s="62" t="str">
        <f t="shared" si="54"/>
        <v/>
      </c>
      <c r="AU129" s="62" t="str">
        <f t="shared" si="55"/>
        <v/>
      </c>
      <c r="AY129" s="62" t="str">
        <f t="shared" si="56"/>
        <v/>
      </c>
      <c r="BC129" s="62" t="str">
        <f t="shared" si="57"/>
        <v/>
      </c>
      <c r="BF129" s="62" t="str">
        <f t="shared" si="58"/>
        <v/>
      </c>
      <c r="BJ129" s="62" t="str">
        <f t="shared" si="59"/>
        <v/>
      </c>
      <c r="BM129" s="62" t="str">
        <f t="shared" si="60"/>
        <v/>
      </c>
      <c r="BN129" s="44" t="s">
        <v>38</v>
      </c>
      <c r="BO129" s="44">
        <v>5</v>
      </c>
      <c r="BP129" s="44">
        <v>144</v>
      </c>
      <c r="BQ129" s="62">
        <f t="shared" si="61"/>
        <v>28.8</v>
      </c>
      <c r="BR129" s="44">
        <v>5</v>
      </c>
      <c r="BS129" s="44">
        <v>182</v>
      </c>
      <c r="BT129" s="62">
        <f t="shared" si="62"/>
        <v>36.4</v>
      </c>
      <c r="BU129" s="44">
        <v>8.25</v>
      </c>
      <c r="BV129" s="44">
        <v>186</v>
      </c>
      <c r="BW129" s="62">
        <f t="shared" si="63"/>
        <v>22.545454545454547</v>
      </c>
      <c r="BX129" s="44" t="s">
        <v>38</v>
      </c>
      <c r="BY129" s="44">
        <v>10</v>
      </c>
      <c r="BZ129" s="44">
        <v>233</v>
      </c>
      <c r="CA129" s="62">
        <f t="shared" si="64"/>
        <v>23.3</v>
      </c>
      <c r="CB129" s="44">
        <v>14.5</v>
      </c>
      <c r="CC129" s="44">
        <v>393</v>
      </c>
      <c r="CD129" s="62">
        <f t="shared" si="65"/>
        <v>27.103448275862068</v>
      </c>
    </row>
    <row r="130" spans="1:82" x14ac:dyDescent="0.3">
      <c r="A130" s="49" t="s">
        <v>271</v>
      </c>
      <c r="B130" s="49" t="s">
        <v>104</v>
      </c>
      <c r="C130" s="44" t="s">
        <v>38</v>
      </c>
      <c r="F130" s="62" t="str">
        <f t="shared" si="44"/>
        <v/>
      </c>
      <c r="H130" s="32"/>
      <c r="I130" s="32"/>
      <c r="J130" s="62" t="str">
        <f t="shared" si="45"/>
        <v/>
      </c>
      <c r="L130" s="32"/>
      <c r="M130" s="32"/>
      <c r="N130" s="62" t="str">
        <f t="shared" si="46"/>
        <v/>
      </c>
      <c r="R130" s="62" t="str">
        <f t="shared" si="47"/>
        <v/>
      </c>
      <c r="V130" s="62" t="str">
        <f t="shared" si="48"/>
        <v/>
      </c>
      <c r="Y130" s="62" t="str">
        <f t="shared" si="49"/>
        <v/>
      </c>
      <c r="AB130" s="62" t="str">
        <f t="shared" si="50"/>
        <v/>
      </c>
      <c r="AF130" s="62" t="str">
        <f t="shared" si="51"/>
        <v/>
      </c>
      <c r="AI130" s="62" t="str">
        <f t="shared" si="52"/>
        <v/>
      </c>
      <c r="AM130" s="62" t="str">
        <f t="shared" si="53"/>
        <v/>
      </c>
      <c r="AQ130" s="62" t="str">
        <f t="shared" si="54"/>
        <v/>
      </c>
      <c r="AU130" s="62" t="str">
        <f t="shared" si="55"/>
        <v/>
      </c>
      <c r="AY130" s="62" t="str">
        <f t="shared" si="56"/>
        <v/>
      </c>
      <c r="BC130" s="62" t="str">
        <f t="shared" si="57"/>
        <v/>
      </c>
      <c r="BF130" s="62" t="str">
        <f t="shared" si="58"/>
        <v/>
      </c>
      <c r="BG130" s="44" t="s">
        <v>38</v>
      </c>
      <c r="BH130" s="44">
        <v>6</v>
      </c>
      <c r="BI130" s="44">
        <v>98</v>
      </c>
      <c r="BJ130" s="62">
        <f t="shared" si="59"/>
        <v>16.333333333333332</v>
      </c>
      <c r="BK130" s="44">
        <v>30</v>
      </c>
      <c r="BL130" s="44">
        <v>167</v>
      </c>
      <c r="BM130" s="62">
        <f t="shared" si="60"/>
        <v>5.5666666666666664</v>
      </c>
      <c r="BQ130" s="62" t="str">
        <f t="shared" si="61"/>
        <v/>
      </c>
      <c r="BT130" s="62" t="str">
        <f t="shared" si="62"/>
        <v/>
      </c>
      <c r="BW130" s="62" t="str">
        <f t="shared" si="63"/>
        <v/>
      </c>
      <c r="CA130" s="62" t="str">
        <f t="shared" si="64"/>
        <v/>
      </c>
      <c r="CD130" s="62" t="str">
        <f t="shared" si="65"/>
        <v/>
      </c>
    </row>
    <row r="131" spans="1:82" x14ac:dyDescent="0.3">
      <c r="A131" s="49" t="s">
        <v>350</v>
      </c>
      <c r="B131" s="49" t="s">
        <v>104</v>
      </c>
      <c r="C131" s="44" t="s">
        <v>38</v>
      </c>
      <c r="F131" s="62" t="str">
        <f t="shared" si="44"/>
        <v/>
      </c>
      <c r="J131" s="62" t="str">
        <f t="shared" si="45"/>
        <v/>
      </c>
      <c r="N131" s="62" t="str">
        <f t="shared" si="46"/>
        <v/>
      </c>
      <c r="R131" s="62" t="str">
        <f t="shared" si="47"/>
        <v/>
      </c>
      <c r="V131" s="62" t="str">
        <f t="shared" si="48"/>
        <v/>
      </c>
      <c r="Y131" s="62" t="str">
        <f t="shared" si="49"/>
        <v/>
      </c>
      <c r="AB131" s="62" t="str">
        <f t="shared" si="50"/>
        <v/>
      </c>
      <c r="AF131" s="62" t="str">
        <f t="shared" si="51"/>
        <v/>
      </c>
      <c r="AI131" s="62" t="str">
        <f t="shared" si="52"/>
        <v/>
      </c>
      <c r="AJ131" s="44" t="s">
        <v>38</v>
      </c>
      <c r="AK131" s="44">
        <f>$F$198*5</f>
        <v>15</v>
      </c>
      <c r="AL131" s="44">
        <v>294</v>
      </c>
      <c r="AM131" s="62">
        <f t="shared" si="53"/>
        <v>19.600000000000001</v>
      </c>
      <c r="AN131" s="44" t="s">
        <v>38</v>
      </c>
      <c r="AO131" s="54">
        <f>$F$198*5</f>
        <v>15</v>
      </c>
      <c r="AP131" s="44">
        <v>312</v>
      </c>
      <c r="AQ131" s="62">
        <f t="shared" si="54"/>
        <v>20.8</v>
      </c>
      <c r="AU131" s="62" t="str">
        <f t="shared" si="55"/>
        <v/>
      </c>
      <c r="AY131" s="62" t="str">
        <f t="shared" si="56"/>
        <v/>
      </c>
      <c r="BC131" s="62" t="str">
        <f t="shared" si="57"/>
        <v/>
      </c>
      <c r="BF131" s="62" t="str">
        <f t="shared" si="58"/>
        <v/>
      </c>
      <c r="BJ131" s="62" t="str">
        <f t="shared" si="59"/>
        <v/>
      </c>
      <c r="BM131" s="62" t="str">
        <f t="shared" si="60"/>
        <v/>
      </c>
      <c r="BQ131" s="62" t="str">
        <f t="shared" si="61"/>
        <v/>
      </c>
      <c r="BT131" s="62" t="str">
        <f t="shared" si="62"/>
        <v/>
      </c>
      <c r="BW131" s="62" t="str">
        <f t="shared" si="63"/>
        <v/>
      </c>
      <c r="CA131" s="62" t="str">
        <f t="shared" si="64"/>
        <v/>
      </c>
      <c r="CD131" s="62" t="str">
        <f t="shared" si="65"/>
        <v/>
      </c>
    </row>
    <row r="132" spans="1:82" x14ac:dyDescent="0.3">
      <c r="A132" s="49" t="s">
        <v>272</v>
      </c>
      <c r="B132" s="49" t="s">
        <v>104</v>
      </c>
      <c r="C132" s="44" t="s">
        <v>38</v>
      </c>
      <c r="F132" s="62" t="str">
        <f t="shared" si="44"/>
        <v/>
      </c>
      <c r="J132" s="62" t="str">
        <f t="shared" si="45"/>
        <v/>
      </c>
      <c r="N132" s="62" t="str">
        <f t="shared" si="46"/>
        <v/>
      </c>
      <c r="R132" s="62" t="str">
        <f t="shared" si="47"/>
        <v/>
      </c>
      <c r="V132" s="62" t="str">
        <f t="shared" si="48"/>
        <v/>
      </c>
      <c r="Y132" s="62" t="str">
        <f t="shared" si="49"/>
        <v/>
      </c>
      <c r="AB132" s="62" t="str">
        <f t="shared" si="50"/>
        <v/>
      </c>
      <c r="AF132" s="62" t="str">
        <f t="shared" si="51"/>
        <v/>
      </c>
      <c r="AI132" s="62" t="str">
        <f t="shared" si="52"/>
        <v/>
      </c>
      <c r="AJ132" s="44" t="s">
        <v>38</v>
      </c>
      <c r="AK132" s="44">
        <f>$F$198*8</f>
        <v>24</v>
      </c>
      <c r="AL132" s="44">
        <v>471</v>
      </c>
      <c r="AM132" s="62">
        <f t="shared" si="53"/>
        <v>19.625</v>
      </c>
      <c r="AQ132" s="62" t="str">
        <f t="shared" si="54"/>
        <v/>
      </c>
      <c r="AU132" s="62" t="str">
        <f t="shared" si="55"/>
        <v/>
      </c>
      <c r="AY132" s="62" t="str">
        <f t="shared" si="56"/>
        <v/>
      </c>
      <c r="BC132" s="62" t="str">
        <f t="shared" si="57"/>
        <v/>
      </c>
      <c r="BF132" s="62" t="str">
        <f t="shared" si="58"/>
        <v/>
      </c>
      <c r="BG132" s="44" t="s">
        <v>38</v>
      </c>
      <c r="BH132" s="44">
        <v>7</v>
      </c>
      <c r="BI132" s="44">
        <v>48</v>
      </c>
      <c r="BJ132" s="62">
        <f t="shared" si="59"/>
        <v>6.8571428571428568</v>
      </c>
      <c r="BM132" s="62" t="str">
        <f t="shared" si="60"/>
        <v/>
      </c>
      <c r="BQ132" s="62" t="str">
        <f t="shared" si="61"/>
        <v/>
      </c>
      <c r="BT132" s="62" t="str">
        <f t="shared" si="62"/>
        <v/>
      </c>
      <c r="BW132" s="62" t="str">
        <f t="shared" si="63"/>
        <v/>
      </c>
      <c r="CA132" s="62" t="str">
        <f t="shared" si="64"/>
        <v/>
      </c>
      <c r="CD132" s="62" t="str">
        <f t="shared" si="65"/>
        <v/>
      </c>
    </row>
    <row r="133" spans="1:82" x14ac:dyDescent="0.3">
      <c r="F133" s="67"/>
      <c r="J133" s="67"/>
      <c r="N133" s="67"/>
      <c r="R133" s="67"/>
      <c r="V133" s="67"/>
      <c r="Y133" s="67"/>
      <c r="AB133" s="67"/>
      <c r="AF133" s="67"/>
      <c r="AI133" s="67"/>
      <c r="AM133" s="67"/>
      <c r="AQ133" s="67"/>
      <c r="AU133" s="67"/>
      <c r="AY133" s="67"/>
      <c r="BC133" s="67"/>
      <c r="BF133" s="67"/>
      <c r="BJ133" s="67"/>
      <c r="BM133" s="67"/>
      <c r="BQ133" s="67"/>
      <c r="BT133" s="67"/>
      <c r="BW133" s="67"/>
      <c r="CA133" s="67"/>
      <c r="CD133" s="67"/>
    </row>
    <row r="134" spans="1:82" x14ac:dyDescent="0.3">
      <c r="F134" s="33"/>
      <c r="J134" s="33"/>
      <c r="N134" s="33"/>
      <c r="R134" s="33"/>
      <c r="V134" s="33"/>
      <c r="Y134" s="33"/>
      <c r="AB134" s="33"/>
      <c r="AF134" s="33"/>
      <c r="AI134" s="33"/>
      <c r="AM134" s="33"/>
      <c r="AQ134" s="33"/>
      <c r="AU134" s="33"/>
      <c r="AY134" s="33"/>
      <c r="BC134" s="33"/>
      <c r="BF134" s="33"/>
      <c r="BJ134" s="33"/>
      <c r="BM134" s="33"/>
      <c r="BQ134" s="33"/>
      <c r="BT134" s="33"/>
      <c r="BW134" s="33"/>
      <c r="CA134" s="33"/>
      <c r="CD134" s="33"/>
    </row>
    <row r="135" spans="1:82" x14ac:dyDescent="0.3">
      <c r="A135" s="31" t="s">
        <v>138</v>
      </c>
      <c r="F135" s="33"/>
      <c r="G135" s="32"/>
      <c r="J135" s="33"/>
      <c r="M135" s="32"/>
      <c r="N135" s="33"/>
      <c r="R135" s="33"/>
      <c r="V135" s="33"/>
      <c r="Y135" s="33"/>
      <c r="Z135" s="32"/>
      <c r="AB135" s="33"/>
      <c r="AF135" s="33"/>
      <c r="AI135" s="33"/>
      <c r="AM135" s="33"/>
      <c r="AO135" s="55"/>
      <c r="AQ135" s="33"/>
      <c r="AS135" s="32"/>
      <c r="AU135" s="33"/>
      <c r="AY135" s="33"/>
      <c r="BC135" s="33"/>
      <c r="BF135" s="33"/>
      <c r="BJ135" s="33"/>
      <c r="BM135" s="33"/>
      <c r="BQ135" s="33"/>
      <c r="BT135" s="33"/>
      <c r="BW135" s="33"/>
      <c r="CA135" s="33"/>
      <c r="CD135" s="33"/>
    </row>
    <row r="136" spans="1:82" s="32" customFormat="1" x14ac:dyDescent="0.3">
      <c r="A136" s="38" t="s">
        <v>21</v>
      </c>
      <c r="B136" s="32">
        <v>1</v>
      </c>
      <c r="C136" s="33" t="s">
        <v>139</v>
      </c>
      <c r="D136" s="56">
        <v>108</v>
      </c>
      <c r="E136" s="33" t="s">
        <v>140</v>
      </c>
      <c r="H136" s="56"/>
      <c r="I136" s="33"/>
      <c r="K136" s="57"/>
      <c r="M136" s="33"/>
      <c r="O136" s="56"/>
      <c r="P136" s="55"/>
      <c r="Q136" s="33"/>
      <c r="R136" s="58"/>
      <c r="T136" s="56"/>
      <c r="U136" s="33"/>
      <c r="X136" s="33"/>
      <c r="Z136" s="56"/>
      <c r="AA136" s="33"/>
      <c r="AE136" s="33"/>
      <c r="AG136" s="56"/>
      <c r="AH136" s="33"/>
      <c r="AK136" s="56"/>
      <c r="AL136" s="33"/>
      <c r="AO136" s="56"/>
      <c r="AP136" s="33"/>
      <c r="AS136" s="56"/>
      <c r="AT136" s="33"/>
      <c r="AW136" s="56"/>
      <c r="AX136" s="33"/>
      <c r="BA136" s="56"/>
      <c r="BB136" s="33"/>
      <c r="BE136" s="33"/>
      <c r="BG136" s="56"/>
      <c r="BI136" s="33"/>
      <c r="BK136" s="56"/>
      <c r="BL136" s="33"/>
      <c r="BP136" s="33"/>
      <c r="BS136" s="33"/>
      <c r="BV136" s="33"/>
      <c r="BZ136" s="33"/>
      <c r="CC136" s="33"/>
    </row>
    <row r="137" spans="1:82" s="32" customFormat="1" x14ac:dyDescent="0.3">
      <c r="A137" s="38" t="s">
        <v>21</v>
      </c>
      <c r="B137" s="32">
        <v>1</v>
      </c>
      <c r="C137" s="33" t="s">
        <v>141</v>
      </c>
      <c r="D137" s="56">
        <v>32.5</v>
      </c>
      <c r="E137" s="33" t="s">
        <v>140</v>
      </c>
      <c r="H137" s="56"/>
      <c r="I137" s="33"/>
      <c r="M137" s="33"/>
      <c r="N137" s="44"/>
      <c r="O137" s="56"/>
      <c r="Q137" s="33"/>
      <c r="R137" s="58"/>
      <c r="T137" s="56"/>
      <c r="U137" s="33"/>
      <c r="X137" s="33"/>
      <c r="Z137" s="56"/>
      <c r="AA137" s="33"/>
      <c r="AE137" s="33"/>
      <c r="AG137" s="56"/>
      <c r="AH137" s="33"/>
      <c r="AK137" s="56"/>
      <c r="AL137" s="33"/>
      <c r="AO137" s="56"/>
      <c r="AP137" s="33"/>
      <c r="AS137" s="56"/>
      <c r="AT137" s="33"/>
      <c r="AW137" s="56"/>
      <c r="AX137" s="33"/>
      <c r="BA137" s="56"/>
      <c r="BB137" s="33"/>
      <c r="BE137" s="33"/>
      <c r="BG137" s="56"/>
      <c r="BI137" s="33"/>
      <c r="BK137" s="56"/>
      <c r="BL137" s="33"/>
      <c r="BP137" s="33"/>
      <c r="BS137" s="33"/>
      <c r="BV137" s="33"/>
      <c r="BZ137" s="33"/>
      <c r="CC137" s="33"/>
    </row>
    <row r="138" spans="1:82" x14ac:dyDescent="0.3">
      <c r="A138" s="38"/>
      <c r="B138" s="32">
        <v>1</v>
      </c>
      <c r="C138" s="33" t="s">
        <v>142</v>
      </c>
      <c r="D138" s="56">
        <v>6.5</v>
      </c>
      <c r="E138" s="34" t="s">
        <v>140</v>
      </c>
      <c r="F138" s="32"/>
      <c r="G138" s="33"/>
      <c r="H138" s="56"/>
      <c r="I138" s="33"/>
      <c r="J138" s="33"/>
      <c r="K138" s="56"/>
      <c r="L138" s="33"/>
      <c r="M138" s="33"/>
      <c r="O138" s="56"/>
      <c r="Q138" s="33"/>
      <c r="T138" s="56"/>
      <c r="U138" s="33"/>
      <c r="W138" s="58"/>
      <c r="X138" s="33"/>
      <c r="Z138" s="56"/>
      <c r="AA138" s="33"/>
      <c r="AE138" s="33"/>
      <c r="AG138" s="56"/>
      <c r="AH138" s="33"/>
      <c r="AK138" s="56"/>
      <c r="AL138" s="33"/>
      <c r="AO138" s="56"/>
      <c r="AP138" s="33"/>
      <c r="AS138" s="56"/>
      <c r="AT138" s="33"/>
      <c r="AW138" s="56"/>
      <c r="AX138" s="33"/>
      <c r="BA138" s="56"/>
      <c r="BB138" s="33"/>
      <c r="BE138" s="33"/>
      <c r="BG138" s="56"/>
      <c r="BI138" s="33"/>
      <c r="BK138" s="56"/>
      <c r="BL138" s="33"/>
      <c r="BP138" s="33"/>
      <c r="BS138" s="33"/>
      <c r="BV138" s="33"/>
      <c r="BZ138" s="33"/>
      <c r="CC138" s="33"/>
    </row>
    <row r="139" spans="1:82" x14ac:dyDescent="0.3">
      <c r="A139" s="38"/>
      <c r="B139" s="32">
        <v>1</v>
      </c>
      <c r="C139" s="33" t="s">
        <v>143</v>
      </c>
      <c r="D139" s="56">
        <v>112</v>
      </c>
      <c r="E139" s="33" t="s">
        <v>144</v>
      </c>
      <c r="F139" s="32"/>
      <c r="G139" s="33"/>
      <c r="H139" s="56"/>
      <c r="I139" s="33"/>
      <c r="J139" s="33"/>
      <c r="K139" s="56"/>
      <c r="L139" s="33"/>
      <c r="M139" s="33"/>
      <c r="O139" s="56"/>
      <c r="Q139" s="33"/>
      <c r="T139" s="56"/>
      <c r="U139" s="33"/>
      <c r="W139" s="58"/>
      <c r="X139" s="33"/>
      <c r="Z139" s="56"/>
      <c r="AA139" s="33"/>
      <c r="AE139" s="33"/>
      <c r="AG139" s="56"/>
      <c r="AH139" s="33"/>
      <c r="AK139" s="56"/>
      <c r="AL139" s="33"/>
      <c r="AO139" s="56"/>
      <c r="AP139" s="33"/>
      <c r="AS139" s="56"/>
      <c r="AT139" s="33"/>
      <c r="AW139" s="56"/>
      <c r="AX139" s="33"/>
      <c r="BA139" s="56"/>
      <c r="BB139" s="33"/>
      <c r="BE139" s="33"/>
      <c r="BG139" s="56"/>
      <c r="BI139" s="33"/>
      <c r="BK139" s="56"/>
      <c r="BL139" s="33"/>
      <c r="BP139" s="33"/>
      <c r="BS139" s="33"/>
      <c r="BV139" s="33"/>
      <c r="BZ139" s="33"/>
      <c r="CC139" s="33"/>
    </row>
    <row r="140" spans="1:82" x14ac:dyDescent="0.3">
      <c r="A140" s="38"/>
      <c r="B140" s="32">
        <v>1</v>
      </c>
      <c r="C140" s="33" t="s">
        <v>143</v>
      </c>
      <c r="D140" s="56">
        <f>D139/D138</f>
        <v>17.23076923076923</v>
      </c>
      <c r="E140" s="33" t="s">
        <v>142</v>
      </c>
      <c r="F140" s="32"/>
      <c r="G140" s="56"/>
      <c r="H140" s="56"/>
      <c r="I140" s="33"/>
      <c r="J140" s="56"/>
      <c r="L140" s="56"/>
      <c r="M140" s="33"/>
      <c r="O140" s="56"/>
      <c r="P140" s="56"/>
      <c r="Q140" s="33"/>
      <c r="T140" s="56"/>
      <c r="U140" s="33"/>
      <c r="V140" s="58"/>
      <c r="W140" s="32"/>
      <c r="X140" s="33"/>
      <c r="Z140" s="56"/>
      <c r="AA140" s="33"/>
      <c r="AE140" s="33"/>
      <c r="AG140" s="56"/>
      <c r="AH140" s="33"/>
      <c r="AK140" s="56"/>
      <c r="AL140" s="33"/>
      <c r="AN140" s="58"/>
      <c r="AO140" s="56"/>
      <c r="AP140" s="33"/>
      <c r="AS140" s="56"/>
      <c r="AT140" s="33"/>
      <c r="AW140" s="56"/>
      <c r="AX140" s="33"/>
      <c r="BA140" s="56"/>
      <c r="BB140" s="33"/>
      <c r="BE140" s="33"/>
      <c r="BG140" s="56"/>
      <c r="BI140" s="33"/>
      <c r="BK140" s="56"/>
      <c r="BL140" s="33"/>
      <c r="BP140" s="33"/>
      <c r="BS140" s="33"/>
      <c r="BV140" s="33"/>
      <c r="BZ140" s="33"/>
      <c r="CC140" s="33"/>
    </row>
    <row r="141" spans="1:82" s="32" customFormat="1" ht="15" customHeight="1" x14ac:dyDescent="0.3">
      <c r="A141" s="38"/>
      <c r="B141" s="90">
        <v>1</v>
      </c>
      <c r="C141" s="87" t="s">
        <v>145</v>
      </c>
      <c r="D141" s="88">
        <v>130</v>
      </c>
      <c r="E141" s="89" t="s">
        <v>140</v>
      </c>
      <c r="F141" s="35"/>
      <c r="G141" s="59"/>
      <c r="H141" s="60"/>
      <c r="I141" s="33"/>
      <c r="J141" s="59"/>
      <c r="K141" s="59"/>
      <c r="L141" s="59"/>
      <c r="M141" s="33"/>
      <c r="N141" s="59"/>
      <c r="O141" s="60"/>
      <c r="P141" s="59"/>
      <c r="Q141" s="33"/>
      <c r="R141" s="59"/>
      <c r="S141" s="59"/>
      <c r="T141" s="60"/>
      <c r="U141" s="33"/>
      <c r="V141" s="59"/>
      <c r="X141" s="33"/>
      <c r="Z141" s="60"/>
      <c r="AA141" s="33"/>
      <c r="AE141" s="33"/>
      <c r="AG141" s="60"/>
      <c r="AH141" s="33"/>
      <c r="AK141" s="60"/>
      <c r="AL141" s="33"/>
      <c r="AO141" s="60"/>
      <c r="AP141" s="33"/>
      <c r="AS141" s="60"/>
      <c r="AT141" s="33"/>
      <c r="AW141" s="60"/>
      <c r="AX141" s="33"/>
      <c r="BA141" s="60"/>
      <c r="BB141" s="33"/>
      <c r="BE141" s="33"/>
      <c r="BG141" s="60"/>
      <c r="BI141" s="33"/>
      <c r="BK141" s="60"/>
      <c r="BL141" s="33"/>
      <c r="BP141" s="33"/>
      <c r="BS141" s="33"/>
      <c r="BV141" s="33"/>
      <c r="BZ141" s="33"/>
      <c r="CC141" s="33"/>
    </row>
    <row r="142" spans="1:82" s="32" customFormat="1" ht="28.8" customHeight="1" x14ac:dyDescent="0.3">
      <c r="A142" s="38"/>
      <c r="B142" s="90"/>
      <c r="C142" s="87"/>
      <c r="D142" s="88"/>
      <c r="E142" s="89"/>
      <c r="H142" s="60"/>
      <c r="I142" s="44"/>
      <c r="M142" s="44"/>
      <c r="O142" s="60"/>
      <c r="Q142" s="44"/>
      <c r="T142" s="60"/>
      <c r="U142" s="44"/>
      <c r="X142" s="44"/>
      <c r="Z142" s="60"/>
      <c r="AA142" s="44"/>
      <c r="AE142" s="44"/>
      <c r="AG142" s="60"/>
      <c r="AH142" s="44"/>
      <c r="AK142" s="60"/>
      <c r="AL142" s="44"/>
      <c r="AO142" s="60"/>
      <c r="AP142" s="44"/>
      <c r="AS142" s="60"/>
      <c r="AT142" s="44"/>
      <c r="AW142" s="60"/>
      <c r="AX142" s="44"/>
      <c r="BA142" s="60"/>
      <c r="BB142" s="44"/>
      <c r="BE142" s="44"/>
      <c r="BG142" s="60"/>
      <c r="BI142" s="44"/>
      <c r="BK142" s="60"/>
      <c r="BL142" s="44"/>
      <c r="BP142" s="44"/>
      <c r="BS142" s="44"/>
      <c r="BV142" s="44"/>
      <c r="BZ142" s="44"/>
      <c r="CC142" s="44"/>
    </row>
    <row r="143" spans="1:82" s="32" customFormat="1" x14ac:dyDescent="0.3">
      <c r="A143" s="38"/>
      <c r="B143" s="37">
        <v>1</v>
      </c>
      <c r="C143" s="33" t="s">
        <v>146</v>
      </c>
      <c r="D143" s="56">
        <v>260</v>
      </c>
      <c r="E143" s="33" t="s">
        <v>140</v>
      </c>
      <c r="H143" s="56"/>
      <c r="I143" s="33"/>
      <c r="M143" s="33"/>
      <c r="O143" s="56"/>
      <c r="Q143" s="33"/>
      <c r="T143" s="56"/>
      <c r="U143" s="33"/>
      <c r="X143" s="33"/>
      <c r="Z143" s="56"/>
      <c r="AA143" s="33"/>
      <c r="AE143" s="33"/>
      <c r="AG143" s="56"/>
      <c r="AH143" s="33"/>
      <c r="AK143" s="56"/>
      <c r="AL143" s="33"/>
      <c r="AO143" s="56"/>
      <c r="AP143" s="33"/>
      <c r="AS143" s="56"/>
      <c r="AT143" s="33"/>
      <c r="AW143" s="56"/>
      <c r="AX143" s="33"/>
      <c r="BA143" s="56"/>
      <c r="BB143" s="33"/>
      <c r="BE143" s="33"/>
      <c r="BG143" s="56"/>
      <c r="BI143" s="33"/>
      <c r="BK143" s="56"/>
      <c r="BL143" s="33"/>
      <c r="BP143" s="33"/>
      <c r="BS143" s="33"/>
      <c r="BV143" s="33"/>
      <c r="BZ143" s="33"/>
      <c r="CC143" s="33"/>
    </row>
    <row r="144" spans="1:82" s="32" customFormat="1" x14ac:dyDescent="0.3">
      <c r="A144" s="38"/>
      <c r="B144" s="37">
        <v>1</v>
      </c>
      <c r="C144" s="33" t="s">
        <v>354</v>
      </c>
      <c r="D144" s="56">
        <f>D141/D139</f>
        <v>1.1607142857142858</v>
      </c>
      <c r="E144" s="33" t="s">
        <v>147</v>
      </c>
      <c r="H144" s="56"/>
      <c r="I144" s="33"/>
      <c r="M144" s="33"/>
      <c r="O144" s="56"/>
      <c r="Q144" s="33"/>
      <c r="T144" s="56"/>
      <c r="U144" s="33"/>
      <c r="X144" s="33"/>
      <c r="Z144" s="56"/>
      <c r="AA144" s="33"/>
      <c r="AE144" s="33"/>
      <c r="AG144" s="56"/>
      <c r="AH144" s="33"/>
      <c r="AK144" s="56"/>
      <c r="AL144" s="33"/>
      <c r="AO144" s="56"/>
      <c r="AP144" s="33"/>
      <c r="AS144" s="56"/>
      <c r="AT144" s="33"/>
      <c r="AW144" s="56"/>
      <c r="AX144" s="33"/>
      <c r="BA144" s="56"/>
      <c r="BB144" s="33"/>
      <c r="BE144" s="33"/>
      <c r="BG144" s="56"/>
      <c r="BI144" s="33"/>
      <c r="BK144" s="56"/>
      <c r="BL144" s="33"/>
      <c r="BP144" s="33"/>
      <c r="BS144" s="33"/>
      <c r="BV144" s="33"/>
      <c r="BZ144" s="33"/>
      <c r="CC144" s="33"/>
    </row>
    <row r="145" spans="1:81" s="32" customFormat="1" x14ac:dyDescent="0.3">
      <c r="A145" s="38"/>
      <c r="B145" s="37">
        <v>1</v>
      </c>
      <c r="C145" s="33" t="s">
        <v>146</v>
      </c>
      <c r="D145" s="56">
        <f>D143/D139</f>
        <v>2.3214285714285716</v>
      </c>
      <c r="E145" s="33" t="s">
        <v>147</v>
      </c>
      <c r="H145" s="56"/>
      <c r="I145" s="33"/>
      <c r="M145" s="33"/>
      <c r="O145" s="56"/>
      <c r="Q145" s="33"/>
      <c r="T145" s="56"/>
      <c r="U145" s="33"/>
      <c r="X145" s="33"/>
      <c r="Z145" s="56"/>
      <c r="AA145" s="33"/>
      <c r="AE145" s="33"/>
      <c r="AG145" s="56"/>
      <c r="AH145" s="33"/>
      <c r="AK145" s="56"/>
      <c r="AL145" s="33"/>
      <c r="AO145" s="56"/>
      <c r="AP145" s="33"/>
      <c r="AS145" s="56"/>
      <c r="AT145" s="33"/>
      <c r="AW145" s="56"/>
      <c r="AX145" s="33"/>
      <c r="BA145" s="56"/>
      <c r="BB145" s="33"/>
      <c r="BE145" s="33"/>
      <c r="BG145" s="56"/>
      <c r="BI145" s="33"/>
      <c r="BK145" s="56"/>
      <c r="BL145" s="33"/>
      <c r="BP145" s="33"/>
      <c r="BS145" s="33"/>
      <c r="BV145" s="33"/>
      <c r="BZ145" s="33"/>
      <c r="CC145" s="33"/>
    </row>
    <row r="146" spans="1:81" x14ac:dyDescent="0.3">
      <c r="A146" s="38"/>
      <c r="B146" s="37">
        <v>1</v>
      </c>
      <c r="C146" s="33" t="s">
        <v>286</v>
      </c>
      <c r="D146" s="56">
        <v>20</v>
      </c>
      <c r="E146" s="33" t="s">
        <v>147</v>
      </c>
      <c r="F146" s="61">
        <f>D146*D139</f>
        <v>2240</v>
      </c>
      <c r="G146" s="33" t="s">
        <v>140</v>
      </c>
      <c r="H146" s="61">
        <f>F146/D148</f>
        <v>420</v>
      </c>
      <c r="I146" s="36" t="s">
        <v>149</v>
      </c>
      <c r="J146" s="61">
        <f>F146/D147</f>
        <v>1016.048117135833</v>
      </c>
      <c r="K146" s="33" t="s">
        <v>288</v>
      </c>
      <c r="L146" s="67"/>
      <c r="P146" s="67"/>
      <c r="T146" s="67"/>
      <c r="V146" s="32"/>
      <c r="W146" s="67"/>
      <c r="Z146" s="67"/>
      <c r="AA146" s="58"/>
      <c r="AB146" s="58"/>
      <c r="AD146" s="67"/>
      <c r="AG146" s="67"/>
      <c r="AK146" s="67"/>
      <c r="AO146" s="67"/>
      <c r="AS146" s="67"/>
      <c r="AT146" s="58"/>
      <c r="AW146" s="67"/>
      <c r="BA146" s="67"/>
      <c r="BD146" s="67"/>
      <c r="BH146" s="67"/>
      <c r="BK146" s="67"/>
      <c r="BO146" s="67"/>
      <c r="BR146" s="67"/>
      <c r="BU146" s="67"/>
      <c r="BY146" s="67"/>
      <c r="CB146" s="67"/>
    </row>
    <row r="147" spans="1:81" x14ac:dyDescent="0.3">
      <c r="A147" s="38"/>
      <c r="B147" s="37">
        <v>1</v>
      </c>
      <c r="C147" s="33" t="s">
        <v>287</v>
      </c>
      <c r="D147" s="56">
        <v>2.2046199999999998</v>
      </c>
      <c r="E147" s="33" t="s">
        <v>140</v>
      </c>
      <c r="F147" s="61">
        <f>D147/D139</f>
        <v>1.9684107142857142E-2</v>
      </c>
      <c r="G147" s="36" t="s">
        <v>147</v>
      </c>
      <c r="I147" s="58"/>
      <c r="J147" s="58"/>
      <c r="L147" s="67"/>
      <c r="P147" s="67"/>
      <c r="T147" s="67"/>
      <c r="V147" s="32"/>
      <c r="W147" s="67"/>
      <c r="Z147" s="67"/>
      <c r="AA147" s="58"/>
      <c r="AB147" s="58"/>
      <c r="AD147" s="67"/>
      <c r="AG147" s="67"/>
      <c r="AK147" s="67"/>
      <c r="AO147" s="67"/>
      <c r="AS147" s="67"/>
      <c r="AT147" s="58"/>
      <c r="AW147" s="67"/>
      <c r="BA147" s="67"/>
      <c r="BD147" s="67"/>
      <c r="BH147" s="67"/>
      <c r="BK147" s="67"/>
      <c r="BO147" s="67"/>
      <c r="BR147" s="67"/>
      <c r="BU147" s="67"/>
      <c r="BY147" s="67"/>
      <c r="CB147" s="67"/>
    </row>
    <row r="148" spans="1:81" x14ac:dyDescent="0.3">
      <c r="A148" s="38"/>
      <c r="B148" s="37">
        <v>1</v>
      </c>
      <c r="C148" s="33" t="s">
        <v>152</v>
      </c>
      <c r="D148" s="56">
        <f>16/3</f>
        <v>5.333333333333333</v>
      </c>
      <c r="E148" s="33" t="s">
        <v>140</v>
      </c>
      <c r="F148" s="61">
        <f>D148/D139</f>
        <v>4.7619047619047616E-2</v>
      </c>
      <c r="G148" s="36" t="s">
        <v>147</v>
      </c>
      <c r="I148" s="58"/>
      <c r="J148" s="58"/>
      <c r="L148" s="33"/>
      <c r="P148" s="33"/>
      <c r="T148" s="33"/>
      <c r="V148" s="32"/>
      <c r="W148" s="33"/>
      <c r="Z148" s="33"/>
      <c r="AA148" s="58"/>
      <c r="AB148" s="58"/>
      <c r="AD148" s="33"/>
      <c r="AG148" s="33"/>
      <c r="AK148" s="33"/>
      <c r="AO148" s="33"/>
      <c r="AS148" s="33"/>
      <c r="AT148" s="58"/>
      <c r="AW148" s="33"/>
      <c r="BA148" s="33"/>
      <c r="BD148" s="33"/>
      <c r="BH148" s="33"/>
      <c r="BK148" s="33"/>
      <c r="BO148" s="33"/>
      <c r="BR148" s="33"/>
      <c r="BU148" s="33"/>
      <c r="BY148" s="33"/>
      <c r="CB148" s="33"/>
    </row>
    <row r="149" spans="1:81" x14ac:dyDescent="0.3">
      <c r="A149" s="38"/>
      <c r="B149" s="37">
        <v>1</v>
      </c>
      <c r="C149" s="33" t="s">
        <v>153</v>
      </c>
      <c r="D149" s="56">
        <v>100</v>
      </c>
      <c r="E149" s="33" t="s">
        <v>152</v>
      </c>
      <c r="F149" s="61">
        <f>D149*F148</f>
        <v>4.7619047619047619</v>
      </c>
      <c r="G149" s="36" t="s">
        <v>147</v>
      </c>
      <c r="H149" s="56">
        <f>F149/D146</f>
        <v>0.23809523809523808</v>
      </c>
      <c r="I149" s="36" t="s">
        <v>154</v>
      </c>
      <c r="J149" s="58"/>
      <c r="L149" s="33"/>
      <c r="P149" s="33"/>
      <c r="T149" s="33"/>
      <c r="V149" s="32"/>
      <c r="W149" s="33"/>
      <c r="Z149" s="33"/>
      <c r="AA149" s="58"/>
      <c r="AB149" s="58"/>
      <c r="AD149" s="33"/>
      <c r="AG149" s="33"/>
      <c r="AK149" s="33"/>
      <c r="AO149" s="33"/>
      <c r="AS149" s="33"/>
      <c r="AT149" s="58"/>
      <c r="AW149" s="33"/>
      <c r="BA149" s="33"/>
      <c r="BD149" s="33"/>
      <c r="BH149" s="33"/>
      <c r="BK149" s="33"/>
      <c r="BO149" s="33"/>
      <c r="BR149" s="33"/>
      <c r="BU149" s="33"/>
      <c r="BY149" s="33"/>
      <c r="CB149" s="33"/>
    </row>
    <row r="150" spans="1:81" x14ac:dyDescent="0.3">
      <c r="A150" s="38"/>
      <c r="B150" s="37">
        <v>1</v>
      </c>
      <c r="C150" s="33" t="s">
        <v>155</v>
      </c>
      <c r="D150" s="56">
        <f>D139/D148</f>
        <v>21</v>
      </c>
      <c r="E150" s="33" t="s">
        <v>152</v>
      </c>
      <c r="F150" s="61"/>
      <c r="G150" s="36"/>
      <c r="I150" s="33"/>
      <c r="J150" s="58"/>
      <c r="K150" s="58"/>
      <c r="M150" s="33"/>
      <c r="Q150" s="33"/>
      <c r="U150" s="33"/>
      <c r="W150" s="32"/>
      <c r="X150" s="33"/>
      <c r="AA150" s="33"/>
      <c r="AB150" s="58"/>
      <c r="AC150" s="58"/>
      <c r="AE150" s="33"/>
      <c r="AH150" s="33"/>
      <c r="AL150" s="33"/>
      <c r="AP150" s="33"/>
      <c r="AT150" s="33"/>
      <c r="AU150" s="58"/>
      <c r="AX150" s="33"/>
      <c r="BB150" s="33"/>
      <c r="BE150" s="33"/>
      <c r="BI150" s="33"/>
      <c r="BL150" s="33"/>
      <c r="BP150" s="33"/>
      <c r="BS150" s="33"/>
      <c r="BV150" s="33"/>
      <c r="BZ150" s="33"/>
      <c r="CC150" s="33"/>
    </row>
    <row r="151" spans="1:81" x14ac:dyDescent="0.3">
      <c r="A151" s="38"/>
      <c r="B151" s="58"/>
      <c r="F151" s="58"/>
      <c r="G151" s="58"/>
      <c r="H151" s="58"/>
      <c r="I151" s="32"/>
      <c r="K151" s="58"/>
      <c r="L151" s="58"/>
      <c r="M151" s="32"/>
      <c r="Q151" s="32"/>
      <c r="U151" s="32"/>
      <c r="X151" s="32"/>
      <c r="Y151" s="32"/>
      <c r="AA151" s="32"/>
      <c r="AC151" s="58"/>
      <c r="AD151" s="58"/>
      <c r="AE151" s="32"/>
      <c r="AH151" s="32"/>
      <c r="AL151" s="32"/>
      <c r="AP151" s="32"/>
      <c r="AT151" s="32"/>
      <c r="AV151" s="58"/>
      <c r="AX151" s="32"/>
      <c r="BB151" s="32"/>
      <c r="BE151" s="32"/>
      <c r="BI151" s="32"/>
      <c r="BL151" s="32"/>
      <c r="BP151" s="32"/>
      <c r="BS151" s="32"/>
      <c r="BV151" s="32"/>
      <c r="BZ151" s="32"/>
      <c r="CC151" s="32"/>
    </row>
    <row r="152" spans="1:81" x14ac:dyDescent="0.3">
      <c r="A152" s="38"/>
      <c r="B152" s="32">
        <v>1</v>
      </c>
      <c r="C152" s="33" t="s">
        <v>139</v>
      </c>
      <c r="D152" s="56">
        <v>108</v>
      </c>
      <c r="E152" s="33" t="s">
        <v>140</v>
      </c>
      <c r="H152" s="33"/>
      <c r="I152" s="33"/>
      <c r="J152" s="56"/>
      <c r="K152" s="56"/>
      <c r="L152" s="33"/>
      <c r="M152" s="33"/>
      <c r="O152" s="62"/>
      <c r="P152" s="62"/>
      <c r="Q152" s="33"/>
      <c r="R152" s="62"/>
      <c r="S152" s="62"/>
      <c r="T152" s="32"/>
      <c r="U152" s="33"/>
      <c r="V152" s="32"/>
      <c r="W152" s="63"/>
      <c r="X152" s="33"/>
      <c r="Y152" s="63"/>
      <c r="Z152" s="63"/>
      <c r="AA152" s="33"/>
      <c r="AB152" s="58"/>
      <c r="AC152" s="32"/>
      <c r="AD152" s="32"/>
      <c r="AE152" s="33"/>
      <c r="AF152" s="32"/>
      <c r="AG152" s="32"/>
      <c r="AH152" s="33"/>
      <c r="AL152" s="33"/>
      <c r="AP152" s="33"/>
      <c r="AT152" s="33"/>
      <c r="AX152" s="33"/>
      <c r="BB152" s="33"/>
      <c r="BE152" s="33"/>
      <c r="BI152" s="33"/>
      <c r="BL152" s="33"/>
      <c r="BP152" s="33"/>
      <c r="BS152" s="33"/>
      <c r="BV152" s="33"/>
      <c r="BZ152" s="33"/>
      <c r="CC152" s="33"/>
    </row>
    <row r="153" spans="1:81" x14ac:dyDescent="0.3">
      <c r="A153" s="38"/>
      <c r="B153" s="32">
        <v>1</v>
      </c>
      <c r="C153" s="33" t="s">
        <v>141</v>
      </c>
      <c r="D153" s="56">
        <v>32.5</v>
      </c>
      <c r="E153" s="33" t="s">
        <v>140</v>
      </c>
      <c r="F153" s="32"/>
      <c r="G153" s="32"/>
      <c r="H153" s="33"/>
      <c r="I153" s="33"/>
      <c r="J153" s="56"/>
      <c r="K153" s="56"/>
      <c r="L153" s="33"/>
      <c r="M153" s="33"/>
      <c r="O153" s="62"/>
      <c r="P153" s="62"/>
      <c r="Q153" s="33"/>
      <c r="R153" s="62"/>
      <c r="S153" s="62"/>
      <c r="T153" s="32"/>
      <c r="U153" s="33"/>
      <c r="V153" s="32"/>
      <c r="W153" s="63"/>
      <c r="X153" s="33"/>
      <c r="Y153" s="63"/>
      <c r="Z153" s="63"/>
      <c r="AA153" s="33"/>
      <c r="AB153" s="58"/>
      <c r="AC153" s="32"/>
      <c r="AD153" s="32"/>
      <c r="AE153" s="33"/>
      <c r="AF153" s="32"/>
      <c r="AG153" s="32"/>
      <c r="AH153" s="33"/>
      <c r="AL153" s="33"/>
      <c r="AP153" s="33"/>
      <c r="AT153" s="33"/>
      <c r="AX153" s="33"/>
      <c r="BB153" s="33"/>
      <c r="BE153" s="33"/>
      <c r="BI153" s="33"/>
      <c r="BL153" s="33"/>
      <c r="BP153" s="33"/>
      <c r="BS153" s="33"/>
      <c r="BV153" s="33"/>
      <c r="BZ153" s="33"/>
      <c r="CC153" s="33"/>
    </row>
    <row r="154" spans="1:81" x14ac:dyDescent="0.3">
      <c r="A154" s="38"/>
      <c r="B154" s="32">
        <v>1</v>
      </c>
      <c r="C154" s="33" t="s">
        <v>143</v>
      </c>
      <c r="D154" s="56">
        <v>112</v>
      </c>
      <c r="E154" s="33" t="s">
        <v>144</v>
      </c>
      <c r="H154" s="33"/>
      <c r="I154" s="33"/>
      <c r="J154" s="56"/>
      <c r="K154" s="56"/>
      <c r="L154" s="33"/>
      <c r="M154" s="33"/>
      <c r="O154" s="62"/>
      <c r="P154" s="62"/>
      <c r="Q154" s="33"/>
      <c r="R154" s="62"/>
      <c r="S154" s="62"/>
      <c r="T154" s="32"/>
      <c r="U154" s="33"/>
      <c r="V154" s="32"/>
      <c r="W154" s="63"/>
      <c r="X154" s="33"/>
      <c r="Y154" s="63"/>
      <c r="Z154" s="63"/>
      <c r="AA154" s="33"/>
      <c r="AB154" s="58"/>
      <c r="AC154" s="32"/>
      <c r="AD154" s="32"/>
      <c r="AE154" s="33"/>
      <c r="AF154" s="32"/>
      <c r="AG154" s="32"/>
      <c r="AH154" s="33"/>
      <c r="AL154" s="33"/>
      <c r="AP154" s="33"/>
      <c r="AT154" s="33"/>
      <c r="AX154" s="33"/>
      <c r="BB154" s="33"/>
      <c r="BE154" s="33"/>
      <c r="BI154" s="33"/>
      <c r="BL154" s="33"/>
      <c r="BP154" s="33"/>
      <c r="BS154" s="33"/>
      <c r="BV154" s="33"/>
      <c r="BZ154" s="33"/>
      <c r="CC154" s="33"/>
    </row>
    <row r="155" spans="1:81" ht="14.4" customHeight="1" x14ac:dyDescent="0.3">
      <c r="A155" s="38"/>
      <c r="B155" s="90">
        <v>1</v>
      </c>
      <c r="C155" s="87" t="s">
        <v>145</v>
      </c>
      <c r="D155" s="88">
        <v>130</v>
      </c>
      <c r="E155" s="89" t="s">
        <v>140</v>
      </c>
      <c r="H155" s="33"/>
      <c r="I155" s="33"/>
      <c r="J155" s="56"/>
      <c r="K155" s="56"/>
      <c r="L155" s="33"/>
      <c r="M155" s="33"/>
      <c r="O155" s="62"/>
      <c r="P155" s="62"/>
      <c r="Q155" s="33"/>
      <c r="R155" s="62"/>
      <c r="S155" s="62"/>
      <c r="T155" s="32"/>
      <c r="U155" s="33"/>
      <c r="V155" s="32"/>
      <c r="W155" s="63"/>
      <c r="X155" s="33"/>
      <c r="Y155" s="63"/>
      <c r="Z155" s="63"/>
      <c r="AA155" s="33"/>
      <c r="AB155" s="58"/>
      <c r="AC155" s="32"/>
      <c r="AD155" s="32"/>
      <c r="AE155" s="33"/>
      <c r="AF155" s="32"/>
      <c r="AG155" s="32"/>
      <c r="AH155" s="33"/>
      <c r="AL155" s="33"/>
      <c r="AP155" s="33"/>
      <c r="AT155" s="33"/>
      <c r="AX155" s="33"/>
      <c r="BB155" s="33"/>
      <c r="BE155" s="33"/>
      <c r="BI155" s="33"/>
      <c r="BL155" s="33"/>
      <c r="BP155" s="33"/>
      <c r="BS155" s="33"/>
      <c r="BV155" s="33"/>
      <c r="BZ155" s="33"/>
      <c r="CC155" s="33"/>
    </row>
    <row r="156" spans="1:81" ht="14.4" customHeight="1" x14ac:dyDescent="0.3">
      <c r="A156" s="38"/>
      <c r="B156" s="90"/>
      <c r="C156" s="87"/>
      <c r="D156" s="88"/>
      <c r="E156" s="89"/>
      <c r="F156" s="32"/>
      <c r="G156" s="32"/>
      <c r="H156" s="33"/>
      <c r="I156" s="33"/>
      <c r="J156" s="56"/>
      <c r="K156" s="56"/>
      <c r="L156" s="33"/>
      <c r="M156" s="33"/>
      <c r="O156" s="62"/>
      <c r="P156" s="62"/>
      <c r="Q156" s="33"/>
      <c r="R156" s="62"/>
      <c r="S156" s="62"/>
      <c r="T156" s="32"/>
      <c r="U156" s="33"/>
      <c r="V156" s="32"/>
      <c r="W156" s="63"/>
      <c r="X156" s="33"/>
      <c r="Y156" s="63"/>
      <c r="Z156" s="63"/>
      <c r="AA156" s="33"/>
      <c r="AB156" s="58"/>
      <c r="AC156" s="32"/>
      <c r="AD156" s="32"/>
      <c r="AE156" s="33"/>
      <c r="AF156" s="32"/>
      <c r="AG156" s="32"/>
      <c r="AH156" s="33"/>
      <c r="AL156" s="33"/>
      <c r="AP156" s="33"/>
      <c r="AT156" s="33"/>
      <c r="AX156" s="33"/>
      <c r="BB156" s="33"/>
      <c r="BE156" s="33"/>
      <c r="BI156" s="33"/>
      <c r="BL156" s="33"/>
      <c r="BP156" s="33"/>
      <c r="BS156" s="33"/>
      <c r="BV156" s="33"/>
      <c r="BZ156" s="33"/>
      <c r="CC156" s="33"/>
    </row>
    <row r="157" spans="1:81" x14ac:dyDescent="0.3">
      <c r="A157" s="38"/>
      <c r="B157" s="37">
        <v>1</v>
      </c>
      <c r="C157" s="33" t="s">
        <v>146</v>
      </c>
      <c r="D157" s="56">
        <v>260</v>
      </c>
      <c r="E157" s="33" t="s">
        <v>140</v>
      </c>
      <c r="F157" s="32"/>
      <c r="G157" s="32"/>
      <c r="H157" s="33"/>
      <c r="I157" s="33"/>
      <c r="J157" s="56"/>
      <c r="K157" s="56"/>
      <c r="L157" s="33"/>
      <c r="M157" s="33"/>
      <c r="O157" s="62"/>
      <c r="P157" s="62"/>
      <c r="Q157" s="33"/>
      <c r="R157" s="62"/>
      <c r="S157" s="62"/>
      <c r="T157" s="32"/>
      <c r="U157" s="33"/>
      <c r="V157" s="32"/>
      <c r="W157" s="63"/>
      <c r="X157" s="33"/>
      <c r="Y157" s="63"/>
      <c r="Z157" s="63"/>
      <c r="AA157" s="33"/>
      <c r="AB157" s="58"/>
      <c r="AC157" s="32"/>
      <c r="AD157" s="32"/>
      <c r="AE157" s="33"/>
      <c r="AF157" s="32"/>
      <c r="AG157" s="32"/>
      <c r="AH157" s="33"/>
      <c r="AL157" s="33"/>
      <c r="AP157" s="33"/>
      <c r="AT157" s="33"/>
      <c r="AX157" s="33"/>
      <c r="BB157" s="33"/>
      <c r="BE157" s="33"/>
      <c r="BI157" s="33"/>
      <c r="BL157" s="33"/>
      <c r="BP157" s="33"/>
      <c r="BS157" s="33"/>
      <c r="BV157" s="33"/>
      <c r="BZ157" s="33"/>
      <c r="CC157" s="33"/>
    </row>
    <row r="158" spans="1:81" x14ac:dyDescent="0.3">
      <c r="A158" s="38"/>
      <c r="B158" s="37">
        <v>1</v>
      </c>
      <c r="C158" s="33" t="s">
        <v>354</v>
      </c>
      <c r="D158" s="56">
        <f>D155/D154</f>
        <v>1.1607142857142858</v>
      </c>
      <c r="E158" s="33" t="s">
        <v>147</v>
      </c>
      <c r="F158" s="32"/>
      <c r="G158" s="32"/>
      <c r="H158" s="33"/>
      <c r="I158" s="33"/>
      <c r="J158" s="56"/>
      <c r="K158" s="56"/>
      <c r="L158" s="33"/>
      <c r="M158" s="33"/>
      <c r="O158" s="62"/>
      <c r="P158" s="62"/>
      <c r="Q158" s="33"/>
      <c r="R158" s="62"/>
      <c r="S158" s="62"/>
      <c r="T158" s="32"/>
      <c r="U158" s="33"/>
      <c r="V158" s="32"/>
      <c r="W158" s="63"/>
      <c r="X158" s="33"/>
      <c r="Y158" s="63"/>
      <c r="Z158" s="63"/>
      <c r="AA158" s="33"/>
      <c r="AB158" s="58"/>
      <c r="AC158" s="32"/>
      <c r="AD158" s="32"/>
      <c r="AE158" s="33"/>
      <c r="AF158" s="32"/>
      <c r="AG158" s="32"/>
      <c r="AH158" s="33"/>
      <c r="AL158" s="33"/>
      <c r="AP158" s="33"/>
      <c r="AT158" s="33"/>
      <c r="AX158" s="33"/>
      <c r="BB158" s="33"/>
      <c r="BE158" s="33"/>
      <c r="BI158" s="33"/>
      <c r="BL158" s="33"/>
      <c r="BP158" s="33"/>
      <c r="BS158" s="33"/>
      <c r="BV158" s="33"/>
      <c r="BZ158" s="33"/>
      <c r="CC158" s="33"/>
    </row>
    <row r="159" spans="1:81" x14ac:dyDescent="0.3">
      <c r="A159" s="38"/>
      <c r="B159" s="37">
        <v>1</v>
      </c>
      <c r="C159" s="33" t="s">
        <v>146</v>
      </c>
      <c r="D159" s="56">
        <f>D157/D154</f>
        <v>2.3214285714285716</v>
      </c>
      <c r="E159" s="33" t="s">
        <v>147</v>
      </c>
      <c r="F159" s="32"/>
      <c r="G159" s="32"/>
      <c r="H159" s="33"/>
      <c r="I159" s="33"/>
      <c r="J159" s="56"/>
      <c r="K159" s="56"/>
      <c r="L159" s="33"/>
      <c r="M159" s="33"/>
      <c r="O159" s="62"/>
      <c r="P159" s="62"/>
      <c r="Q159" s="33"/>
      <c r="R159" s="62"/>
      <c r="S159" s="62"/>
      <c r="T159" s="32"/>
      <c r="U159" s="33"/>
      <c r="V159" s="32"/>
      <c r="W159" s="63"/>
      <c r="X159" s="33"/>
      <c r="Y159" s="63"/>
      <c r="Z159" s="63"/>
      <c r="AA159" s="33"/>
      <c r="AB159" s="58"/>
      <c r="AC159" s="32"/>
      <c r="AD159" s="32"/>
      <c r="AE159" s="33"/>
      <c r="AF159" s="32"/>
      <c r="AG159" s="32"/>
      <c r="AH159" s="33"/>
      <c r="AL159" s="33"/>
      <c r="AP159" s="33"/>
      <c r="AT159" s="33"/>
      <c r="AX159" s="33"/>
      <c r="BB159" s="33"/>
      <c r="BE159" s="33"/>
      <c r="BI159" s="33"/>
      <c r="BL159" s="33"/>
      <c r="BP159" s="33"/>
      <c r="BS159" s="33"/>
      <c r="BV159" s="33"/>
      <c r="BZ159" s="33"/>
      <c r="CC159" s="33"/>
    </row>
    <row r="160" spans="1:81" x14ac:dyDescent="0.3">
      <c r="A160" s="38"/>
      <c r="B160" s="32"/>
      <c r="C160" s="32"/>
      <c r="D160" s="32"/>
      <c r="E160" s="32"/>
      <c r="F160" s="32"/>
      <c r="G160" s="32"/>
      <c r="H160" s="33"/>
      <c r="I160" s="33"/>
      <c r="J160" s="56"/>
      <c r="K160" s="56"/>
      <c r="L160" s="33"/>
      <c r="M160" s="33"/>
      <c r="O160" s="62"/>
      <c r="P160" s="62"/>
      <c r="Q160" s="33"/>
      <c r="R160" s="62"/>
      <c r="S160" s="62"/>
      <c r="T160" s="32"/>
      <c r="U160" s="33"/>
      <c r="V160" s="32"/>
      <c r="W160" s="63"/>
      <c r="X160" s="33"/>
      <c r="Y160" s="63"/>
      <c r="Z160" s="63"/>
      <c r="AA160" s="33"/>
      <c r="AB160" s="58"/>
      <c r="AC160" s="32"/>
      <c r="AD160" s="32"/>
      <c r="AE160" s="33"/>
      <c r="AF160" s="32"/>
      <c r="AG160" s="32"/>
      <c r="AH160" s="33"/>
      <c r="AL160" s="33"/>
      <c r="AP160" s="33"/>
      <c r="AT160" s="33"/>
      <c r="AX160" s="33"/>
      <c r="BB160" s="33"/>
      <c r="BE160" s="33"/>
      <c r="BI160" s="33"/>
      <c r="BL160" s="33"/>
      <c r="BP160" s="33"/>
      <c r="BS160" s="33"/>
      <c r="BV160" s="33"/>
      <c r="BZ160" s="33"/>
      <c r="CC160" s="33"/>
    </row>
    <row r="161" spans="1:81" x14ac:dyDescent="0.3">
      <c r="A161" s="38" t="s">
        <v>6</v>
      </c>
      <c r="B161" s="32">
        <v>1</v>
      </c>
      <c r="C161" s="34" t="s">
        <v>156</v>
      </c>
      <c r="D161" s="32">
        <v>373.33</v>
      </c>
      <c r="E161" s="33" t="s">
        <v>140</v>
      </c>
      <c r="F161" s="61">
        <f>D161/D154</f>
        <v>3.3333035714285715</v>
      </c>
      <c r="G161" s="33" t="s">
        <v>147</v>
      </c>
      <c r="H161" s="33"/>
      <c r="I161" s="33"/>
      <c r="J161" s="56"/>
      <c r="K161" s="56"/>
      <c r="L161" s="33"/>
      <c r="M161" s="33"/>
      <c r="O161" s="62"/>
      <c r="P161" s="62"/>
      <c r="Q161" s="33"/>
      <c r="R161" s="62"/>
      <c r="S161" s="62"/>
      <c r="T161" s="32"/>
      <c r="U161" s="33"/>
      <c r="V161" s="32"/>
      <c r="W161" s="63"/>
      <c r="X161" s="33"/>
      <c r="Y161" s="63"/>
      <c r="Z161" s="63"/>
      <c r="AA161" s="33"/>
      <c r="AB161" s="58"/>
      <c r="AC161" s="32"/>
      <c r="AD161" s="32"/>
      <c r="AE161" s="33"/>
      <c r="AF161" s="32"/>
      <c r="AG161" s="32"/>
      <c r="AH161" s="33"/>
      <c r="AL161" s="33"/>
      <c r="AP161" s="33"/>
      <c r="AT161" s="33"/>
      <c r="AX161" s="33"/>
      <c r="BB161" s="33"/>
      <c r="BE161" s="33"/>
      <c r="BI161" s="33"/>
      <c r="BL161" s="33"/>
      <c r="BP161" s="33"/>
      <c r="BS161" s="33"/>
      <c r="BV161" s="33"/>
      <c r="BZ161" s="33"/>
      <c r="CC161" s="33"/>
    </row>
    <row r="162" spans="1:81" x14ac:dyDescent="0.3">
      <c r="A162" s="38" t="s">
        <v>157</v>
      </c>
      <c r="B162" s="32">
        <v>1</v>
      </c>
      <c r="C162" s="34" t="s">
        <v>139</v>
      </c>
      <c r="D162" s="32">
        <v>0.5</v>
      </c>
      <c r="E162" s="33" t="s">
        <v>147</v>
      </c>
      <c r="F162" s="32"/>
      <c r="G162" s="32"/>
      <c r="H162" s="33"/>
      <c r="I162" s="33"/>
      <c r="J162" s="56"/>
      <c r="K162" s="56"/>
      <c r="L162" s="33"/>
      <c r="M162" s="33"/>
      <c r="O162" s="62"/>
      <c r="P162" s="62"/>
      <c r="Q162" s="33"/>
      <c r="R162" s="62"/>
      <c r="S162" s="62"/>
      <c r="T162" s="32"/>
      <c r="U162" s="33"/>
      <c r="V162" s="32"/>
      <c r="W162" s="63"/>
      <c r="X162" s="33"/>
      <c r="Y162" s="63"/>
      <c r="Z162" s="63"/>
      <c r="AA162" s="33"/>
      <c r="AB162" s="58"/>
      <c r="AC162" s="32"/>
      <c r="AD162" s="32"/>
      <c r="AE162" s="33"/>
      <c r="AF162" s="32"/>
      <c r="AG162" s="32"/>
      <c r="AH162" s="33"/>
      <c r="AL162" s="33"/>
      <c r="AP162" s="33"/>
      <c r="AT162" s="33"/>
      <c r="AX162" s="33"/>
      <c r="BB162" s="33"/>
      <c r="BE162" s="33"/>
      <c r="BI162" s="33"/>
      <c r="BL162" s="33"/>
      <c r="BP162" s="33"/>
      <c r="BS162" s="33"/>
      <c r="BV162" s="33"/>
      <c r="BZ162" s="33"/>
      <c r="CC162" s="33"/>
    </row>
    <row r="163" spans="1:81" x14ac:dyDescent="0.3">
      <c r="A163" s="38" t="s">
        <v>118</v>
      </c>
      <c r="B163" s="44">
        <v>1</v>
      </c>
      <c r="C163" s="33" t="s">
        <v>158</v>
      </c>
      <c r="D163" s="56">
        <v>1.5</v>
      </c>
      <c r="E163" s="33" t="s">
        <v>147</v>
      </c>
      <c r="G163" s="33"/>
      <c r="H163" s="33"/>
      <c r="I163" s="33"/>
      <c r="J163" s="56"/>
      <c r="K163" s="56"/>
      <c r="L163" s="33"/>
      <c r="M163" s="33"/>
      <c r="O163" s="62"/>
      <c r="P163" s="62"/>
      <c r="Q163" s="33"/>
      <c r="R163" s="62"/>
      <c r="S163" s="62"/>
      <c r="T163" s="32"/>
      <c r="U163" s="33"/>
      <c r="V163" s="32"/>
      <c r="W163" s="63"/>
      <c r="X163" s="33"/>
      <c r="Y163" s="63"/>
      <c r="Z163" s="63"/>
      <c r="AA163" s="33"/>
      <c r="AB163" s="58"/>
      <c r="AC163" s="32"/>
      <c r="AD163" s="32"/>
      <c r="AE163" s="33"/>
      <c r="AF163" s="32"/>
      <c r="AG163" s="32"/>
      <c r="AH163" s="33"/>
      <c r="AL163" s="33"/>
      <c r="AP163" s="33"/>
      <c r="AT163" s="33"/>
      <c r="AX163" s="33"/>
      <c r="BB163" s="33"/>
      <c r="BE163" s="33"/>
      <c r="BI163" s="33"/>
      <c r="BL163" s="33"/>
      <c r="BP163" s="33"/>
      <c r="BS163" s="33"/>
      <c r="BV163" s="33"/>
      <c r="BZ163" s="33"/>
      <c r="CC163" s="33"/>
    </row>
    <row r="164" spans="1:81" x14ac:dyDescent="0.3">
      <c r="A164" s="38" t="s">
        <v>159</v>
      </c>
      <c r="B164" s="44">
        <v>1</v>
      </c>
      <c r="C164" s="33" t="s">
        <v>158</v>
      </c>
      <c r="D164" s="56">
        <v>1.75</v>
      </c>
      <c r="E164" s="33" t="s">
        <v>147</v>
      </c>
      <c r="G164" s="33"/>
      <c r="H164" s="33"/>
      <c r="I164" s="33"/>
      <c r="J164" s="56"/>
      <c r="K164" s="56"/>
      <c r="L164" s="33"/>
      <c r="M164" s="33"/>
      <c r="O164" s="62"/>
      <c r="P164" s="62"/>
      <c r="Q164" s="33"/>
      <c r="R164" s="62"/>
      <c r="S164" s="62"/>
      <c r="T164" s="32"/>
      <c r="U164" s="33"/>
      <c r="V164" s="32"/>
      <c r="W164" s="63"/>
      <c r="X164" s="33"/>
      <c r="Y164" s="63"/>
      <c r="Z164" s="63"/>
      <c r="AA164" s="33"/>
      <c r="AB164" s="58"/>
      <c r="AC164" s="32"/>
      <c r="AD164" s="32"/>
      <c r="AE164" s="33"/>
      <c r="AF164" s="32"/>
      <c r="AG164" s="32"/>
      <c r="AH164" s="33"/>
      <c r="AL164" s="33"/>
      <c r="AP164" s="33"/>
      <c r="AT164" s="33"/>
      <c r="AX164" s="33"/>
      <c r="BB164" s="33"/>
      <c r="BE164" s="33"/>
      <c r="BI164" s="33"/>
      <c r="BL164" s="33"/>
      <c r="BP164" s="33"/>
      <c r="BS164" s="33"/>
      <c r="BV164" s="33"/>
      <c r="BZ164" s="33"/>
      <c r="CC164" s="33"/>
    </row>
    <row r="165" spans="1:81" x14ac:dyDescent="0.3">
      <c r="A165" s="38" t="s">
        <v>160</v>
      </c>
      <c r="B165" s="44">
        <v>1</v>
      </c>
      <c r="C165" s="33" t="s">
        <v>158</v>
      </c>
      <c r="D165" s="56">
        <v>1.5</v>
      </c>
      <c r="E165" s="33" t="s">
        <v>147</v>
      </c>
      <c r="G165" s="33"/>
      <c r="H165" s="33"/>
      <c r="I165" s="33"/>
      <c r="J165" s="56"/>
      <c r="K165" s="56"/>
      <c r="L165" s="33"/>
      <c r="M165" s="33"/>
      <c r="O165" s="62"/>
      <c r="P165" s="62"/>
      <c r="Q165" s="33"/>
      <c r="R165" s="62"/>
      <c r="S165" s="62"/>
      <c r="T165" s="32"/>
      <c r="U165" s="33"/>
      <c r="V165" s="32"/>
      <c r="W165" s="63"/>
      <c r="X165" s="33"/>
      <c r="Y165" s="63"/>
      <c r="Z165" s="63"/>
      <c r="AA165" s="33"/>
      <c r="AB165" s="58"/>
      <c r="AC165" s="32"/>
      <c r="AD165" s="32"/>
      <c r="AE165" s="33"/>
      <c r="AF165" s="32"/>
      <c r="AG165" s="32"/>
      <c r="AH165" s="33"/>
      <c r="AL165" s="33"/>
      <c r="AP165" s="33"/>
      <c r="AT165" s="33"/>
      <c r="AX165" s="33"/>
      <c r="BB165" s="33"/>
      <c r="BE165" s="33"/>
      <c r="BI165" s="33"/>
      <c r="BL165" s="33"/>
      <c r="BP165" s="33"/>
      <c r="BS165" s="33"/>
      <c r="BV165" s="33"/>
      <c r="BZ165" s="33"/>
      <c r="CC165" s="33"/>
    </row>
    <row r="166" spans="1:81" x14ac:dyDescent="0.3">
      <c r="A166" s="38" t="s">
        <v>161</v>
      </c>
      <c r="B166" s="44">
        <v>1</v>
      </c>
      <c r="C166" s="33" t="s">
        <v>156</v>
      </c>
      <c r="D166" s="56">
        <v>1.26</v>
      </c>
      <c r="E166" s="33" t="s">
        <v>147</v>
      </c>
      <c r="G166" s="33"/>
      <c r="H166" s="33"/>
      <c r="I166" s="33"/>
      <c r="J166" s="56"/>
      <c r="K166" s="56"/>
      <c r="L166" s="33"/>
      <c r="M166" s="33"/>
      <c r="O166" s="62"/>
      <c r="P166" s="62"/>
      <c r="Q166" s="33"/>
      <c r="R166" s="62"/>
      <c r="S166" s="62"/>
      <c r="T166" s="32"/>
      <c r="U166" s="33"/>
      <c r="V166" s="32"/>
      <c r="W166" s="63"/>
      <c r="X166" s="33"/>
      <c r="Y166" s="63"/>
      <c r="Z166" s="63"/>
      <c r="AA166" s="33"/>
      <c r="AB166" s="58"/>
      <c r="AC166" s="32"/>
      <c r="AD166" s="32"/>
      <c r="AE166" s="33"/>
      <c r="AF166" s="32"/>
      <c r="AG166" s="32"/>
      <c r="AH166" s="33"/>
      <c r="AL166" s="33"/>
      <c r="AP166" s="33"/>
      <c r="AT166" s="33"/>
      <c r="AX166" s="33"/>
      <c r="BB166" s="33"/>
      <c r="BE166" s="33"/>
      <c r="BI166" s="33"/>
      <c r="BL166" s="33"/>
      <c r="BP166" s="33"/>
      <c r="BS166" s="33"/>
      <c r="BV166" s="33"/>
      <c r="BZ166" s="33"/>
      <c r="CC166" s="33"/>
    </row>
    <row r="167" spans="1:81" x14ac:dyDescent="0.3">
      <c r="A167" s="38" t="s">
        <v>26</v>
      </c>
      <c r="B167" s="44">
        <v>1</v>
      </c>
      <c r="C167" s="33" t="s">
        <v>162</v>
      </c>
      <c r="D167" s="56">
        <v>15.9</v>
      </c>
      <c r="E167" s="33" t="s">
        <v>147</v>
      </c>
      <c r="G167" s="33"/>
      <c r="H167" s="33"/>
      <c r="I167" s="33"/>
      <c r="J167" s="56"/>
      <c r="K167" s="56"/>
      <c r="L167" s="33"/>
      <c r="M167" s="33"/>
      <c r="O167" s="62"/>
      <c r="P167" s="62"/>
      <c r="Q167" s="33"/>
      <c r="R167" s="62"/>
      <c r="S167" s="62"/>
      <c r="T167" s="32"/>
      <c r="U167" s="33"/>
      <c r="V167" s="32"/>
      <c r="W167" s="63"/>
      <c r="X167" s="33"/>
      <c r="Y167" s="63"/>
      <c r="Z167" s="63"/>
      <c r="AA167" s="33"/>
      <c r="AB167" s="58"/>
      <c r="AC167" s="32"/>
      <c r="AD167" s="32"/>
      <c r="AE167" s="33"/>
      <c r="AF167" s="32"/>
      <c r="AG167" s="32"/>
      <c r="AH167" s="33"/>
      <c r="AL167" s="33"/>
      <c r="AP167" s="33"/>
      <c r="AT167" s="33"/>
      <c r="AX167" s="33"/>
      <c r="BB167" s="33"/>
      <c r="BE167" s="33"/>
      <c r="BI167" s="33"/>
      <c r="BL167" s="33"/>
      <c r="BP167" s="33"/>
      <c r="BS167" s="33"/>
      <c r="BV167" s="33"/>
      <c r="BZ167" s="33"/>
      <c r="CC167" s="33"/>
    </row>
    <row r="168" spans="1:81" x14ac:dyDescent="0.3">
      <c r="A168" s="38" t="s">
        <v>163</v>
      </c>
      <c r="B168" s="44">
        <v>1</v>
      </c>
      <c r="C168" s="33" t="s">
        <v>164</v>
      </c>
      <c r="D168" s="56">
        <f>439.681/D154</f>
        <v>3.9257232142857141</v>
      </c>
      <c r="E168" s="33" t="s">
        <v>147</v>
      </c>
      <c r="G168" s="33"/>
      <c r="I168" s="33"/>
      <c r="J168" s="56"/>
      <c r="K168" s="56"/>
      <c r="L168" s="33"/>
      <c r="M168" s="33"/>
      <c r="O168" s="62"/>
      <c r="P168" s="62"/>
      <c r="Q168" s="33"/>
      <c r="R168" s="62"/>
      <c r="S168" s="62"/>
      <c r="T168" s="32"/>
      <c r="U168" s="33"/>
      <c r="V168" s="32"/>
      <c r="W168" s="63"/>
      <c r="X168" s="33"/>
      <c r="Y168" s="63"/>
      <c r="Z168" s="63"/>
      <c r="AA168" s="33"/>
      <c r="AB168" s="58"/>
      <c r="AC168" s="32"/>
      <c r="AD168" s="32"/>
      <c r="AE168" s="33"/>
      <c r="AF168" s="32"/>
      <c r="AG168" s="32"/>
      <c r="AH168" s="33"/>
      <c r="AL168" s="33"/>
      <c r="AP168" s="33"/>
      <c r="AT168" s="33"/>
      <c r="AX168" s="33"/>
      <c r="BB168" s="33"/>
      <c r="BE168" s="33"/>
      <c r="BI168" s="33"/>
      <c r="BL168" s="33"/>
      <c r="BP168" s="33"/>
      <c r="BS168" s="33"/>
      <c r="BV168" s="33"/>
      <c r="BZ168" s="33"/>
      <c r="CC168" s="33"/>
    </row>
    <row r="169" spans="1:81" x14ac:dyDescent="0.3">
      <c r="A169" s="38" t="s">
        <v>165</v>
      </c>
      <c r="B169" s="44">
        <v>1</v>
      </c>
      <c r="C169" s="33" t="s">
        <v>164</v>
      </c>
      <c r="D169" s="56">
        <v>3</v>
      </c>
      <c r="E169" s="33" t="s">
        <v>147</v>
      </c>
      <c r="G169" s="33"/>
      <c r="I169" s="33"/>
      <c r="M169" s="33"/>
      <c r="O169" s="62"/>
      <c r="P169" s="62"/>
      <c r="Q169" s="33"/>
      <c r="R169" s="62"/>
      <c r="S169" s="62"/>
      <c r="T169" s="58"/>
      <c r="U169" s="33"/>
      <c r="V169" s="58"/>
      <c r="W169" s="63"/>
      <c r="X169" s="33"/>
      <c r="Y169" s="63"/>
      <c r="Z169" s="63"/>
      <c r="AA169" s="33"/>
      <c r="AB169" s="58"/>
      <c r="AC169" s="32"/>
      <c r="AD169" s="32"/>
      <c r="AE169" s="33"/>
      <c r="AF169" s="32"/>
      <c r="AG169" s="32"/>
      <c r="AH169" s="33"/>
      <c r="AL169" s="33"/>
      <c r="AP169" s="33"/>
      <c r="AT169" s="33"/>
      <c r="AX169" s="33"/>
      <c r="BB169" s="33"/>
      <c r="BE169" s="33"/>
      <c r="BI169" s="33"/>
      <c r="BL169" s="33"/>
      <c r="BP169" s="33"/>
      <c r="BS169" s="33"/>
      <c r="BV169" s="33"/>
      <c r="BZ169" s="33"/>
      <c r="CC169" s="33"/>
    </row>
    <row r="170" spans="1:81" x14ac:dyDescent="0.3">
      <c r="A170" s="38" t="s">
        <v>116</v>
      </c>
      <c r="B170" s="44">
        <v>1</v>
      </c>
      <c r="C170" s="33" t="s">
        <v>164</v>
      </c>
      <c r="D170" s="56">
        <v>2.98</v>
      </c>
      <c r="E170" s="33" t="s">
        <v>147</v>
      </c>
      <c r="G170" s="33"/>
      <c r="I170" s="33"/>
      <c r="M170" s="33"/>
      <c r="O170" s="62"/>
      <c r="P170" s="62"/>
      <c r="Q170" s="33"/>
      <c r="R170" s="62"/>
      <c r="S170" s="62"/>
      <c r="T170" s="58"/>
      <c r="U170" s="33"/>
      <c r="V170" s="58"/>
      <c r="W170" s="63"/>
      <c r="X170" s="33"/>
      <c r="Y170" s="63"/>
      <c r="Z170" s="63"/>
      <c r="AA170" s="33"/>
      <c r="AB170" s="58"/>
      <c r="AC170" s="32"/>
      <c r="AD170" s="32"/>
      <c r="AE170" s="33"/>
      <c r="AF170" s="32"/>
      <c r="AG170" s="32"/>
      <c r="AH170" s="33"/>
      <c r="AL170" s="33"/>
      <c r="AP170" s="33"/>
      <c r="AT170" s="33"/>
      <c r="AX170" s="33"/>
      <c r="BB170" s="33"/>
      <c r="BE170" s="33"/>
      <c r="BI170" s="33"/>
      <c r="BL170" s="33"/>
      <c r="BP170" s="33"/>
      <c r="BS170" s="33"/>
      <c r="BV170" s="33"/>
      <c r="BZ170" s="33"/>
      <c r="CC170" s="33"/>
    </row>
    <row r="171" spans="1:81" x14ac:dyDescent="0.3">
      <c r="A171" s="38" t="s">
        <v>137</v>
      </c>
      <c r="B171" s="44">
        <v>1</v>
      </c>
      <c r="C171" s="33" t="s">
        <v>166</v>
      </c>
      <c r="D171" s="56">
        <v>9</v>
      </c>
      <c r="E171" s="33" t="s">
        <v>167</v>
      </c>
      <c r="G171" s="33"/>
      <c r="I171" s="33"/>
      <c r="M171" s="33"/>
      <c r="O171" s="62"/>
      <c r="P171" s="62"/>
      <c r="Q171" s="33"/>
      <c r="R171" s="62"/>
      <c r="S171" s="62"/>
      <c r="T171" s="58"/>
      <c r="U171" s="33"/>
      <c r="V171" s="58"/>
      <c r="W171" s="63"/>
      <c r="X171" s="33"/>
      <c r="Y171" s="63"/>
      <c r="Z171" s="63"/>
      <c r="AA171" s="33"/>
      <c r="AB171" s="58"/>
      <c r="AC171" s="32"/>
      <c r="AD171" s="32"/>
      <c r="AE171" s="33"/>
      <c r="AF171" s="32"/>
      <c r="AG171" s="32"/>
      <c r="AH171" s="33"/>
      <c r="AL171" s="33"/>
      <c r="AP171" s="33"/>
      <c r="AT171" s="33"/>
      <c r="AX171" s="33"/>
      <c r="BB171" s="33"/>
      <c r="BE171" s="33"/>
      <c r="BI171" s="33"/>
      <c r="BL171" s="33"/>
      <c r="BP171" s="33"/>
      <c r="BS171" s="33"/>
      <c r="BV171" s="33"/>
      <c r="BZ171" s="33"/>
      <c r="CC171" s="33"/>
    </row>
    <row r="172" spans="1:81" x14ac:dyDescent="0.3">
      <c r="A172" s="38" t="s">
        <v>168</v>
      </c>
      <c r="B172" s="44">
        <v>1</v>
      </c>
      <c r="C172" s="33" t="s">
        <v>169</v>
      </c>
      <c r="D172" s="56">
        <v>9</v>
      </c>
      <c r="E172" s="33" t="s">
        <v>167</v>
      </c>
      <c r="G172" s="33"/>
      <c r="I172" s="33"/>
      <c r="M172" s="33"/>
      <c r="O172" s="62"/>
      <c r="P172" s="62"/>
      <c r="Q172" s="33"/>
      <c r="R172" s="62"/>
      <c r="S172" s="62"/>
      <c r="T172" s="58"/>
      <c r="U172" s="33"/>
      <c r="V172" s="58"/>
      <c r="W172" s="63"/>
      <c r="X172" s="33"/>
      <c r="Y172" s="63"/>
      <c r="Z172" s="63"/>
      <c r="AA172" s="33"/>
      <c r="AB172" s="58"/>
      <c r="AC172" s="32"/>
      <c r="AD172" s="32"/>
      <c r="AE172" s="33"/>
      <c r="AF172" s="32"/>
      <c r="AG172" s="32"/>
      <c r="AH172" s="33"/>
      <c r="AL172" s="33"/>
      <c r="AP172" s="33"/>
      <c r="AT172" s="33"/>
      <c r="AX172" s="33"/>
      <c r="BB172" s="33"/>
      <c r="BE172" s="33"/>
      <c r="BI172" s="33"/>
      <c r="BL172" s="33"/>
      <c r="BP172" s="33"/>
      <c r="BS172" s="33"/>
      <c r="BV172" s="33"/>
      <c r="BZ172" s="33"/>
      <c r="CC172" s="33"/>
    </row>
    <row r="173" spans="1:81" x14ac:dyDescent="0.3">
      <c r="A173" s="38" t="s">
        <v>119</v>
      </c>
      <c r="B173" s="44">
        <v>1</v>
      </c>
      <c r="C173" s="33" t="s">
        <v>158</v>
      </c>
      <c r="D173" s="56">
        <v>1.75</v>
      </c>
      <c r="E173" s="33" t="s">
        <v>147</v>
      </c>
      <c r="F173" s="44">
        <f>D173*D154</f>
        <v>196</v>
      </c>
      <c r="G173" s="33" t="s">
        <v>140</v>
      </c>
      <c r="I173" s="33"/>
      <c r="M173" s="33"/>
      <c r="O173" s="62"/>
      <c r="P173" s="62"/>
      <c r="Q173" s="33"/>
      <c r="R173" s="62"/>
      <c r="S173" s="62"/>
      <c r="T173" s="58"/>
      <c r="U173" s="33"/>
      <c r="V173" s="58"/>
      <c r="W173" s="63"/>
      <c r="X173" s="33"/>
      <c r="Y173" s="63"/>
      <c r="Z173" s="63"/>
      <c r="AA173" s="33"/>
      <c r="AB173" s="58"/>
      <c r="AC173" s="32"/>
      <c r="AD173" s="32"/>
      <c r="AE173" s="33"/>
      <c r="AF173" s="32"/>
      <c r="AG173" s="32"/>
      <c r="AH173" s="33"/>
      <c r="AL173" s="33"/>
      <c r="AP173" s="33"/>
      <c r="AT173" s="33"/>
      <c r="AX173" s="33"/>
      <c r="BB173" s="33"/>
      <c r="BE173" s="33"/>
      <c r="BI173" s="33"/>
      <c r="BL173" s="33"/>
      <c r="BP173" s="33"/>
      <c r="BS173" s="33"/>
      <c r="BV173" s="33"/>
      <c r="BZ173" s="33"/>
      <c r="CC173" s="33"/>
    </row>
    <row r="174" spans="1:81" x14ac:dyDescent="0.3">
      <c r="A174" s="38" t="s">
        <v>119</v>
      </c>
      <c r="B174" s="44">
        <v>1</v>
      </c>
      <c r="C174" s="33" t="s">
        <v>156</v>
      </c>
      <c r="D174" s="56">
        <v>175</v>
      </c>
      <c r="E174" s="33" t="s">
        <v>140</v>
      </c>
      <c r="F174" s="56">
        <f>D174/D154</f>
        <v>1.5625</v>
      </c>
      <c r="G174" s="33" t="s">
        <v>143</v>
      </c>
      <c r="I174" s="33"/>
      <c r="M174" s="33"/>
      <c r="O174" s="62"/>
      <c r="P174" s="62"/>
      <c r="Q174" s="33"/>
      <c r="R174" s="62"/>
      <c r="S174" s="62"/>
      <c r="T174" s="58"/>
      <c r="U174" s="33"/>
      <c r="V174" s="58"/>
      <c r="W174" s="63"/>
      <c r="X174" s="33"/>
      <c r="Y174" s="63"/>
      <c r="Z174" s="63"/>
      <c r="AA174" s="33"/>
      <c r="AB174" s="58"/>
      <c r="AC174" s="32"/>
      <c r="AD174" s="32"/>
      <c r="AE174" s="33"/>
      <c r="AF174" s="32"/>
      <c r="AG174" s="32"/>
      <c r="AH174" s="33"/>
      <c r="AL174" s="33"/>
      <c r="AP174" s="33"/>
      <c r="AT174" s="33"/>
      <c r="AX174" s="33"/>
      <c r="BB174" s="33"/>
      <c r="BE174" s="33"/>
      <c r="BI174" s="33"/>
      <c r="BL174" s="33"/>
      <c r="BP174" s="33"/>
      <c r="BS174" s="33"/>
      <c r="BV174" s="33"/>
      <c r="BZ174" s="33"/>
      <c r="CC174" s="33"/>
    </row>
    <row r="175" spans="1:81" x14ac:dyDescent="0.3">
      <c r="A175" s="38" t="s">
        <v>170</v>
      </c>
      <c r="B175" s="44">
        <v>1</v>
      </c>
      <c r="C175" s="33" t="s">
        <v>171</v>
      </c>
      <c r="D175" s="56">
        <v>0.15175</v>
      </c>
      <c r="E175" s="33" t="s">
        <v>147</v>
      </c>
      <c r="F175" s="56">
        <v>16.997</v>
      </c>
      <c r="G175" s="33" t="s">
        <v>140</v>
      </c>
      <c r="I175" s="33"/>
      <c r="M175" s="33"/>
      <c r="O175" s="62"/>
      <c r="P175" s="62"/>
      <c r="Q175" s="33"/>
      <c r="R175" s="62"/>
      <c r="S175" s="62"/>
      <c r="T175" s="58"/>
      <c r="U175" s="33"/>
      <c r="V175" s="58"/>
      <c r="W175" s="63"/>
      <c r="X175" s="33"/>
      <c r="Y175" s="63"/>
      <c r="Z175" s="63"/>
      <c r="AA175" s="33"/>
      <c r="AB175" s="58"/>
      <c r="AC175" s="32"/>
      <c r="AD175" s="32"/>
      <c r="AE175" s="33"/>
      <c r="AF175" s="32"/>
      <c r="AG175" s="32"/>
      <c r="AH175" s="33"/>
      <c r="AL175" s="33"/>
      <c r="AP175" s="33"/>
      <c r="AT175" s="33"/>
      <c r="AX175" s="33"/>
      <c r="BB175" s="33"/>
      <c r="BE175" s="33"/>
      <c r="BI175" s="33"/>
      <c r="BL175" s="33"/>
      <c r="BP175" s="33"/>
      <c r="BS175" s="33"/>
      <c r="BV175" s="33"/>
      <c r="BZ175" s="33"/>
      <c r="CC175" s="33"/>
    </row>
    <row r="176" spans="1:81" x14ac:dyDescent="0.3">
      <c r="A176" s="38" t="s">
        <v>136</v>
      </c>
      <c r="B176" s="44">
        <v>1</v>
      </c>
      <c r="C176" s="33" t="s">
        <v>158</v>
      </c>
      <c r="D176" s="56">
        <v>1.5</v>
      </c>
      <c r="E176" s="33" t="s">
        <v>147</v>
      </c>
      <c r="G176" s="33"/>
      <c r="I176" s="33"/>
      <c r="M176" s="33"/>
      <c r="O176" s="62"/>
      <c r="P176" s="62"/>
      <c r="Q176" s="33"/>
      <c r="R176" s="62"/>
      <c r="S176" s="62"/>
      <c r="T176" s="58"/>
      <c r="U176" s="33"/>
      <c r="V176" s="58"/>
      <c r="W176" s="63"/>
      <c r="X176" s="33"/>
      <c r="Y176" s="63"/>
      <c r="Z176" s="63"/>
      <c r="AA176" s="33"/>
      <c r="AB176" s="58"/>
      <c r="AC176" s="32"/>
      <c r="AD176" s="32"/>
      <c r="AE176" s="33"/>
      <c r="AF176" s="32"/>
      <c r="AG176" s="32"/>
      <c r="AH176" s="33"/>
      <c r="AL176" s="33"/>
      <c r="AP176" s="33"/>
      <c r="AT176" s="33"/>
      <c r="AX176" s="33"/>
      <c r="BB176" s="33"/>
      <c r="BE176" s="33"/>
      <c r="BI176" s="33"/>
      <c r="BL176" s="33"/>
      <c r="BP176" s="33"/>
      <c r="BS176" s="33"/>
      <c r="BV176" s="33"/>
      <c r="BZ176" s="33"/>
      <c r="CC176" s="33"/>
    </row>
    <row r="177" spans="1:81" x14ac:dyDescent="0.3">
      <c r="A177" s="38" t="s">
        <v>172</v>
      </c>
      <c r="B177" s="44">
        <v>1</v>
      </c>
      <c r="C177" s="33" t="s">
        <v>158</v>
      </c>
      <c r="D177" s="56">
        <v>1.625</v>
      </c>
      <c r="E177" s="33" t="s">
        <v>147</v>
      </c>
      <c r="G177" s="33"/>
      <c r="I177" s="33"/>
      <c r="M177" s="33"/>
      <c r="O177" s="62"/>
      <c r="P177" s="62"/>
      <c r="Q177" s="33"/>
      <c r="R177" s="62"/>
      <c r="S177" s="62"/>
      <c r="T177" s="58"/>
      <c r="U177" s="33"/>
      <c r="V177" s="58"/>
      <c r="W177" s="63"/>
      <c r="X177" s="33"/>
      <c r="Y177" s="63"/>
      <c r="Z177" s="63"/>
      <c r="AA177" s="33"/>
      <c r="AB177" s="58"/>
      <c r="AC177" s="32"/>
      <c r="AD177" s="32"/>
      <c r="AE177" s="33"/>
      <c r="AF177" s="32"/>
      <c r="AG177" s="32"/>
      <c r="AH177" s="33"/>
      <c r="AL177" s="33"/>
      <c r="AP177" s="33"/>
      <c r="AT177" s="33"/>
      <c r="AX177" s="33"/>
      <c r="BB177" s="33"/>
      <c r="BE177" s="33"/>
      <c r="BI177" s="33"/>
      <c r="BL177" s="33"/>
      <c r="BP177" s="33"/>
      <c r="BS177" s="33"/>
      <c r="BV177" s="33"/>
      <c r="BZ177" s="33"/>
      <c r="CC177" s="33"/>
    </row>
    <row r="178" spans="1:81" x14ac:dyDescent="0.3">
      <c r="A178" s="38" t="s">
        <v>10</v>
      </c>
      <c r="B178" s="44">
        <v>1</v>
      </c>
      <c r="C178" s="33" t="s">
        <v>158</v>
      </c>
      <c r="D178" s="56">
        <v>1.5</v>
      </c>
      <c r="E178" s="33" t="s">
        <v>147</v>
      </c>
      <c r="G178" s="33"/>
      <c r="I178" s="33"/>
      <c r="M178" s="33"/>
      <c r="O178" s="62"/>
      <c r="P178" s="62"/>
      <c r="Q178" s="33"/>
      <c r="R178" s="62"/>
      <c r="S178" s="62"/>
      <c r="T178" s="58"/>
      <c r="U178" s="33"/>
      <c r="V178" s="58"/>
      <c r="W178" s="63"/>
      <c r="X178" s="33"/>
      <c r="Y178" s="63"/>
      <c r="Z178" s="63"/>
      <c r="AA178" s="33"/>
      <c r="AB178" s="58"/>
      <c r="AC178" s="32"/>
      <c r="AD178" s="32"/>
      <c r="AE178" s="33"/>
      <c r="AF178" s="32"/>
      <c r="AG178" s="32"/>
      <c r="AH178" s="33"/>
      <c r="AL178" s="33"/>
      <c r="AP178" s="33"/>
      <c r="AT178" s="33"/>
      <c r="AX178" s="33"/>
      <c r="BB178" s="33"/>
      <c r="BE178" s="33"/>
      <c r="BI178" s="33"/>
      <c r="BL178" s="33"/>
      <c r="BP178" s="33"/>
      <c r="BS178" s="33"/>
      <c r="BV178" s="33"/>
      <c r="BZ178" s="33"/>
      <c r="CC178" s="33"/>
    </row>
    <row r="179" spans="1:81" x14ac:dyDescent="0.3">
      <c r="A179" s="38" t="s">
        <v>173</v>
      </c>
      <c r="B179" s="44">
        <v>1</v>
      </c>
      <c r="C179" s="33" t="s">
        <v>158</v>
      </c>
      <c r="D179" s="56">
        <v>1.5</v>
      </c>
      <c r="E179" s="33" t="s">
        <v>147</v>
      </c>
      <c r="G179" s="33"/>
      <c r="I179" s="33"/>
      <c r="M179" s="33"/>
      <c r="O179" s="62"/>
      <c r="P179" s="62"/>
      <c r="Q179" s="33"/>
      <c r="R179" s="62"/>
      <c r="S179" s="62"/>
      <c r="T179" s="58"/>
      <c r="U179" s="33"/>
      <c r="V179" s="58"/>
      <c r="W179" s="63"/>
      <c r="X179" s="33"/>
      <c r="Y179" s="63"/>
      <c r="Z179" s="63"/>
      <c r="AA179" s="33"/>
      <c r="AB179" s="58"/>
      <c r="AC179" s="32"/>
      <c r="AD179" s="32"/>
      <c r="AE179" s="33"/>
      <c r="AF179" s="32"/>
      <c r="AG179" s="32"/>
      <c r="AH179" s="33"/>
      <c r="AL179" s="33"/>
      <c r="AP179" s="33"/>
      <c r="AT179" s="33"/>
      <c r="AX179" s="33"/>
      <c r="BB179" s="33"/>
      <c r="BE179" s="33"/>
      <c r="BI179" s="33"/>
      <c r="BL179" s="33"/>
      <c r="BP179" s="33"/>
      <c r="BS179" s="33"/>
      <c r="BV179" s="33"/>
      <c r="BZ179" s="33"/>
      <c r="CC179" s="33"/>
    </row>
    <row r="180" spans="1:81" x14ac:dyDescent="0.3">
      <c r="A180" s="91" t="s">
        <v>174</v>
      </c>
      <c r="B180" s="44">
        <v>1</v>
      </c>
      <c r="C180" s="33" t="s">
        <v>175</v>
      </c>
      <c r="D180" s="56">
        <v>18.559999999999999</v>
      </c>
      <c r="E180" s="33" t="s">
        <v>167</v>
      </c>
      <c r="G180" s="33"/>
      <c r="I180" s="33"/>
      <c r="M180" s="33"/>
      <c r="O180" s="62"/>
      <c r="P180" s="62"/>
      <c r="Q180" s="33"/>
      <c r="R180" s="62"/>
      <c r="S180" s="62"/>
      <c r="T180" s="58"/>
      <c r="U180" s="33"/>
      <c r="V180" s="58"/>
      <c r="W180" s="63"/>
      <c r="X180" s="33"/>
      <c r="Y180" s="63"/>
      <c r="Z180" s="63"/>
      <c r="AA180" s="33"/>
      <c r="AB180" s="58"/>
      <c r="AC180" s="32"/>
      <c r="AD180" s="32"/>
      <c r="AE180" s="33"/>
      <c r="AF180" s="32"/>
      <c r="AG180" s="32"/>
      <c r="AH180" s="33"/>
      <c r="AL180" s="33"/>
      <c r="AP180" s="33"/>
      <c r="AT180" s="33"/>
      <c r="AX180" s="33"/>
      <c r="BB180" s="33"/>
      <c r="BE180" s="33"/>
      <c r="BI180" s="33"/>
      <c r="BL180" s="33"/>
      <c r="BP180" s="33"/>
      <c r="BS180" s="33"/>
      <c r="BV180" s="33"/>
      <c r="BZ180" s="33"/>
      <c r="CC180" s="33"/>
    </row>
    <row r="181" spans="1:81" x14ac:dyDescent="0.3">
      <c r="A181" s="91"/>
      <c r="B181" s="44">
        <v>1</v>
      </c>
      <c r="C181" s="33" t="s">
        <v>176</v>
      </c>
      <c r="D181" s="56">
        <v>164</v>
      </c>
      <c r="E181" s="33" t="s">
        <v>140</v>
      </c>
      <c r="F181" s="56">
        <f>D181/D139</f>
        <v>1.4642857142857142</v>
      </c>
      <c r="G181" s="33" t="s">
        <v>147</v>
      </c>
      <c r="I181" s="34"/>
      <c r="M181" s="34"/>
      <c r="O181" s="62"/>
      <c r="P181" s="62"/>
      <c r="Q181" s="34"/>
      <c r="R181" s="62"/>
      <c r="S181" s="62"/>
      <c r="T181" s="58"/>
      <c r="U181" s="34"/>
      <c r="V181" s="58"/>
      <c r="W181" s="63"/>
      <c r="X181" s="34"/>
      <c r="Y181" s="63"/>
      <c r="Z181" s="63"/>
      <c r="AA181" s="34"/>
      <c r="AB181" s="58"/>
      <c r="AC181" s="32"/>
      <c r="AD181" s="32"/>
      <c r="AE181" s="34"/>
      <c r="AF181" s="32"/>
      <c r="AG181" s="32"/>
      <c r="AH181" s="34"/>
      <c r="AL181" s="34"/>
      <c r="AP181" s="34"/>
      <c r="AT181" s="34"/>
      <c r="AX181" s="34"/>
      <c r="BB181" s="34"/>
      <c r="BE181" s="34"/>
      <c r="BI181" s="34"/>
      <c r="BL181" s="34"/>
      <c r="BP181" s="34"/>
      <c r="BS181" s="34"/>
      <c r="BV181" s="34"/>
      <c r="BZ181" s="34"/>
      <c r="CC181" s="34"/>
    </row>
    <row r="182" spans="1:81" x14ac:dyDescent="0.3">
      <c r="A182" s="91" t="s">
        <v>177</v>
      </c>
      <c r="B182" s="44">
        <v>1</v>
      </c>
      <c r="C182" s="33" t="s">
        <v>178</v>
      </c>
      <c r="D182" s="56">
        <v>336</v>
      </c>
      <c r="E182" s="33" t="s">
        <v>140</v>
      </c>
      <c r="F182" s="56">
        <v>3</v>
      </c>
      <c r="G182" s="33" t="s">
        <v>147</v>
      </c>
      <c r="I182" s="33"/>
      <c r="M182" s="33"/>
      <c r="O182" s="62"/>
      <c r="P182" s="62"/>
      <c r="Q182" s="33"/>
      <c r="R182" s="62"/>
      <c r="S182" s="62"/>
      <c r="T182" s="58"/>
      <c r="U182" s="33"/>
      <c r="V182" s="58"/>
      <c r="W182" s="63"/>
      <c r="X182" s="33"/>
      <c r="Y182" s="63"/>
      <c r="Z182" s="63"/>
      <c r="AA182" s="33"/>
      <c r="AB182" s="58"/>
      <c r="AC182" s="32"/>
      <c r="AD182" s="32"/>
      <c r="AE182" s="33"/>
      <c r="AF182" s="32"/>
      <c r="AG182" s="32"/>
      <c r="AH182" s="33"/>
      <c r="AL182" s="33"/>
      <c r="AP182" s="33"/>
      <c r="AT182" s="33"/>
      <c r="AX182" s="33"/>
      <c r="BB182" s="33"/>
      <c r="BE182" s="33"/>
      <c r="BI182" s="33"/>
      <c r="BL182" s="33"/>
      <c r="BP182" s="33"/>
      <c r="BS182" s="33"/>
      <c r="BV182" s="33"/>
      <c r="BZ182" s="33"/>
      <c r="CC182" s="33"/>
    </row>
    <row r="183" spans="1:81" x14ac:dyDescent="0.3">
      <c r="A183" s="91"/>
      <c r="B183" s="44">
        <v>1</v>
      </c>
      <c r="C183" s="33" t="s">
        <v>179</v>
      </c>
      <c r="D183" s="56">
        <v>240</v>
      </c>
      <c r="E183" s="33" t="s">
        <v>140</v>
      </c>
      <c r="F183" s="56">
        <f>D183/D154</f>
        <v>2.1428571428571428</v>
      </c>
      <c r="G183" s="33" t="s">
        <v>147</v>
      </c>
      <c r="I183" s="33"/>
      <c r="M183" s="33"/>
      <c r="O183" s="62"/>
      <c r="P183" s="62"/>
      <c r="Q183" s="33"/>
      <c r="R183" s="62"/>
      <c r="S183" s="62"/>
      <c r="T183" s="58"/>
      <c r="U183" s="33"/>
      <c r="V183" s="58"/>
      <c r="W183" s="63"/>
      <c r="X183" s="33"/>
      <c r="Y183" s="63"/>
      <c r="Z183" s="63"/>
      <c r="AA183" s="33"/>
      <c r="AB183" s="58"/>
      <c r="AC183" s="32"/>
      <c r="AD183" s="32"/>
      <c r="AE183" s="33"/>
      <c r="AF183" s="32"/>
      <c r="AG183" s="32"/>
      <c r="AH183" s="33"/>
      <c r="AL183" s="33"/>
      <c r="AP183" s="33"/>
      <c r="AT183" s="33"/>
      <c r="AX183" s="33"/>
      <c r="BB183" s="33"/>
      <c r="BE183" s="33"/>
      <c r="BI183" s="33"/>
      <c r="BL183" s="33"/>
      <c r="BP183" s="33"/>
      <c r="BS183" s="33"/>
      <c r="BV183" s="33"/>
      <c r="BZ183" s="33"/>
      <c r="CC183" s="33"/>
    </row>
    <row r="184" spans="1:81" x14ac:dyDescent="0.3">
      <c r="A184" s="91" t="s">
        <v>47</v>
      </c>
      <c r="B184" s="44">
        <v>1</v>
      </c>
      <c r="C184" s="33" t="s">
        <v>180</v>
      </c>
      <c r="D184" s="56">
        <v>3.40835</v>
      </c>
      <c r="E184" s="33" t="s">
        <v>158</v>
      </c>
      <c r="F184" s="56">
        <f>D184*D185/D154</f>
        <v>5.9646125000000003</v>
      </c>
      <c r="G184" s="33" t="s">
        <v>147</v>
      </c>
      <c r="I184" s="33"/>
      <c r="M184" s="33"/>
      <c r="O184" s="62"/>
      <c r="P184" s="62"/>
      <c r="Q184" s="33"/>
      <c r="R184" s="62"/>
      <c r="S184" s="62"/>
      <c r="T184" s="58"/>
      <c r="U184" s="33"/>
      <c r="V184" s="58"/>
      <c r="W184" s="63"/>
      <c r="X184" s="33"/>
      <c r="Y184" s="63"/>
      <c r="Z184" s="63"/>
      <c r="AA184" s="33"/>
      <c r="AB184" s="58"/>
      <c r="AC184" s="32"/>
      <c r="AD184" s="32"/>
      <c r="AE184" s="33"/>
      <c r="AF184" s="32"/>
      <c r="AG184" s="32"/>
      <c r="AH184" s="33"/>
      <c r="AL184" s="33"/>
      <c r="AP184" s="33"/>
      <c r="AT184" s="33"/>
      <c r="AX184" s="33"/>
      <c r="BB184" s="33"/>
      <c r="BE184" s="33"/>
      <c r="BI184" s="33"/>
      <c r="BL184" s="33"/>
      <c r="BP184" s="33"/>
      <c r="BS184" s="33"/>
      <c r="BV184" s="33"/>
      <c r="BZ184" s="33"/>
      <c r="CC184" s="33"/>
    </row>
    <row r="185" spans="1:81" x14ac:dyDescent="0.3">
      <c r="A185" s="91"/>
      <c r="B185" s="44">
        <v>1</v>
      </c>
      <c r="C185" s="33" t="s">
        <v>158</v>
      </c>
      <c r="D185" s="61">
        <v>196</v>
      </c>
      <c r="E185" s="33" t="s">
        <v>140</v>
      </c>
      <c r="F185" s="56"/>
      <c r="G185" s="32"/>
      <c r="I185" s="33"/>
      <c r="M185" s="33"/>
      <c r="O185" s="62"/>
      <c r="P185" s="62"/>
      <c r="Q185" s="33"/>
      <c r="R185" s="62"/>
      <c r="S185" s="62"/>
      <c r="T185" s="58"/>
      <c r="U185" s="33"/>
      <c r="V185" s="58"/>
      <c r="W185" s="63"/>
      <c r="X185" s="33"/>
      <c r="Y185" s="63"/>
      <c r="Z185" s="63"/>
      <c r="AA185" s="33"/>
      <c r="AB185" s="58"/>
      <c r="AC185" s="32"/>
      <c r="AD185" s="32"/>
      <c r="AE185" s="33"/>
      <c r="AF185" s="32"/>
      <c r="AG185" s="32"/>
      <c r="AH185" s="33"/>
      <c r="AL185" s="33"/>
      <c r="AP185" s="33"/>
      <c r="AT185" s="33"/>
      <c r="AX185" s="33"/>
      <c r="BB185" s="33"/>
      <c r="BE185" s="33"/>
      <c r="BI185" s="33"/>
      <c r="BL185" s="33"/>
      <c r="BP185" s="33"/>
      <c r="BS185" s="33"/>
      <c r="BV185" s="33"/>
      <c r="BZ185" s="33"/>
      <c r="CC185" s="33"/>
    </row>
    <row r="186" spans="1:81" x14ac:dyDescent="0.3">
      <c r="A186" s="91" t="s">
        <v>130</v>
      </c>
      <c r="B186" s="44">
        <v>1</v>
      </c>
      <c r="C186" s="33" t="s">
        <v>181</v>
      </c>
      <c r="D186" s="61">
        <v>1</v>
      </c>
      <c r="E186" s="33" t="s">
        <v>164</v>
      </c>
      <c r="F186" s="56">
        <f>F187</f>
        <v>3.0446428571428572</v>
      </c>
      <c r="G186" s="33" t="s">
        <v>147</v>
      </c>
      <c r="I186" s="33"/>
      <c r="M186" s="33"/>
      <c r="O186" s="62"/>
      <c r="P186" s="62"/>
      <c r="Q186" s="33"/>
      <c r="R186" s="62"/>
      <c r="S186" s="62"/>
      <c r="T186" s="58"/>
      <c r="U186" s="33"/>
      <c r="V186" s="58"/>
      <c r="W186" s="63"/>
      <c r="X186" s="33"/>
      <c r="Y186" s="63"/>
      <c r="Z186" s="63"/>
      <c r="AA186" s="33"/>
      <c r="AB186" s="58"/>
      <c r="AC186" s="32"/>
      <c r="AD186" s="32"/>
      <c r="AE186" s="33"/>
      <c r="AF186" s="32"/>
      <c r="AG186" s="32"/>
      <c r="AH186" s="33"/>
      <c r="AL186" s="33"/>
      <c r="AP186" s="33"/>
      <c r="AT186" s="33"/>
      <c r="AX186" s="33"/>
      <c r="BB186" s="33"/>
      <c r="BE186" s="33"/>
      <c r="BI186" s="33"/>
      <c r="BL186" s="33"/>
      <c r="BP186" s="33"/>
      <c r="BS186" s="33"/>
      <c r="BV186" s="33"/>
      <c r="BZ186" s="33"/>
      <c r="CC186" s="33"/>
    </row>
    <row r="187" spans="1:81" x14ac:dyDescent="0.3">
      <c r="A187" s="91"/>
      <c r="B187" s="44">
        <v>1</v>
      </c>
      <c r="C187" s="33" t="s">
        <v>164</v>
      </c>
      <c r="D187" s="61">
        <f>(355+327)/2</f>
        <v>341</v>
      </c>
      <c r="E187" s="33" t="s">
        <v>140</v>
      </c>
      <c r="F187" s="56">
        <f>D187/D154</f>
        <v>3.0446428571428572</v>
      </c>
      <c r="G187" s="33" t="s">
        <v>147</v>
      </c>
      <c r="I187" s="33"/>
      <c r="M187" s="33"/>
      <c r="O187" s="62"/>
      <c r="P187" s="62"/>
      <c r="Q187" s="33"/>
      <c r="R187" s="62"/>
      <c r="S187" s="62"/>
      <c r="T187" s="58"/>
      <c r="U187" s="33"/>
      <c r="V187" s="58"/>
      <c r="W187" s="63"/>
      <c r="X187" s="33"/>
      <c r="Y187" s="63"/>
      <c r="Z187" s="63"/>
      <c r="AA187" s="33"/>
      <c r="AB187" s="58"/>
      <c r="AC187" s="32"/>
      <c r="AD187" s="32"/>
      <c r="AE187" s="33"/>
      <c r="AF187" s="32"/>
      <c r="AG187" s="32"/>
      <c r="AH187" s="33"/>
      <c r="AL187" s="33"/>
      <c r="AP187" s="33"/>
      <c r="AT187" s="33"/>
      <c r="AX187" s="33"/>
      <c r="BB187" s="33"/>
      <c r="BE187" s="33"/>
      <c r="BI187" s="33"/>
      <c r="BL187" s="33"/>
      <c r="BP187" s="33"/>
      <c r="BS187" s="33"/>
      <c r="BV187" s="33"/>
      <c r="BZ187" s="33"/>
      <c r="CC187" s="33"/>
    </row>
    <row r="188" spans="1:81" x14ac:dyDescent="0.3">
      <c r="A188" s="91" t="s">
        <v>161</v>
      </c>
      <c r="B188" s="44">
        <v>1</v>
      </c>
      <c r="C188" s="34" t="s">
        <v>156</v>
      </c>
      <c r="D188" s="61">
        <v>140.63</v>
      </c>
      <c r="E188" s="33" t="s">
        <v>140</v>
      </c>
      <c r="F188" s="56">
        <f>D188/D154</f>
        <v>1.255625</v>
      </c>
      <c r="G188" s="33" t="s">
        <v>147</v>
      </c>
      <c r="I188" s="33"/>
      <c r="M188" s="33"/>
      <c r="O188" s="62"/>
      <c r="P188" s="62"/>
      <c r="Q188" s="33"/>
      <c r="R188" s="62"/>
      <c r="S188" s="62"/>
      <c r="T188" s="58"/>
      <c r="U188" s="33"/>
      <c r="V188" s="58"/>
      <c r="W188" s="63"/>
      <c r="X188" s="33"/>
      <c r="Y188" s="63"/>
      <c r="Z188" s="63"/>
      <c r="AA188" s="33"/>
      <c r="AB188" s="58"/>
      <c r="AC188" s="32"/>
      <c r="AD188" s="32"/>
      <c r="AE188" s="33"/>
      <c r="AF188" s="32"/>
      <c r="AG188" s="32"/>
      <c r="AH188" s="33"/>
      <c r="AL188" s="33"/>
      <c r="AP188" s="33"/>
      <c r="AT188" s="33"/>
      <c r="AX188" s="33"/>
      <c r="BB188" s="33"/>
      <c r="BE188" s="33"/>
      <c r="BI188" s="33"/>
      <c r="BL188" s="33"/>
      <c r="BP188" s="33"/>
      <c r="BS188" s="33"/>
      <c r="BV188" s="33"/>
      <c r="BZ188" s="33"/>
      <c r="CC188" s="33"/>
    </row>
    <row r="189" spans="1:81" x14ac:dyDescent="0.3">
      <c r="A189" s="91"/>
      <c r="B189" s="44">
        <v>1</v>
      </c>
      <c r="C189" s="34" t="s">
        <v>182</v>
      </c>
      <c r="D189" s="61">
        <v>0.91576999999999997</v>
      </c>
      <c r="E189" s="33" t="s">
        <v>156</v>
      </c>
      <c r="F189" s="56">
        <f>F188*D189</f>
        <v>1.1498637062499999</v>
      </c>
      <c r="G189" s="33" t="s">
        <v>147</v>
      </c>
      <c r="I189" s="33"/>
      <c r="M189" s="33"/>
      <c r="O189" s="62"/>
      <c r="P189" s="62"/>
      <c r="Q189" s="33"/>
      <c r="R189" s="62"/>
      <c r="S189" s="62"/>
      <c r="T189" s="58"/>
      <c r="U189" s="33"/>
      <c r="V189" s="58"/>
      <c r="W189" s="63"/>
      <c r="X189" s="33"/>
      <c r="Y189" s="63"/>
      <c r="Z189" s="63"/>
      <c r="AA189" s="33"/>
      <c r="AB189" s="58"/>
      <c r="AC189" s="32"/>
      <c r="AD189" s="32"/>
      <c r="AE189" s="33"/>
      <c r="AF189" s="32"/>
      <c r="AG189" s="32"/>
      <c r="AH189" s="33"/>
      <c r="AL189" s="33"/>
      <c r="AP189" s="33"/>
      <c r="AT189" s="33"/>
      <c r="AX189" s="33"/>
      <c r="BB189" s="33"/>
      <c r="BE189" s="33"/>
      <c r="BI189" s="33"/>
      <c r="BL189" s="33"/>
      <c r="BP189" s="33"/>
      <c r="BS189" s="33"/>
      <c r="BV189" s="33"/>
      <c r="BZ189" s="33"/>
      <c r="CC189" s="33"/>
    </row>
    <row r="190" spans="1:81" x14ac:dyDescent="0.3">
      <c r="A190" s="91" t="s">
        <v>27</v>
      </c>
      <c r="B190" s="32">
        <v>1</v>
      </c>
      <c r="C190" s="34" t="s">
        <v>164</v>
      </c>
      <c r="D190" s="61">
        <v>2.37609</v>
      </c>
      <c r="E190" s="34" t="s">
        <v>158</v>
      </c>
      <c r="F190" s="56">
        <f>D190*D191</f>
        <v>4.1366063637000003</v>
      </c>
      <c r="G190" s="33" t="s">
        <v>147</v>
      </c>
      <c r="I190" s="33"/>
      <c r="M190" s="33"/>
      <c r="O190" s="62"/>
      <c r="P190" s="62"/>
      <c r="Q190" s="33"/>
      <c r="R190" s="62"/>
      <c r="S190" s="62"/>
      <c r="T190" s="58"/>
      <c r="U190" s="33"/>
      <c r="V190" s="58"/>
      <c r="W190" s="63"/>
      <c r="X190" s="33"/>
      <c r="Y190" s="63"/>
      <c r="Z190" s="63"/>
      <c r="AA190" s="33"/>
      <c r="AB190" s="58"/>
      <c r="AC190" s="32"/>
      <c r="AD190" s="32"/>
      <c r="AE190" s="33"/>
      <c r="AF190" s="32"/>
      <c r="AG190" s="32"/>
      <c r="AH190" s="33"/>
      <c r="AL190" s="33"/>
      <c r="AP190" s="33"/>
      <c r="AT190" s="33"/>
      <c r="AX190" s="33"/>
      <c r="BB190" s="33"/>
      <c r="BE190" s="33"/>
      <c r="BI190" s="33"/>
      <c r="BL190" s="33"/>
      <c r="BP190" s="33"/>
      <c r="BS190" s="33"/>
      <c r="BV190" s="33"/>
      <c r="BZ190" s="33"/>
      <c r="CC190" s="33"/>
    </row>
    <row r="191" spans="1:81" x14ac:dyDescent="0.3">
      <c r="A191" s="91"/>
      <c r="B191" s="44">
        <v>1</v>
      </c>
      <c r="C191" s="34" t="s">
        <v>158</v>
      </c>
      <c r="D191" s="61">
        <v>1.7409300000000001</v>
      </c>
      <c r="E191" s="33" t="s">
        <v>147</v>
      </c>
      <c r="F191" s="56"/>
      <c r="G191" s="33"/>
      <c r="I191" s="33"/>
      <c r="M191" s="33"/>
      <c r="O191" s="62"/>
      <c r="P191" s="62"/>
      <c r="Q191" s="33"/>
      <c r="R191" s="62"/>
      <c r="S191" s="62"/>
      <c r="T191" s="58"/>
      <c r="U191" s="33"/>
      <c r="V191" s="58"/>
      <c r="W191" s="63"/>
      <c r="X191" s="33"/>
      <c r="Y191" s="63"/>
      <c r="Z191" s="63"/>
      <c r="AA191" s="33"/>
      <c r="AB191" s="58"/>
      <c r="AC191" s="32"/>
      <c r="AD191" s="32"/>
      <c r="AE191" s="33"/>
      <c r="AF191" s="32"/>
      <c r="AG191" s="32"/>
      <c r="AH191" s="33"/>
      <c r="AL191" s="33"/>
      <c r="AP191" s="33"/>
      <c r="AT191" s="33"/>
      <c r="AX191" s="33"/>
      <c r="BB191" s="33"/>
      <c r="BE191" s="33"/>
      <c r="BI191" s="33"/>
      <c r="BL191" s="33"/>
      <c r="BP191" s="33"/>
      <c r="BS191" s="33"/>
      <c r="BV191" s="33"/>
      <c r="BZ191" s="33"/>
      <c r="CC191" s="33"/>
    </row>
    <row r="192" spans="1:81" x14ac:dyDescent="0.3">
      <c r="A192" s="38" t="s">
        <v>183</v>
      </c>
      <c r="B192" s="44">
        <v>1</v>
      </c>
      <c r="C192" s="34" t="s">
        <v>164</v>
      </c>
      <c r="D192" s="61">
        <v>242</v>
      </c>
      <c r="E192" s="33" t="s">
        <v>140</v>
      </c>
      <c r="F192" s="56">
        <f>D192/D154</f>
        <v>2.1607142857142856</v>
      </c>
      <c r="G192" s="33" t="s">
        <v>147</v>
      </c>
      <c r="I192" s="33"/>
      <c r="M192" s="33"/>
      <c r="O192" s="62"/>
      <c r="P192" s="62"/>
      <c r="Q192" s="33"/>
      <c r="R192" s="62"/>
      <c r="S192" s="62"/>
      <c r="T192" s="58"/>
      <c r="U192" s="33"/>
      <c r="V192" s="58"/>
      <c r="W192" s="63"/>
      <c r="X192" s="33"/>
      <c r="Y192" s="63"/>
      <c r="Z192" s="63"/>
      <c r="AA192" s="33"/>
      <c r="AB192" s="58"/>
      <c r="AC192" s="32"/>
      <c r="AD192" s="32"/>
      <c r="AE192" s="33"/>
      <c r="AF192" s="32"/>
      <c r="AG192" s="32"/>
      <c r="AH192" s="33"/>
      <c r="AL192" s="33"/>
      <c r="AP192" s="33"/>
      <c r="AT192" s="33"/>
      <c r="AX192" s="33"/>
      <c r="BB192" s="33"/>
      <c r="BE192" s="33"/>
      <c r="BI192" s="33"/>
      <c r="BL192" s="33"/>
      <c r="BP192" s="33"/>
      <c r="BS192" s="33"/>
      <c r="BV192" s="33"/>
      <c r="BZ192" s="33"/>
      <c r="CC192" s="33"/>
    </row>
    <row r="193" spans="1:81" x14ac:dyDescent="0.3">
      <c r="A193" s="38" t="s">
        <v>184</v>
      </c>
      <c r="B193" s="44">
        <v>1</v>
      </c>
      <c r="C193" s="34" t="s">
        <v>185</v>
      </c>
      <c r="D193" s="61">
        <v>294</v>
      </c>
      <c r="E193" s="33" t="s">
        <v>140</v>
      </c>
      <c r="F193" s="56">
        <f>D193/D154</f>
        <v>2.625</v>
      </c>
      <c r="G193" s="33" t="s">
        <v>147</v>
      </c>
      <c r="I193" s="33"/>
      <c r="M193" s="33"/>
      <c r="O193" s="62"/>
      <c r="P193" s="62"/>
      <c r="Q193" s="33"/>
      <c r="R193" s="62"/>
      <c r="S193" s="62"/>
      <c r="T193" s="58"/>
      <c r="U193" s="33"/>
      <c r="V193" s="58"/>
      <c r="W193" s="63"/>
      <c r="X193" s="33"/>
      <c r="Y193" s="63"/>
      <c r="Z193" s="63"/>
      <c r="AA193" s="33"/>
      <c r="AB193" s="58"/>
      <c r="AC193" s="32"/>
      <c r="AD193" s="32"/>
      <c r="AE193" s="33"/>
      <c r="AF193" s="32"/>
      <c r="AG193" s="32"/>
      <c r="AH193" s="33"/>
      <c r="AL193" s="33"/>
      <c r="AP193" s="33"/>
      <c r="AT193" s="33"/>
      <c r="AX193" s="33"/>
      <c r="BB193" s="33"/>
      <c r="BE193" s="33"/>
      <c r="BI193" s="33"/>
      <c r="BL193" s="33"/>
      <c r="BP193" s="33"/>
      <c r="BS193" s="33"/>
      <c r="BV193" s="33"/>
      <c r="BZ193" s="33"/>
      <c r="CC193" s="33"/>
    </row>
    <row r="194" spans="1:81" x14ac:dyDescent="0.3">
      <c r="A194" s="38" t="s">
        <v>32</v>
      </c>
      <c r="B194" s="44">
        <v>1</v>
      </c>
      <c r="C194" s="34" t="s">
        <v>156</v>
      </c>
      <c r="D194" s="56">
        <v>0.88400000000000001</v>
      </c>
      <c r="E194" s="33" t="s">
        <v>147</v>
      </c>
      <c r="I194" s="33"/>
      <c r="M194" s="33"/>
      <c r="O194" s="62"/>
      <c r="P194" s="62"/>
      <c r="Q194" s="33"/>
      <c r="R194" s="62"/>
      <c r="S194" s="62"/>
      <c r="T194" s="58"/>
      <c r="U194" s="33"/>
      <c r="V194" s="58"/>
      <c r="W194" s="63"/>
      <c r="X194" s="33"/>
      <c r="Y194" s="63"/>
      <c r="Z194" s="63"/>
      <c r="AA194" s="33"/>
      <c r="AB194" s="58"/>
      <c r="AC194" s="32"/>
      <c r="AD194" s="32"/>
      <c r="AE194" s="33"/>
      <c r="AF194" s="32"/>
      <c r="AG194" s="32"/>
      <c r="AH194" s="33"/>
      <c r="AL194" s="33"/>
      <c r="AP194" s="33"/>
      <c r="AT194" s="33"/>
      <c r="AX194" s="33"/>
      <c r="BB194" s="33"/>
      <c r="BE194" s="33"/>
      <c r="BI194" s="33"/>
      <c r="BL194" s="33"/>
      <c r="BP194" s="33"/>
      <c r="BS194" s="33"/>
      <c r="BV194" s="33"/>
      <c r="BZ194" s="33"/>
      <c r="CC194" s="33"/>
    </row>
    <row r="195" spans="1:81" x14ac:dyDescent="0.3">
      <c r="A195" s="38" t="s">
        <v>2</v>
      </c>
      <c r="B195" s="44">
        <v>1</v>
      </c>
      <c r="C195" s="34" t="s">
        <v>158</v>
      </c>
      <c r="D195" s="61">
        <v>149</v>
      </c>
      <c r="E195" s="33" t="s">
        <v>140</v>
      </c>
      <c r="F195" s="56">
        <f>D195/D154</f>
        <v>1.3303571428571428</v>
      </c>
      <c r="G195" s="33" t="s">
        <v>147</v>
      </c>
      <c r="I195" s="33"/>
      <c r="M195" s="33"/>
      <c r="O195" s="62"/>
      <c r="P195" s="62"/>
      <c r="Q195" s="33"/>
      <c r="R195" s="62"/>
      <c r="S195" s="62"/>
      <c r="T195" s="58"/>
      <c r="U195" s="33"/>
      <c r="V195" s="58"/>
      <c r="W195" s="63"/>
      <c r="X195" s="33"/>
      <c r="Y195" s="63"/>
      <c r="Z195" s="63"/>
      <c r="AA195" s="33"/>
      <c r="AB195" s="58"/>
      <c r="AC195" s="32"/>
      <c r="AD195" s="32"/>
      <c r="AE195" s="33"/>
      <c r="AF195" s="32"/>
      <c r="AG195" s="32"/>
      <c r="AH195" s="33"/>
      <c r="AL195" s="33"/>
      <c r="AP195" s="33"/>
      <c r="AT195" s="33"/>
      <c r="AX195" s="33"/>
      <c r="BB195" s="33"/>
      <c r="BE195" s="33"/>
      <c r="BI195" s="33"/>
      <c r="BL195" s="33"/>
      <c r="BP195" s="33"/>
      <c r="BS195" s="33"/>
      <c r="BV195" s="33"/>
      <c r="BZ195" s="33"/>
      <c r="CC195" s="33"/>
    </row>
    <row r="196" spans="1:81" x14ac:dyDescent="0.3">
      <c r="A196" s="38" t="s">
        <v>174</v>
      </c>
      <c r="B196" s="44">
        <v>1</v>
      </c>
      <c r="C196" s="34" t="s">
        <v>156</v>
      </c>
      <c r="D196" s="61">
        <v>164</v>
      </c>
      <c r="E196" s="33" t="s">
        <v>140</v>
      </c>
      <c r="F196" s="56">
        <f>D196/D154</f>
        <v>1.4642857142857142</v>
      </c>
      <c r="G196" s="33" t="s">
        <v>147</v>
      </c>
      <c r="I196" s="33"/>
      <c r="M196" s="33"/>
      <c r="O196" s="62"/>
      <c r="P196" s="62"/>
      <c r="Q196" s="33"/>
      <c r="R196" s="62"/>
      <c r="S196" s="62"/>
      <c r="T196" s="58"/>
      <c r="U196" s="33"/>
      <c r="V196" s="58"/>
      <c r="W196" s="63"/>
      <c r="X196" s="33"/>
      <c r="Y196" s="63"/>
      <c r="Z196" s="63"/>
      <c r="AA196" s="33"/>
      <c r="AB196" s="58"/>
      <c r="AC196" s="32"/>
      <c r="AD196" s="32"/>
      <c r="AE196" s="33"/>
      <c r="AF196" s="32"/>
      <c r="AG196" s="32"/>
      <c r="AH196" s="33"/>
      <c r="AL196" s="33"/>
      <c r="AP196" s="33"/>
      <c r="AT196" s="33"/>
      <c r="AX196" s="33"/>
      <c r="BB196" s="33"/>
      <c r="BE196" s="33"/>
      <c r="BI196" s="33"/>
      <c r="BL196" s="33"/>
      <c r="BP196" s="33"/>
      <c r="BS196" s="33"/>
      <c r="BV196" s="33"/>
      <c r="BZ196" s="33"/>
      <c r="CC196" s="33"/>
    </row>
    <row r="197" spans="1:81" x14ac:dyDescent="0.3">
      <c r="A197" s="91" t="s">
        <v>186</v>
      </c>
      <c r="B197" s="44">
        <v>1</v>
      </c>
      <c r="C197" s="34" t="s">
        <v>185</v>
      </c>
      <c r="D197" s="61">
        <v>2.0271699999999999</v>
      </c>
      <c r="E197" s="33" t="s">
        <v>164</v>
      </c>
      <c r="F197" s="56">
        <f>D198*D197/D154</f>
        <v>6.0815099999999997</v>
      </c>
      <c r="G197" s="33" t="s">
        <v>147</v>
      </c>
      <c r="I197" s="33"/>
      <c r="M197" s="33"/>
      <c r="O197" s="62"/>
      <c r="P197" s="62"/>
      <c r="Q197" s="33"/>
      <c r="R197" s="62"/>
      <c r="S197" s="62"/>
      <c r="T197" s="58"/>
      <c r="U197" s="33"/>
      <c r="V197" s="58"/>
      <c r="W197" s="63"/>
      <c r="X197" s="33"/>
      <c r="Y197" s="63"/>
      <c r="Z197" s="63"/>
      <c r="AA197" s="33"/>
      <c r="AB197" s="58"/>
      <c r="AC197" s="32"/>
      <c r="AD197" s="32"/>
      <c r="AE197" s="33"/>
      <c r="AF197" s="32"/>
      <c r="AG197" s="32"/>
      <c r="AH197" s="33"/>
      <c r="AL197" s="33"/>
      <c r="AP197" s="33"/>
      <c r="AT197" s="33"/>
      <c r="AX197" s="33"/>
      <c r="BB197" s="33"/>
      <c r="BE197" s="33"/>
      <c r="BI197" s="33"/>
      <c r="BL197" s="33"/>
      <c r="BP197" s="33"/>
      <c r="BS197" s="33"/>
      <c r="BV197" s="33"/>
      <c r="BZ197" s="33"/>
      <c r="CC197" s="33"/>
    </row>
    <row r="198" spans="1:81" x14ac:dyDescent="0.3">
      <c r="A198" s="91"/>
      <c r="B198" s="44">
        <v>1</v>
      </c>
      <c r="C198" s="34" t="s">
        <v>164</v>
      </c>
      <c r="D198" s="61">
        <v>336</v>
      </c>
      <c r="E198" s="33" t="s">
        <v>140</v>
      </c>
      <c r="F198" s="56">
        <f>D198/D154</f>
        <v>3</v>
      </c>
      <c r="G198" s="33" t="s">
        <v>147</v>
      </c>
      <c r="I198" s="33"/>
      <c r="M198" s="33"/>
      <c r="O198" s="62"/>
      <c r="P198" s="62"/>
      <c r="Q198" s="33"/>
      <c r="R198" s="62"/>
      <c r="S198" s="62"/>
      <c r="T198" s="58"/>
      <c r="U198" s="33"/>
      <c r="V198" s="58"/>
      <c r="W198" s="63"/>
      <c r="X198" s="33"/>
      <c r="Y198" s="63"/>
      <c r="Z198" s="63"/>
      <c r="AA198" s="33"/>
      <c r="AB198" s="58"/>
      <c r="AC198" s="32"/>
      <c r="AD198" s="32"/>
      <c r="AE198" s="33"/>
      <c r="AF198" s="32"/>
      <c r="AG198" s="32"/>
      <c r="AH198" s="33"/>
      <c r="AL198" s="33"/>
      <c r="AP198" s="33"/>
      <c r="AT198" s="33"/>
      <c r="AX198" s="33"/>
      <c r="BB198" s="33"/>
      <c r="BE198" s="33"/>
      <c r="BI198" s="33"/>
      <c r="BL198" s="33"/>
      <c r="BP198" s="33"/>
      <c r="BS198" s="33"/>
      <c r="BV198" s="33"/>
      <c r="BZ198" s="33"/>
      <c r="CC198" s="33"/>
    </row>
    <row r="199" spans="1:81" x14ac:dyDescent="0.3">
      <c r="A199" s="78" t="s">
        <v>187</v>
      </c>
      <c r="B199" s="44">
        <v>1</v>
      </c>
      <c r="C199" s="34" t="s">
        <v>156</v>
      </c>
      <c r="D199" s="61">
        <v>746.66700000000003</v>
      </c>
      <c r="E199" s="33" t="s">
        <v>140</v>
      </c>
      <c r="F199" s="56">
        <f>D199/D154</f>
        <v>6.6666696428571433</v>
      </c>
      <c r="G199" s="33" t="s">
        <v>147</v>
      </c>
      <c r="I199" s="33"/>
      <c r="M199" s="33"/>
      <c r="O199" s="62"/>
      <c r="P199" s="62"/>
      <c r="Q199" s="33"/>
      <c r="R199" s="62"/>
      <c r="S199" s="62"/>
      <c r="T199" s="58"/>
      <c r="U199" s="33"/>
      <c r="V199" s="58"/>
      <c r="W199" s="63"/>
      <c r="X199" s="33"/>
      <c r="Y199" s="63"/>
      <c r="Z199" s="63"/>
      <c r="AA199" s="33"/>
      <c r="AB199" s="58"/>
      <c r="AC199" s="32"/>
      <c r="AD199" s="32"/>
      <c r="AE199" s="33"/>
      <c r="AF199" s="32"/>
      <c r="AG199" s="32"/>
      <c r="AH199" s="33"/>
      <c r="AL199" s="33"/>
      <c r="AP199" s="33"/>
      <c r="AT199" s="33"/>
      <c r="AX199" s="33"/>
      <c r="BB199" s="33"/>
      <c r="BE199" s="33"/>
      <c r="BI199" s="33"/>
      <c r="BL199" s="33"/>
      <c r="BP199" s="33"/>
      <c r="BS199" s="33"/>
      <c r="BV199" s="33"/>
      <c r="BZ199" s="33"/>
      <c r="CC199" s="33"/>
    </row>
    <row r="200" spans="1:81" x14ac:dyDescent="0.3">
      <c r="A200" s="91" t="s">
        <v>117</v>
      </c>
      <c r="B200" s="44">
        <v>1</v>
      </c>
      <c r="C200" s="34" t="s">
        <v>182</v>
      </c>
      <c r="D200" s="61">
        <v>260</v>
      </c>
      <c r="E200" s="33" t="s">
        <v>140</v>
      </c>
      <c r="F200" s="56">
        <f>D200/D154</f>
        <v>2.3214285714285716</v>
      </c>
      <c r="G200" s="33" t="s">
        <v>147</v>
      </c>
      <c r="I200" s="33"/>
      <c r="M200" s="33"/>
      <c r="Q200" s="33"/>
      <c r="T200" s="58"/>
      <c r="U200" s="33"/>
      <c r="V200" s="58"/>
      <c r="W200" s="32"/>
      <c r="X200" s="33"/>
      <c r="Y200" s="32"/>
      <c r="Z200" s="32"/>
      <c r="AA200" s="33"/>
      <c r="AB200" s="58"/>
      <c r="AC200" s="32"/>
      <c r="AD200" s="32"/>
      <c r="AE200" s="33"/>
      <c r="AF200" s="32"/>
      <c r="AG200" s="32"/>
      <c r="AH200" s="33"/>
      <c r="AL200" s="33"/>
      <c r="AP200" s="33"/>
      <c r="AT200" s="33"/>
      <c r="AX200" s="33"/>
      <c r="BB200" s="33"/>
      <c r="BE200" s="33"/>
      <c r="BI200" s="33"/>
      <c r="BL200" s="33"/>
      <c r="BP200" s="33"/>
      <c r="BS200" s="33"/>
      <c r="BV200" s="33"/>
      <c r="BZ200" s="33"/>
      <c r="CC200" s="33"/>
    </row>
    <row r="201" spans="1:81" x14ac:dyDescent="0.3">
      <c r="A201" s="91"/>
      <c r="B201" s="44">
        <v>1</v>
      </c>
      <c r="C201" s="34" t="s">
        <v>156</v>
      </c>
      <c r="D201" s="61">
        <v>1.5662799999999999</v>
      </c>
      <c r="E201" s="33" t="s">
        <v>147</v>
      </c>
      <c r="F201" s="56"/>
      <c r="G201" s="33"/>
      <c r="I201" s="33"/>
      <c r="M201" s="33"/>
      <c r="Q201" s="33"/>
      <c r="T201" s="58"/>
      <c r="U201" s="33"/>
      <c r="V201" s="58"/>
      <c r="W201" s="32"/>
      <c r="X201" s="33"/>
      <c r="Y201" s="32"/>
      <c r="Z201" s="32"/>
      <c r="AA201" s="33"/>
      <c r="AB201" s="58"/>
      <c r="AC201" s="32"/>
      <c r="AD201" s="32"/>
      <c r="AE201" s="33"/>
      <c r="AF201" s="32"/>
      <c r="AG201" s="32"/>
      <c r="AH201" s="33"/>
      <c r="AL201" s="33"/>
      <c r="AP201" s="33"/>
      <c r="AT201" s="33"/>
      <c r="AX201" s="33"/>
      <c r="BB201" s="33"/>
      <c r="BE201" s="33"/>
      <c r="BI201" s="33"/>
      <c r="BL201" s="33"/>
      <c r="BP201" s="33"/>
      <c r="BS201" s="33"/>
      <c r="BV201" s="33"/>
      <c r="BZ201" s="33"/>
      <c r="CC201" s="33"/>
    </row>
    <row r="202" spans="1:81" x14ac:dyDescent="0.3">
      <c r="A202" s="91"/>
      <c r="B202" s="44">
        <v>1</v>
      </c>
      <c r="C202" s="34" t="s">
        <v>139</v>
      </c>
      <c r="D202" s="61">
        <v>560</v>
      </c>
      <c r="E202" s="33" t="s">
        <v>140</v>
      </c>
      <c r="F202" s="56">
        <f>D202/D154</f>
        <v>5</v>
      </c>
      <c r="G202" s="33" t="s">
        <v>147</v>
      </c>
      <c r="H202" s="58"/>
      <c r="I202" s="33"/>
      <c r="K202" s="58"/>
      <c r="L202" s="58"/>
      <c r="M202" s="33"/>
      <c r="Q202" s="33"/>
      <c r="U202" s="33"/>
      <c r="X202" s="33"/>
      <c r="Y202" s="32"/>
      <c r="AA202" s="33"/>
      <c r="AC202" s="58"/>
      <c r="AD202" s="58"/>
      <c r="AE202" s="33"/>
      <c r="AH202" s="33"/>
      <c r="AL202" s="33"/>
      <c r="AP202" s="33"/>
      <c r="AT202" s="33"/>
      <c r="AV202" s="58"/>
      <c r="AX202" s="33"/>
      <c r="BB202" s="33"/>
      <c r="BE202" s="33"/>
      <c r="BI202" s="33"/>
      <c r="BL202" s="33"/>
      <c r="BP202" s="33"/>
      <c r="BS202" s="33"/>
      <c r="BV202" s="33"/>
      <c r="BZ202" s="33"/>
      <c r="CC202" s="33"/>
    </row>
    <row r="203" spans="1:81" s="32" customFormat="1" x14ac:dyDescent="0.3">
      <c r="A203" s="91" t="s">
        <v>131</v>
      </c>
      <c r="B203" s="44">
        <v>1</v>
      </c>
      <c r="C203" s="33" t="s">
        <v>164</v>
      </c>
      <c r="D203" s="65">
        <v>80</v>
      </c>
      <c r="E203" s="33" t="s">
        <v>140</v>
      </c>
      <c r="F203" s="66">
        <f>D203/D204</f>
        <v>0.7142857142857143</v>
      </c>
      <c r="G203" s="33" t="s">
        <v>147</v>
      </c>
      <c r="H203" s="65"/>
      <c r="I203" s="33"/>
      <c r="J203" s="65"/>
      <c r="K203" s="65"/>
      <c r="L203" s="65"/>
      <c r="M203" s="33"/>
      <c r="N203" s="65"/>
      <c r="O203" s="65"/>
      <c r="Q203" s="33"/>
      <c r="U203" s="33"/>
      <c r="X203" s="33"/>
      <c r="AA203" s="33"/>
      <c r="AE203" s="33"/>
      <c r="AH203" s="33"/>
      <c r="AL203" s="33"/>
      <c r="AP203" s="33"/>
      <c r="AT203" s="33"/>
      <c r="AX203" s="33"/>
      <c r="BB203" s="33"/>
      <c r="BE203" s="33"/>
      <c r="BI203" s="33"/>
      <c r="BL203" s="33"/>
      <c r="BP203" s="33"/>
      <c r="BS203" s="33"/>
      <c r="BV203" s="33"/>
      <c r="BZ203" s="33"/>
      <c r="CC203" s="33"/>
    </row>
    <row r="204" spans="1:81" s="32" customFormat="1" x14ac:dyDescent="0.3">
      <c r="A204" s="91"/>
      <c r="B204" s="44">
        <v>1</v>
      </c>
      <c r="C204" s="33" t="s">
        <v>147</v>
      </c>
      <c r="D204" s="65">
        <v>112</v>
      </c>
      <c r="E204" s="33" t="s">
        <v>140</v>
      </c>
      <c r="F204" s="65"/>
      <c r="G204" s="65"/>
      <c r="H204" s="65"/>
      <c r="I204" s="33"/>
      <c r="J204" s="65"/>
      <c r="K204" s="65"/>
      <c r="L204" s="65"/>
      <c r="M204" s="33"/>
      <c r="N204" s="65"/>
      <c r="O204" s="65"/>
      <c r="Q204" s="33"/>
      <c r="U204" s="33"/>
      <c r="X204" s="33"/>
      <c r="AA204" s="33"/>
      <c r="AE204" s="33"/>
      <c r="AH204" s="33"/>
      <c r="AL204" s="33"/>
      <c r="AP204" s="33"/>
      <c r="AT204" s="33"/>
      <c r="AX204" s="33"/>
      <c r="BB204" s="33"/>
      <c r="BE204" s="33"/>
      <c r="BI204" s="33"/>
      <c r="BL204" s="33"/>
      <c r="BP204" s="33"/>
      <c r="BS204" s="33"/>
      <c r="BV204" s="33"/>
      <c r="BZ204" s="33"/>
      <c r="CC204" s="33"/>
    </row>
    <row r="205" spans="1:81" s="32" customFormat="1" x14ac:dyDescent="0.3">
      <c r="A205" s="78" t="s">
        <v>188</v>
      </c>
      <c r="B205" s="44">
        <v>1</v>
      </c>
      <c r="C205" s="34" t="s">
        <v>164</v>
      </c>
      <c r="D205" s="61">
        <v>334</v>
      </c>
      <c r="E205" s="33" t="s">
        <v>140</v>
      </c>
      <c r="F205" s="56">
        <f>D205/D204</f>
        <v>2.9821428571428572</v>
      </c>
      <c r="G205" s="33" t="s">
        <v>147</v>
      </c>
      <c r="H205" s="65"/>
      <c r="I205" s="33"/>
      <c r="J205" s="65"/>
      <c r="K205" s="65"/>
      <c r="L205" s="65"/>
      <c r="M205" s="33"/>
      <c r="N205" s="65"/>
      <c r="O205" s="65"/>
      <c r="Q205" s="33"/>
      <c r="U205" s="33"/>
      <c r="X205" s="33"/>
      <c r="AA205" s="33"/>
      <c r="AE205" s="33"/>
      <c r="AH205" s="33"/>
      <c r="AL205" s="33"/>
      <c r="AP205" s="33"/>
      <c r="AT205" s="33"/>
      <c r="AX205" s="33"/>
      <c r="BB205" s="33"/>
      <c r="BE205" s="33"/>
      <c r="BI205" s="33"/>
      <c r="BL205" s="33"/>
      <c r="BP205" s="33"/>
      <c r="BS205" s="33"/>
      <c r="BV205" s="33"/>
      <c r="BZ205" s="33"/>
      <c r="CC205" s="33"/>
    </row>
    <row r="206" spans="1:81" s="32" customFormat="1" x14ac:dyDescent="0.3">
      <c r="A206" s="38" t="s">
        <v>189</v>
      </c>
      <c r="B206" s="44">
        <v>1</v>
      </c>
      <c r="C206" s="34" t="s">
        <v>190</v>
      </c>
      <c r="D206" s="61">
        <v>9</v>
      </c>
      <c r="E206" s="33" t="s">
        <v>167</v>
      </c>
      <c r="F206" s="65"/>
      <c r="G206" s="65"/>
      <c r="H206" s="65"/>
      <c r="I206" s="33"/>
      <c r="J206" s="65"/>
      <c r="K206" s="65"/>
      <c r="L206" s="65"/>
      <c r="M206" s="33"/>
      <c r="N206" s="65"/>
      <c r="O206" s="65"/>
      <c r="Q206" s="33"/>
      <c r="U206" s="33"/>
      <c r="X206" s="33"/>
      <c r="AA206" s="33"/>
      <c r="AE206" s="33"/>
      <c r="AH206" s="33"/>
      <c r="AL206" s="33"/>
      <c r="AP206" s="33"/>
      <c r="AT206" s="33"/>
      <c r="AX206" s="33"/>
      <c r="BB206" s="33"/>
      <c r="BE206" s="33"/>
      <c r="BI206" s="33"/>
      <c r="BL206" s="33"/>
      <c r="BP206" s="33"/>
      <c r="BS206" s="33"/>
      <c r="BV206" s="33"/>
      <c r="BZ206" s="33"/>
      <c r="CC206" s="33"/>
    </row>
    <row r="207" spans="1:81" s="32" customFormat="1" x14ac:dyDescent="0.3">
      <c r="A207" s="38" t="s">
        <v>9</v>
      </c>
      <c r="B207" s="44">
        <v>1</v>
      </c>
      <c r="C207" s="34" t="s">
        <v>156</v>
      </c>
      <c r="D207" s="61">
        <f>756/3720</f>
        <v>0.20322580645161289</v>
      </c>
      <c r="E207" s="33" t="s">
        <v>147</v>
      </c>
      <c r="F207" s="65"/>
      <c r="G207" s="65"/>
      <c r="H207" s="65"/>
      <c r="I207" s="33"/>
      <c r="J207" s="65"/>
      <c r="K207" s="65"/>
      <c r="L207" s="65"/>
      <c r="M207" s="33"/>
      <c r="N207" s="65"/>
      <c r="O207" s="65"/>
      <c r="Q207" s="33"/>
      <c r="U207" s="33"/>
      <c r="X207" s="33"/>
      <c r="AA207" s="33"/>
      <c r="AE207" s="33"/>
      <c r="AH207" s="33"/>
      <c r="AL207" s="33"/>
      <c r="AP207" s="33"/>
      <c r="AT207" s="33"/>
      <c r="AX207" s="33"/>
      <c r="BB207" s="33"/>
      <c r="BE207" s="33"/>
      <c r="BI207" s="33"/>
      <c r="BL207" s="33"/>
      <c r="BP207" s="33"/>
      <c r="BS207" s="33"/>
      <c r="BV207" s="33"/>
      <c r="BZ207" s="33"/>
      <c r="CC207" s="33"/>
    </row>
    <row r="208" spans="1:81" s="32" customFormat="1" x14ac:dyDescent="0.3">
      <c r="A208" s="38" t="s">
        <v>30</v>
      </c>
      <c r="B208" s="44">
        <v>1</v>
      </c>
      <c r="C208" s="34" t="s">
        <v>158</v>
      </c>
      <c r="D208" s="61">
        <f>600/400</f>
        <v>1.5</v>
      </c>
      <c r="E208" s="33" t="s">
        <v>147</v>
      </c>
      <c r="F208" s="65"/>
      <c r="G208" s="65"/>
      <c r="H208" s="65"/>
      <c r="I208" s="33"/>
      <c r="J208" s="65"/>
      <c r="K208" s="65"/>
      <c r="L208" s="65"/>
      <c r="M208" s="33"/>
      <c r="N208" s="65"/>
      <c r="O208" s="65"/>
      <c r="Q208" s="33"/>
      <c r="U208" s="33"/>
      <c r="X208" s="33"/>
      <c r="AA208" s="33"/>
      <c r="AE208" s="33"/>
      <c r="AH208" s="33"/>
      <c r="AL208" s="33"/>
      <c r="AP208" s="33"/>
      <c r="AT208" s="33"/>
      <c r="AX208" s="33"/>
      <c r="BB208" s="33"/>
      <c r="BE208" s="33"/>
      <c r="BI208" s="33"/>
      <c r="BL208" s="33"/>
      <c r="BP208" s="33"/>
      <c r="BS208" s="33"/>
      <c r="BV208" s="33"/>
      <c r="BZ208" s="33"/>
      <c r="CC208" s="33"/>
    </row>
    <row r="209" spans="1:81" s="32" customFormat="1" x14ac:dyDescent="0.3">
      <c r="A209" s="38" t="s">
        <v>191</v>
      </c>
      <c r="B209" s="44">
        <v>1</v>
      </c>
      <c r="C209" s="34" t="s">
        <v>164</v>
      </c>
      <c r="D209" s="61">
        <f>600/400</f>
        <v>1.5</v>
      </c>
      <c r="E209" s="33" t="s">
        <v>147</v>
      </c>
      <c r="F209" s="65"/>
      <c r="G209" s="65"/>
      <c r="H209" s="65"/>
      <c r="I209" s="33"/>
      <c r="J209" s="65"/>
      <c r="K209" s="65"/>
      <c r="L209" s="65"/>
      <c r="M209" s="33"/>
      <c r="N209" s="65"/>
      <c r="O209" s="65"/>
      <c r="Q209" s="33"/>
      <c r="U209" s="33"/>
      <c r="X209" s="33"/>
      <c r="AA209" s="33"/>
      <c r="AE209" s="33"/>
      <c r="AH209" s="33"/>
      <c r="AL209" s="33"/>
      <c r="AP209" s="33"/>
      <c r="AT209" s="33"/>
      <c r="AX209" s="33"/>
      <c r="BB209" s="33"/>
      <c r="BE209" s="33"/>
      <c r="BI209" s="33"/>
      <c r="BL209" s="33"/>
      <c r="BP209" s="33"/>
      <c r="BS209" s="33"/>
      <c r="BV209" s="33"/>
      <c r="BZ209" s="33"/>
      <c r="CC209" s="33"/>
    </row>
    <row r="210" spans="1:81" s="32" customFormat="1" x14ac:dyDescent="0.3">
      <c r="A210" s="38" t="s">
        <v>45</v>
      </c>
      <c r="B210" s="44">
        <v>1</v>
      </c>
      <c r="C210" s="34" t="s">
        <v>156</v>
      </c>
      <c r="D210" s="61">
        <f>3600/2400</f>
        <v>1.5</v>
      </c>
      <c r="E210" s="33" t="s">
        <v>147</v>
      </c>
      <c r="F210" s="65"/>
      <c r="G210" s="65"/>
      <c r="H210" s="65"/>
      <c r="I210" s="33"/>
      <c r="J210" s="65"/>
      <c r="K210" s="65"/>
      <c r="L210" s="65"/>
      <c r="M210" s="33"/>
      <c r="N210" s="65"/>
      <c r="O210" s="65"/>
      <c r="Q210" s="33"/>
      <c r="U210" s="33"/>
      <c r="X210" s="33"/>
      <c r="AA210" s="33"/>
      <c r="AE210" s="33"/>
      <c r="AH210" s="33"/>
      <c r="AL210" s="33"/>
      <c r="AP210" s="33"/>
      <c r="AT210" s="33"/>
      <c r="AX210" s="33"/>
      <c r="BB210" s="33"/>
      <c r="BE210" s="33"/>
      <c r="BI210" s="33"/>
      <c r="BL210" s="33"/>
      <c r="BP210" s="33"/>
      <c r="BS210" s="33"/>
      <c r="BV210" s="33"/>
      <c r="BZ210" s="33"/>
      <c r="CC210" s="33"/>
    </row>
    <row r="211" spans="1:81" x14ac:dyDescent="0.3">
      <c r="A211" s="38" t="s">
        <v>192</v>
      </c>
      <c r="B211" s="44">
        <v>1</v>
      </c>
      <c r="C211" s="34" t="s">
        <v>156</v>
      </c>
      <c r="D211" s="44">
        <v>153.125</v>
      </c>
      <c r="E211" s="33" t="s">
        <v>140</v>
      </c>
      <c r="F211" s="56">
        <f>D211/D154</f>
        <v>1.3671875</v>
      </c>
      <c r="G211" s="33" t="s">
        <v>147</v>
      </c>
      <c r="H211" s="58"/>
      <c r="K211" s="58"/>
      <c r="L211" s="58"/>
      <c r="Y211" s="32"/>
      <c r="AC211" s="58"/>
      <c r="AD211" s="58"/>
      <c r="AV211" s="58"/>
    </row>
    <row r="212" spans="1:81" s="32" customFormat="1" x14ac:dyDescent="0.3">
      <c r="A212" s="91" t="s">
        <v>130</v>
      </c>
      <c r="B212" s="44">
        <v>1</v>
      </c>
      <c r="C212" s="33" t="s">
        <v>181</v>
      </c>
      <c r="D212" s="61">
        <v>1</v>
      </c>
      <c r="E212" s="33" t="s">
        <v>164</v>
      </c>
      <c r="F212" s="56">
        <f>F213</f>
        <v>3.0446428571428572</v>
      </c>
      <c r="G212" s="33" t="s">
        <v>147</v>
      </c>
      <c r="I212" s="44"/>
      <c r="M212" s="44"/>
      <c r="Q212" s="44"/>
      <c r="U212" s="44"/>
      <c r="X212" s="44"/>
      <c r="AA212" s="44"/>
      <c r="AE212" s="44"/>
      <c r="AH212" s="44"/>
      <c r="AL212" s="44"/>
      <c r="AP212" s="44"/>
      <c r="AT212" s="44"/>
      <c r="AX212" s="44"/>
      <c r="BB212" s="44"/>
      <c r="BE212" s="44"/>
      <c r="BI212" s="44"/>
      <c r="BL212" s="44"/>
      <c r="BP212" s="44"/>
      <c r="BS212" s="44"/>
      <c r="BV212" s="44"/>
      <c r="BZ212" s="44"/>
      <c r="CC212" s="44"/>
    </row>
    <row r="213" spans="1:81" s="32" customFormat="1" x14ac:dyDescent="0.3">
      <c r="A213" s="91"/>
      <c r="B213" s="44">
        <v>1</v>
      </c>
      <c r="C213" s="33" t="s">
        <v>164</v>
      </c>
      <c r="D213" s="61">
        <f>(355+327)/2</f>
        <v>341</v>
      </c>
      <c r="E213" s="33" t="s">
        <v>140</v>
      </c>
      <c r="F213" s="56">
        <f>D213/D154</f>
        <v>3.0446428571428572</v>
      </c>
      <c r="G213" s="33" t="s">
        <v>147</v>
      </c>
      <c r="I213" s="44"/>
      <c r="M213" s="44"/>
      <c r="Q213" s="44"/>
      <c r="U213" s="44"/>
      <c r="X213" s="44"/>
      <c r="AA213" s="44"/>
      <c r="AE213" s="44"/>
      <c r="AH213" s="44"/>
      <c r="AL213" s="44"/>
      <c r="AP213" s="44"/>
      <c r="AT213" s="44"/>
      <c r="AX213" s="44"/>
      <c r="BB213" s="44"/>
      <c r="BE213" s="44"/>
      <c r="BI213" s="44"/>
      <c r="BL213" s="44"/>
      <c r="BP213" s="44"/>
      <c r="BS213" s="44"/>
      <c r="BV213" s="44"/>
      <c r="BZ213" s="44"/>
      <c r="CC213" s="44"/>
    </row>
    <row r="214" spans="1:81" s="32" customFormat="1" x14ac:dyDescent="0.3">
      <c r="A214" s="91"/>
      <c r="B214" s="44">
        <v>1</v>
      </c>
      <c r="C214" s="34" t="s">
        <v>193</v>
      </c>
      <c r="D214" s="61">
        <f>(2.2+2.5)/2</f>
        <v>2.35</v>
      </c>
      <c r="E214" s="33" t="s">
        <v>140</v>
      </c>
      <c r="F214" s="56">
        <f>D214/D154</f>
        <v>2.0982142857142859E-2</v>
      </c>
      <c r="G214" s="33" t="s">
        <v>147</v>
      </c>
      <c r="I214" s="44"/>
      <c r="M214" s="44"/>
      <c r="Q214" s="44"/>
      <c r="U214" s="44"/>
      <c r="X214" s="44"/>
      <c r="AA214" s="44"/>
      <c r="AE214" s="44"/>
      <c r="AH214" s="44"/>
      <c r="AL214" s="44"/>
      <c r="AP214" s="44"/>
      <c r="AT214" s="44"/>
      <c r="AX214" s="44"/>
      <c r="BB214" s="44"/>
      <c r="BE214" s="44"/>
      <c r="BI214" s="44"/>
      <c r="BL214" s="44"/>
      <c r="BP214" s="44"/>
      <c r="BS214" s="44"/>
      <c r="BV214" s="44"/>
      <c r="BZ214" s="44"/>
      <c r="CC214" s="44"/>
    </row>
    <row r="215" spans="1:81" s="43" customFormat="1" x14ac:dyDescent="0.3">
      <c r="A215" s="38" t="s">
        <v>194</v>
      </c>
      <c r="B215" s="44">
        <v>1</v>
      </c>
      <c r="C215" s="34" t="s">
        <v>181</v>
      </c>
      <c r="D215" s="61">
        <v>640</v>
      </c>
      <c r="E215" s="33" t="s">
        <v>140</v>
      </c>
      <c r="F215" s="56">
        <f>D215/D154</f>
        <v>5.7142857142857144</v>
      </c>
      <c r="G215" s="33" t="s">
        <v>147</v>
      </c>
      <c r="H215" s="39"/>
      <c r="I215" s="44"/>
      <c r="J215" s="40"/>
      <c r="K215" s="39"/>
      <c r="L215" s="39"/>
      <c r="M215" s="44"/>
      <c r="N215" s="40"/>
      <c r="O215" s="39"/>
      <c r="P215" s="39"/>
      <c r="Q215" s="44"/>
      <c r="R215" s="39"/>
      <c r="S215" s="40"/>
      <c r="T215" s="39"/>
      <c r="U215" s="44"/>
      <c r="V215" s="39"/>
      <c r="W215" s="39"/>
      <c r="X215" s="44"/>
      <c r="Y215" s="40"/>
      <c r="Z215" s="39"/>
      <c r="AA215" s="44"/>
      <c r="AB215" s="41"/>
      <c r="AC215" s="39"/>
      <c r="AD215" s="42"/>
      <c r="AE215" s="44"/>
      <c r="AF215" s="39"/>
      <c r="AG215" s="40"/>
      <c r="AH215" s="44"/>
      <c r="AI215" s="39"/>
      <c r="AJ215" s="39"/>
      <c r="AK215" s="39"/>
      <c r="AL215" s="44"/>
      <c r="AM215" s="40"/>
      <c r="AN215" s="39"/>
      <c r="AO215" s="40"/>
      <c r="AP215" s="44"/>
      <c r="AQ215" s="39"/>
      <c r="AR215" s="40"/>
      <c r="AS215" s="39"/>
      <c r="AT215" s="44"/>
      <c r="AU215" s="40"/>
      <c r="AV215" s="39"/>
      <c r="AW215" s="40"/>
      <c r="AX215" s="44"/>
      <c r="AY215" s="39"/>
      <c r="AZ215" s="42"/>
      <c r="BA215" s="39"/>
      <c r="BB215" s="44"/>
      <c r="BE215" s="44"/>
      <c r="BI215" s="44"/>
      <c r="BL215" s="44"/>
      <c r="BP215" s="44"/>
      <c r="BS215" s="44"/>
      <c r="BV215" s="44"/>
      <c r="BZ215" s="44"/>
      <c r="CC215" s="44"/>
    </row>
    <row r="216" spans="1:81" s="43" customFormat="1" x14ac:dyDescent="0.3">
      <c r="A216" s="91" t="s">
        <v>135</v>
      </c>
      <c r="B216" s="44">
        <v>1</v>
      </c>
      <c r="C216" s="34" t="s">
        <v>195</v>
      </c>
      <c r="D216" s="61">
        <v>196</v>
      </c>
      <c r="E216" s="33" t="s">
        <v>140</v>
      </c>
      <c r="F216" s="56">
        <f>D216/D154</f>
        <v>1.75</v>
      </c>
      <c r="G216" s="33" t="s">
        <v>147</v>
      </c>
      <c r="H216" s="39"/>
      <c r="I216" s="44"/>
      <c r="J216" s="39"/>
      <c r="K216" s="42"/>
      <c r="L216" s="39"/>
      <c r="M216" s="44"/>
      <c r="N216" s="39"/>
      <c r="O216" s="42"/>
      <c r="P216" s="39"/>
      <c r="Q216" s="44"/>
      <c r="R216" s="39"/>
      <c r="S216" s="39"/>
      <c r="T216" s="42"/>
      <c r="U216" s="44"/>
      <c r="V216" s="39"/>
      <c r="W216" s="39"/>
      <c r="X216" s="44"/>
      <c r="Y216" s="39"/>
      <c r="Z216" s="42"/>
      <c r="AA216" s="44"/>
      <c r="AB216" s="39"/>
      <c r="AD216" s="39"/>
      <c r="AE216" s="44"/>
      <c r="AF216" s="42"/>
      <c r="AG216" s="39"/>
      <c r="AH216" s="44"/>
      <c r="AI216" s="42"/>
      <c r="AJ216" s="39"/>
      <c r="AK216" s="39"/>
      <c r="AL216" s="44"/>
      <c r="AM216" s="39"/>
      <c r="AN216" s="42"/>
      <c r="AO216" s="39"/>
      <c r="AP216" s="44"/>
      <c r="AQ216" s="42"/>
      <c r="AR216" s="39"/>
      <c r="AS216" s="42"/>
      <c r="AT216" s="44"/>
      <c r="AU216" s="39"/>
      <c r="AV216" s="40"/>
      <c r="AW216" s="39"/>
      <c r="AX216" s="44"/>
      <c r="AY216" s="42"/>
      <c r="AZ216" s="39"/>
      <c r="BA216" s="42"/>
      <c r="BB216" s="44"/>
      <c r="BC216" s="39"/>
      <c r="BE216" s="44"/>
      <c r="BI216" s="44"/>
      <c r="BL216" s="44"/>
      <c r="BP216" s="44"/>
      <c r="BS216" s="44"/>
      <c r="BV216" s="44"/>
      <c r="BZ216" s="44"/>
      <c r="CC216" s="44"/>
    </row>
    <row r="217" spans="1:81" ht="13.8" customHeight="1" x14ac:dyDescent="0.3">
      <c r="A217" s="91"/>
      <c r="B217" s="44">
        <v>1</v>
      </c>
      <c r="C217" s="34" t="s">
        <v>196</v>
      </c>
      <c r="D217" s="61">
        <v>280</v>
      </c>
      <c r="E217" s="33" t="s">
        <v>140</v>
      </c>
      <c r="F217" s="56">
        <f>D217/D154</f>
        <v>2.5</v>
      </c>
      <c r="G217" s="33" t="s">
        <v>147</v>
      </c>
    </row>
    <row r="218" spans="1:81" x14ac:dyDescent="0.3">
      <c r="A218" s="73" t="s">
        <v>120</v>
      </c>
      <c r="B218" s="44">
        <v>1</v>
      </c>
      <c r="C218" s="34" t="s">
        <v>158</v>
      </c>
      <c r="D218" s="61">
        <v>112</v>
      </c>
      <c r="E218" s="33" t="s">
        <v>140</v>
      </c>
      <c r="F218" s="56">
        <f>D218/D154</f>
        <v>1</v>
      </c>
      <c r="G218" s="33" t="s">
        <v>147</v>
      </c>
    </row>
    <row r="219" spans="1:81" x14ac:dyDescent="0.3">
      <c r="A219" s="73" t="s">
        <v>126</v>
      </c>
      <c r="B219" s="44">
        <v>1</v>
      </c>
      <c r="C219" s="34" t="s">
        <v>164</v>
      </c>
      <c r="D219" s="61">
        <v>0.67513000000000001</v>
      </c>
      <c r="E219" s="33" t="s">
        <v>147</v>
      </c>
      <c r="F219" s="56"/>
      <c r="G219" s="33"/>
    </row>
    <row r="220" spans="1:81" x14ac:dyDescent="0.3">
      <c r="A220" s="77"/>
    </row>
  </sheetData>
  <mergeCells count="63">
    <mergeCell ref="AO1:AQ1"/>
    <mergeCell ref="AS1:AU1"/>
    <mergeCell ref="W1:Y1"/>
    <mergeCell ref="Z1:AB1"/>
    <mergeCell ref="AD1:AF1"/>
    <mergeCell ref="AG1:AI1"/>
    <mergeCell ref="AK1:AM1"/>
    <mergeCell ref="A216:A217"/>
    <mergeCell ref="B141:B142"/>
    <mergeCell ref="D1:F1"/>
    <mergeCell ref="H1:J1"/>
    <mergeCell ref="A190:A191"/>
    <mergeCell ref="A197:A198"/>
    <mergeCell ref="A200:A202"/>
    <mergeCell ref="A203:A204"/>
    <mergeCell ref="A212:A214"/>
    <mergeCell ref="A180:A181"/>
    <mergeCell ref="A182:A183"/>
    <mergeCell ref="A184:A185"/>
    <mergeCell ref="A186:A187"/>
    <mergeCell ref="A188:A189"/>
    <mergeCell ref="C141:C142"/>
    <mergeCell ref="D141:D142"/>
    <mergeCell ref="E141:E142"/>
    <mergeCell ref="B155:B156"/>
    <mergeCell ref="C155:C156"/>
    <mergeCell ref="D155:D156"/>
    <mergeCell ref="E155:E156"/>
    <mergeCell ref="BD2:BE2"/>
    <mergeCell ref="AW2:AX2"/>
    <mergeCell ref="BA2:BB2"/>
    <mergeCell ref="AW1:AY1"/>
    <mergeCell ref="BA1:BC1"/>
    <mergeCell ref="BD1:BF1"/>
    <mergeCell ref="AS2:AT2"/>
    <mergeCell ref="AD2:AE2"/>
    <mergeCell ref="AG2:AH2"/>
    <mergeCell ref="AK2:AL2"/>
    <mergeCell ref="AO2:AP2"/>
    <mergeCell ref="Z2:AA2"/>
    <mergeCell ref="L2:M2"/>
    <mergeCell ref="P2:Q2"/>
    <mergeCell ref="T2:U2"/>
    <mergeCell ref="W2:X2"/>
    <mergeCell ref="L1:N1"/>
    <mergeCell ref="P1:R1"/>
    <mergeCell ref="T1:V1"/>
    <mergeCell ref="D2:E2"/>
    <mergeCell ref="H2:I2"/>
    <mergeCell ref="BH2:BI2"/>
    <mergeCell ref="BK2:BL2"/>
    <mergeCell ref="BH1:BJ1"/>
    <mergeCell ref="BK1:BM1"/>
    <mergeCell ref="BY2:BZ2"/>
    <mergeCell ref="CB2:CC2"/>
    <mergeCell ref="BO2:BP2"/>
    <mergeCell ref="BR2:BS2"/>
    <mergeCell ref="BU2:BV2"/>
    <mergeCell ref="BO1:BQ1"/>
    <mergeCell ref="BR1:BT1"/>
    <mergeCell ref="BU1:BW1"/>
    <mergeCell ref="BY1:CA1"/>
    <mergeCell ref="CB1:CD1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15"/>
  <sheetViews>
    <sheetView zoomScale="70" zoomScaleNormal="70" workbookViewId="0">
      <pane xSplit="1" ySplit="3" topLeftCell="B165" activePane="bottomRight" state="frozen"/>
      <selection pane="topRight" activeCell="B1" sqref="B1"/>
      <selection pane="bottomLeft" activeCell="A4" sqref="A4"/>
      <selection pane="bottomRight" activeCell="G178" sqref="G178"/>
    </sheetView>
  </sheetViews>
  <sheetFormatPr defaultRowHeight="14.4" x14ac:dyDescent="0.3"/>
  <cols>
    <col min="1" max="1" width="28.33203125" style="49" customWidth="1"/>
    <col min="2" max="2" width="9.21875" style="44" customWidth="1"/>
    <col min="3" max="3" width="10.33203125" style="44" customWidth="1"/>
    <col min="4" max="4" width="9.88671875" style="44" customWidth="1"/>
    <col min="5" max="5" width="10.33203125" style="44" customWidth="1"/>
    <col min="6" max="6" width="10" style="44" customWidth="1"/>
    <col min="7" max="7" width="10.33203125" style="44" customWidth="1"/>
    <col min="8" max="8" width="12.77734375" style="44" customWidth="1"/>
    <col min="9" max="9" width="10.33203125" style="44" customWidth="1"/>
    <col min="10" max="10" width="10" style="44" customWidth="1"/>
    <col min="11" max="13" width="10.33203125" style="44" customWidth="1"/>
    <col min="14" max="14" width="10" style="44" customWidth="1"/>
    <col min="15" max="17" width="10.33203125" style="44" customWidth="1"/>
    <col min="18" max="18" width="10" style="44" customWidth="1"/>
    <col min="19" max="21" width="10.33203125" style="44" customWidth="1"/>
    <col min="22" max="22" width="10" style="44" customWidth="1"/>
    <col min="23" max="25" width="10.33203125" style="44" customWidth="1"/>
    <col min="26" max="26" width="10" style="44" customWidth="1"/>
    <col min="27" max="28" width="10.33203125" style="44" customWidth="1"/>
    <col min="29" max="29" width="10" style="44" customWidth="1"/>
    <col min="30" max="32" width="10.33203125" style="44" customWidth="1"/>
    <col min="33" max="33" width="10" style="44" customWidth="1"/>
    <col min="34" max="35" width="10.33203125" style="44" customWidth="1"/>
    <col min="36" max="36" width="10" style="44" customWidth="1"/>
    <col min="37" max="39" width="10.33203125" style="44" customWidth="1"/>
    <col min="40" max="40" width="10" style="44" customWidth="1"/>
    <col min="41" max="43" width="10.33203125" style="44" customWidth="1"/>
    <col min="44" max="44" width="10" style="44" customWidth="1"/>
    <col min="45" max="47" width="10.33203125" style="44" customWidth="1"/>
    <col min="48" max="48" width="10" style="44" customWidth="1"/>
    <col min="49" max="50" width="10.33203125" style="44" customWidth="1"/>
    <col min="51" max="51" width="10" style="44" customWidth="1"/>
    <col min="52" max="54" width="10.33203125" style="44" customWidth="1"/>
    <col min="55" max="55" width="10" style="44" customWidth="1"/>
    <col min="56" max="57" width="10.33203125" style="44" customWidth="1"/>
    <col min="58" max="58" width="10" style="44" customWidth="1"/>
    <col min="59" max="61" width="10.33203125" style="44" customWidth="1"/>
    <col min="62" max="62" width="10" style="44" customWidth="1"/>
    <col min="63" max="64" width="10.33203125" style="44" customWidth="1"/>
    <col min="65" max="65" width="10" style="44" customWidth="1"/>
    <col min="66" max="68" width="10.33203125" style="44" customWidth="1"/>
    <col min="69" max="69" width="10" style="44" customWidth="1"/>
    <col min="70" max="71" width="10.33203125" style="44" customWidth="1"/>
    <col min="72" max="72" width="10" style="44" customWidth="1"/>
    <col min="73" max="74" width="10.33203125" style="44" customWidth="1"/>
    <col min="75" max="75" width="10" style="44" customWidth="1"/>
    <col min="76" max="78" width="10.33203125" style="44" customWidth="1"/>
    <col min="79" max="79" width="10" style="44" customWidth="1"/>
    <col min="80" max="80" width="10.33203125" style="44" customWidth="1"/>
    <col min="81" max="81" width="8.88671875" style="44"/>
    <col min="82" max="82" width="10" style="44" customWidth="1"/>
    <col min="83" max="16384" width="8.88671875" style="44"/>
  </cols>
  <sheetData>
    <row r="1" spans="1:82" s="47" customFormat="1" ht="29.4" customHeight="1" x14ac:dyDescent="0.3">
      <c r="A1" s="46"/>
      <c r="B1" s="49"/>
      <c r="D1" s="83" t="s">
        <v>207</v>
      </c>
      <c r="E1" s="83"/>
      <c r="F1" s="83"/>
      <c r="H1" s="83" t="s">
        <v>208</v>
      </c>
      <c r="I1" s="83"/>
      <c r="J1" s="83"/>
      <c r="L1" s="83" t="s">
        <v>209</v>
      </c>
      <c r="M1" s="83"/>
      <c r="N1" s="83"/>
      <c r="P1" s="83" t="s">
        <v>210</v>
      </c>
      <c r="Q1" s="83"/>
      <c r="R1" s="83"/>
      <c r="T1" s="83" t="s">
        <v>211</v>
      </c>
      <c r="U1" s="83"/>
      <c r="V1" s="83"/>
      <c r="W1" s="48"/>
      <c r="X1" s="83" t="s">
        <v>212</v>
      </c>
      <c r="Y1" s="83"/>
      <c r="Z1" s="48"/>
      <c r="AA1" s="83" t="s">
        <v>213</v>
      </c>
      <c r="AB1" s="83"/>
      <c r="AC1" s="83"/>
      <c r="AE1" s="83" t="s">
        <v>214</v>
      </c>
      <c r="AF1" s="83"/>
      <c r="AG1" s="83"/>
      <c r="AH1" s="83" t="s">
        <v>215</v>
      </c>
      <c r="AI1" s="83"/>
      <c r="AJ1" s="83"/>
      <c r="AL1" s="83" t="s">
        <v>216</v>
      </c>
      <c r="AM1" s="83"/>
      <c r="AN1" s="83"/>
      <c r="AP1" s="83" t="s">
        <v>217</v>
      </c>
      <c r="AQ1" s="83"/>
      <c r="AR1" s="83"/>
      <c r="AT1" s="83" t="s">
        <v>218</v>
      </c>
      <c r="AU1" s="83"/>
      <c r="AV1" s="83"/>
      <c r="AW1" s="83" t="s">
        <v>219</v>
      </c>
      <c r="AX1" s="83"/>
      <c r="AY1" s="83"/>
      <c r="BA1" s="83" t="s">
        <v>220</v>
      </c>
      <c r="BB1" s="83"/>
      <c r="BC1" s="83"/>
      <c r="BD1" s="83" t="s">
        <v>221</v>
      </c>
      <c r="BE1" s="83"/>
      <c r="BF1" s="83"/>
      <c r="BH1" s="83" t="s">
        <v>222</v>
      </c>
      <c r="BI1" s="83"/>
      <c r="BJ1" s="83"/>
      <c r="BK1" s="83" t="s">
        <v>223</v>
      </c>
      <c r="BL1" s="83"/>
      <c r="BM1" s="83"/>
      <c r="BO1" s="83" t="s">
        <v>224</v>
      </c>
      <c r="BP1" s="83"/>
      <c r="BQ1" s="83"/>
      <c r="BR1" s="83" t="s">
        <v>225</v>
      </c>
      <c r="BS1" s="83"/>
      <c r="BT1" s="83"/>
      <c r="BU1" s="83" t="s">
        <v>56</v>
      </c>
      <c r="BV1" s="83"/>
      <c r="BW1" s="83"/>
      <c r="BY1" s="83" t="s">
        <v>57</v>
      </c>
      <c r="BZ1" s="83"/>
      <c r="CA1" s="83"/>
      <c r="CB1" s="83" t="s">
        <v>58</v>
      </c>
      <c r="CC1" s="83"/>
      <c r="CD1" s="83"/>
    </row>
    <row r="2" spans="1:82" ht="15" hidden="1" customHeight="1" x14ac:dyDescent="0.3">
      <c r="B2" s="49"/>
      <c r="C2" s="50"/>
      <c r="D2" s="84">
        <v>1887</v>
      </c>
      <c r="E2" s="84"/>
      <c r="F2" s="51"/>
      <c r="G2" s="50"/>
      <c r="H2" s="84">
        <v>1888</v>
      </c>
      <c r="I2" s="84"/>
      <c r="J2" s="51"/>
      <c r="K2" s="50"/>
      <c r="L2" s="84">
        <v>1889</v>
      </c>
      <c r="M2" s="84"/>
      <c r="N2" s="51"/>
      <c r="O2" s="50"/>
      <c r="P2" s="84">
        <v>1890</v>
      </c>
      <c r="Q2" s="84"/>
      <c r="R2" s="51"/>
      <c r="S2" s="50"/>
      <c r="T2" s="84">
        <v>1891</v>
      </c>
      <c r="U2" s="84"/>
      <c r="V2" s="51"/>
      <c r="W2" s="51"/>
      <c r="X2" s="84">
        <v>1892</v>
      </c>
      <c r="Y2" s="84"/>
      <c r="Z2" s="51"/>
      <c r="AA2" s="84">
        <v>1893</v>
      </c>
      <c r="AB2" s="84"/>
      <c r="AC2" s="51"/>
      <c r="AE2" s="84">
        <v>1894</v>
      </c>
      <c r="AF2" s="84"/>
      <c r="AG2" s="51"/>
      <c r="AH2" s="84">
        <v>1895</v>
      </c>
      <c r="AI2" s="84"/>
      <c r="AJ2" s="51"/>
      <c r="AK2" s="50"/>
      <c r="AL2" s="84">
        <v>1896</v>
      </c>
      <c r="AM2" s="84"/>
      <c r="AN2" s="51"/>
      <c r="AO2" s="50"/>
      <c r="AP2" s="84">
        <v>1897</v>
      </c>
      <c r="AQ2" s="84"/>
      <c r="AR2" s="51"/>
      <c r="AS2" s="50"/>
      <c r="AT2" s="84">
        <v>1898</v>
      </c>
      <c r="AU2" s="84"/>
      <c r="AV2" s="51"/>
      <c r="AW2" s="84">
        <v>1899</v>
      </c>
      <c r="AX2" s="84"/>
      <c r="AY2" s="51"/>
      <c r="AZ2" s="50"/>
      <c r="BA2" s="84">
        <v>1900</v>
      </c>
      <c r="BB2" s="84"/>
      <c r="BC2" s="51"/>
      <c r="BD2" s="84">
        <v>1901</v>
      </c>
      <c r="BE2" s="84"/>
      <c r="BF2" s="51"/>
      <c r="BG2" s="50"/>
      <c r="BH2" s="84">
        <v>1906</v>
      </c>
      <c r="BI2" s="84"/>
      <c r="BJ2" s="51"/>
      <c r="BK2" s="84">
        <v>1907</v>
      </c>
      <c r="BL2" s="84"/>
      <c r="BM2" s="51"/>
      <c r="BN2" s="50"/>
      <c r="BO2" s="84">
        <v>1908</v>
      </c>
      <c r="BP2" s="84"/>
      <c r="BQ2" s="51"/>
      <c r="BR2" s="84">
        <v>1909</v>
      </c>
      <c r="BS2" s="84"/>
      <c r="BT2" s="51"/>
      <c r="BU2" s="84">
        <v>1910</v>
      </c>
      <c r="BV2" s="84"/>
      <c r="BW2" s="51"/>
      <c r="BX2" s="50"/>
      <c r="BY2" s="84">
        <v>1911</v>
      </c>
      <c r="BZ2" s="84"/>
      <c r="CA2" s="51"/>
      <c r="CB2" s="84">
        <v>1912</v>
      </c>
      <c r="CC2" s="84"/>
      <c r="CD2" s="51"/>
    </row>
    <row r="3" spans="1:82" s="47" customFormat="1" ht="27.6" customHeight="1" x14ac:dyDescent="0.3">
      <c r="A3" s="68" t="s">
        <v>0</v>
      </c>
      <c r="B3" s="69" t="s">
        <v>283</v>
      </c>
      <c r="C3" s="69" t="s">
        <v>3</v>
      </c>
      <c r="D3" s="70" t="s">
        <v>4</v>
      </c>
      <c r="E3" s="71" t="s">
        <v>201</v>
      </c>
      <c r="F3" s="71" t="s">
        <v>285</v>
      </c>
      <c r="G3" s="69" t="s">
        <v>3</v>
      </c>
      <c r="H3" s="70" t="s">
        <v>4</v>
      </c>
      <c r="I3" s="71" t="s">
        <v>201</v>
      </c>
      <c r="J3" s="71" t="s">
        <v>285</v>
      </c>
      <c r="K3" s="69" t="s">
        <v>3</v>
      </c>
      <c r="L3" s="70" t="s">
        <v>4</v>
      </c>
      <c r="M3" s="71" t="s">
        <v>201</v>
      </c>
      <c r="N3" s="71" t="s">
        <v>285</v>
      </c>
      <c r="O3" s="69" t="s">
        <v>3</v>
      </c>
      <c r="P3" s="70" t="s">
        <v>4</v>
      </c>
      <c r="Q3" s="71" t="s">
        <v>201</v>
      </c>
      <c r="R3" s="71" t="s">
        <v>285</v>
      </c>
      <c r="S3" s="69" t="s">
        <v>3</v>
      </c>
      <c r="T3" s="70" t="s">
        <v>4</v>
      </c>
      <c r="U3" s="71" t="s">
        <v>201</v>
      </c>
      <c r="V3" s="71" t="s">
        <v>285</v>
      </c>
      <c r="W3" s="69" t="s">
        <v>3</v>
      </c>
      <c r="X3" s="70" t="s">
        <v>4</v>
      </c>
      <c r="Y3" s="71" t="s">
        <v>201</v>
      </c>
      <c r="Z3" s="71" t="s">
        <v>285</v>
      </c>
      <c r="AA3" s="70" t="s">
        <v>4</v>
      </c>
      <c r="AB3" s="71" t="s">
        <v>201</v>
      </c>
      <c r="AC3" s="71" t="s">
        <v>285</v>
      </c>
      <c r="AD3" s="69" t="s">
        <v>3</v>
      </c>
      <c r="AE3" s="70" t="s">
        <v>4</v>
      </c>
      <c r="AF3" s="71" t="s">
        <v>201</v>
      </c>
      <c r="AG3" s="71" t="s">
        <v>285</v>
      </c>
      <c r="AH3" s="70" t="s">
        <v>4</v>
      </c>
      <c r="AI3" s="71" t="s">
        <v>201</v>
      </c>
      <c r="AJ3" s="71" t="s">
        <v>285</v>
      </c>
      <c r="AK3" s="69" t="s">
        <v>3</v>
      </c>
      <c r="AL3" s="70" t="s">
        <v>4</v>
      </c>
      <c r="AM3" s="71" t="s">
        <v>201</v>
      </c>
      <c r="AN3" s="71" t="s">
        <v>285</v>
      </c>
      <c r="AO3" s="69" t="s">
        <v>3</v>
      </c>
      <c r="AP3" s="70" t="s">
        <v>4</v>
      </c>
      <c r="AQ3" s="71" t="s">
        <v>201</v>
      </c>
      <c r="AR3" s="71" t="s">
        <v>285</v>
      </c>
      <c r="AS3" s="69" t="s">
        <v>3</v>
      </c>
      <c r="AT3" s="70" t="s">
        <v>4</v>
      </c>
      <c r="AU3" s="71" t="s">
        <v>201</v>
      </c>
      <c r="AV3" s="71" t="s">
        <v>285</v>
      </c>
      <c r="AW3" s="70" t="s">
        <v>4</v>
      </c>
      <c r="AX3" s="71" t="s">
        <v>201</v>
      </c>
      <c r="AY3" s="71" t="s">
        <v>285</v>
      </c>
      <c r="AZ3" s="69" t="s">
        <v>3</v>
      </c>
      <c r="BA3" s="70" t="s">
        <v>4</v>
      </c>
      <c r="BB3" s="71" t="s">
        <v>201</v>
      </c>
      <c r="BC3" s="71" t="s">
        <v>285</v>
      </c>
      <c r="BD3" s="70" t="s">
        <v>4</v>
      </c>
      <c r="BE3" s="71" t="s">
        <v>201</v>
      </c>
      <c r="BF3" s="71" t="s">
        <v>285</v>
      </c>
      <c r="BG3" s="69" t="s">
        <v>3</v>
      </c>
      <c r="BH3" s="70" t="s">
        <v>4</v>
      </c>
      <c r="BI3" s="71" t="s">
        <v>201</v>
      </c>
      <c r="BJ3" s="71" t="s">
        <v>285</v>
      </c>
      <c r="BK3" s="70" t="s">
        <v>4</v>
      </c>
      <c r="BL3" s="71" t="s">
        <v>201</v>
      </c>
      <c r="BM3" s="71" t="s">
        <v>285</v>
      </c>
      <c r="BN3" s="69" t="s">
        <v>3</v>
      </c>
      <c r="BO3" s="70" t="s">
        <v>4</v>
      </c>
      <c r="BP3" s="71" t="s">
        <v>201</v>
      </c>
      <c r="BQ3" s="71" t="s">
        <v>285</v>
      </c>
      <c r="BR3" s="70" t="s">
        <v>4</v>
      </c>
      <c r="BS3" s="71" t="s">
        <v>201</v>
      </c>
      <c r="BT3" s="71" t="s">
        <v>285</v>
      </c>
      <c r="BU3" s="70" t="s">
        <v>4</v>
      </c>
      <c r="BV3" s="71" t="s">
        <v>201</v>
      </c>
      <c r="BW3" s="71" t="s">
        <v>285</v>
      </c>
      <c r="BX3" s="69" t="s">
        <v>3</v>
      </c>
      <c r="BY3" s="70" t="s">
        <v>4</v>
      </c>
      <c r="BZ3" s="71" t="s">
        <v>201</v>
      </c>
      <c r="CA3" s="71" t="s">
        <v>285</v>
      </c>
      <c r="CB3" s="70" t="s">
        <v>4</v>
      </c>
      <c r="CC3" s="71" t="s">
        <v>201</v>
      </c>
      <c r="CD3" s="71" t="s">
        <v>285</v>
      </c>
    </row>
    <row r="4" spans="1:82" x14ac:dyDescent="0.3">
      <c r="A4" s="49" t="s">
        <v>5</v>
      </c>
      <c r="B4" s="49" t="s">
        <v>112</v>
      </c>
      <c r="C4" s="44" t="s">
        <v>34</v>
      </c>
      <c r="D4" s="44">
        <v>254</v>
      </c>
      <c r="E4" s="44">
        <v>729</v>
      </c>
      <c r="F4" s="62">
        <f>IFERROR(E4/D4,"")</f>
        <v>2.8700787401574801</v>
      </c>
      <c r="G4" s="44" t="s">
        <v>34</v>
      </c>
      <c r="H4" s="44">
        <v>193</v>
      </c>
      <c r="I4" s="44">
        <v>473</v>
      </c>
      <c r="J4" s="62">
        <f>IFERROR(I4/H4,"")</f>
        <v>2.4507772020725387</v>
      </c>
      <c r="K4" s="44" t="s">
        <v>34</v>
      </c>
      <c r="L4" s="44">
        <v>159</v>
      </c>
      <c r="M4" s="44">
        <v>615</v>
      </c>
      <c r="N4" s="62">
        <f>IFERROR(M4/L4,"")</f>
        <v>3.8679245283018866</v>
      </c>
      <c r="O4" s="44" t="s">
        <v>34</v>
      </c>
      <c r="P4" s="44">
        <v>78</v>
      </c>
      <c r="Q4" s="44">
        <v>186</v>
      </c>
      <c r="R4" s="62">
        <f>IFERROR(Q4/P4,"")</f>
        <v>2.3846153846153846</v>
      </c>
      <c r="V4" s="62" t="str">
        <f>IFERROR(U4/T4,"")</f>
        <v/>
      </c>
      <c r="Z4" s="62" t="str">
        <f>IFERROR(Y4/X4,"")</f>
        <v/>
      </c>
      <c r="AC4" s="62" t="str">
        <f>IFERROR(AB4/AA4,"")</f>
        <v/>
      </c>
      <c r="AD4" s="44" t="s">
        <v>39</v>
      </c>
      <c r="AE4" s="44">
        <v>252</v>
      </c>
      <c r="AF4" s="44">
        <v>556</v>
      </c>
      <c r="AG4" s="62">
        <f>IFERROR(AF4/AE4,"")</f>
        <v>2.2063492063492065</v>
      </c>
      <c r="AJ4" s="62" t="str">
        <f>IFERROR(AI4/AH4,"")</f>
        <v/>
      </c>
      <c r="AN4" s="62" t="str">
        <f>IFERROR(AM4/AL4,"")</f>
        <v/>
      </c>
      <c r="AR4" s="62" t="str">
        <f>IFERROR(AQ4/AP4,"")</f>
        <v/>
      </c>
      <c r="AV4" s="62" t="str">
        <f>IFERROR(AU4/AT4,"")</f>
        <v/>
      </c>
      <c r="AY4" s="62" t="str">
        <f>IFERROR(AX4/AW4,"")</f>
        <v/>
      </c>
      <c r="BC4" s="62" t="str">
        <f>IFERROR(BB4/BA4,"")</f>
        <v/>
      </c>
      <c r="BF4" s="62" t="str">
        <f>IFERROR(BE4/BD4,"")</f>
        <v/>
      </c>
      <c r="BJ4" s="62" t="str">
        <f>IFERROR(BI4/BH4,"")</f>
        <v/>
      </c>
      <c r="BM4" s="62" t="str">
        <f>IFERROR(BL4/BK4,"")</f>
        <v/>
      </c>
      <c r="BQ4" s="62" t="str">
        <f>IFERROR(BP4/BO4,"")</f>
        <v/>
      </c>
      <c r="BT4" s="62" t="str">
        <f>IFERROR(BS4/BR4,"")</f>
        <v/>
      </c>
      <c r="BW4" s="62" t="str">
        <f>IFERROR(BV4/BU4,"")</f>
        <v/>
      </c>
      <c r="CA4" s="62" t="str">
        <f>IFERROR(BZ4/BY4,"")</f>
        <v/>
      </c>
      <c r="CD4" s="62" t="str">
        <f>IFERROR(CC4/CB4,"")</f>
        <v/>
      </c>
    </row>
    <row r="5" spans="1:82" x14ac:dyDescent="0.3">
      <c r="A5" s="49" t="s">
        <v>202</v>
      </c>
      <c r="B5" s="49" t="s">
        <v>284</v>
      </c>
      <c r="F5" s="62" t="str">
        <f t="shared" ref="F5:F68" si="0">IFERROR(E5/D5,"")</f>
        <v/>
      </c>
      <c r="J5" s="62" t="str">
        <f t="shared" ref="J5:J68" si="1">IFERROR(I5/H5,"")</f>
        <v/>
      </c>
      <c r="N5" s="62" t="str">
        <f t="shared" ref="N5:N68" si="2">IFERROR(M5/L5,"")</f>
        <v/>
      </c>
      <c r="R5" s="62" t="str">
        <f t="shared" ref="R5:R68" si="3">IFERROR(Q5/P5,"")</f>
        <v/>
      </c>
      <c r="V5" s="62" t="str">
        <f t="shared" ref="V5:V68" si="4">IFERROR(U5/T5,"")</f>
        <v/>
      </c>
      <c r="Z5" s="62" t="str">
        <f t="shared" ref="Z5:Z68" si="5">IFERROR(Y5/X5,"")</f>
        <v/>
      </c>
      <c r="AC5" s="62" t="str">
        <f t="shared" ref="AC5:AC68" si="6">IFERROR(AB5/AA5,"")</f>
        <v/>
      </c>
      <c r="AG5" s="62" t="str">
        <f t="shared" ref="AG5:AG68" si="7">IFERROR(AF5/AE5,"")</f>
        <v/>
      </c>
      <c r="AJ5" s="62" t="str">
        <f t="shared" ref="AJ5:AJ68" si="8">IFERROR(AI5/AH5,"")</f>
        <v/>
      </c>
      <c r="AN5" s="62" t="str">
        <f t="shared" ref="AN5:AN68" si="9">IFERROR(AM5/AL5,"")</f>
        <v/>
      </c>
      <c r="AR5" s="62" t="str">
        <f t="shared" ref="AR5:AR68" si="10">IFERROR(AQ5/AP5,"")</f>
        <v/>
      </c>
      <c r="AV5" s="62" t="str">
        <f t="shared" ref="AV5:AV68" si="11">IFERROR(AU5/AT5,"")</f>
        <v/>
      </c>
      <c r="AY5" s="62" t="str">
        <f t="shared" ref="AY5:AY68" si="12">IFERROR(AX5/AW5,"")</f>
        <v/>
      </c>
      <c r="BC5" s="62" t="str">
        <f t="shared" ref="BC5:BC68" si="13">IFERROR(BB5/BA5,"")</f>
        <v/>
      </c>
      <c r="BF5" s="62" t="str">
        <f t="shared" ref="BF5:BF68" si="14">IFERROR(BE5/BD5,"")</f>
        <v/>
      </c>
      <c r="BG5" s="44" t="s">
        <v>39</v>
      </c>
      <c r="BH5" s="44">
        <v>12</v>
      </c>
      <c r="BI5" s="44">
        <v>192</v>
      </c>
      <c r="BJ5" s="62">
        <f t="shared" ref="BJ5:BJ68" si="15">IFERROR(BI5/BH5,"")</f>
        <v>16</v>
      </c>
      <c r="BK5" s="44">
        <v>3</v>
      </c>
      <c r="BL5" s="44">
        <v>42</v>
      </c>
      <c r="BM5" s="62">
        <f t="shared" ref="BM5:BM68" si="16">IFERROR(BL5/BK5,"")</f>
        <v>14</v>
      </c>
      <c r="BN5" s="44" t="s">
        <v>39</v>
      </c>
      <c r="BO5" s="44">
        <v>1</v>
      </c>
      <c r="BP5" s="44">
        <v>20</v>
      </c>
      <c r="BQ5" s="62">
        <f t="shared" ref="BQ5:BQ68" si="17">IFERROR(BP5/BO5,"")</f>
        <v>20</v>
      </c>
      <c r="BT5" s="62" t="str">
        <f t="shared" ref="BT5:BT68" si="18">IFERROR(BS5/BR5,"")</f>
        <v/>
      </c>
      <c r="BW5" s="62" t="str">
        <f t="shared" ref="BW5:BW68" si="19">IFERROR(BV5/BU5,"")</f>
        <v/>
      </c>
      <c r="BX5" s="44" t="s">
        <v>39</v>
      </c>
      <c r="BY5" s="44">
        <v>1</v>
      </c>
      <c r="BZ5" s="44">
        <v>16</v>
      </c>
      <c r="CA5" s="62">
        <f t="shared" ref="CA5:CA68" si="20">IFERROR(BZ5/BY5,"")</f>
        <v>16</v>
      </c>
      <c r="CB5" s="44">
        <v>1</v>
      </c>
      <c r="CC5" s="44">
        <v>4</v>
      </c>
      <c r="CD5" s="62">
        <f t="shared" ref="CD5:CD68" si="21">IFERROR(CC5/CB5,"")</f>
        <v>4</v>
      </c>
    </row>
    <row r="6" spans="1:82" x14ac:dyDescent="0.3">
      <c r="A6" s="49" t="s">
        <v>203</v>
      </c>
      <c r="B6" s="49" t="s">
        <v>284</v>
      </c>
      <c r="F6" s="62" t="str">
        <f t="shared" si="0"/>
        <v/>
      </c>
      <c r="J6" s="62" t="str">
        <f t="shared" si="1"/>
        <v/>
      </c>
      <c r="N6" s="62" t="str">
        <f t="shared" si="2"/>
        <v/>
      </c>
      <c r="R6" s="62" t="str">
        <f t="shared" si="3"/>
        <v/>
      </c>
      <c r="V6" s="62" t="str">
        <f t="shared" si="4"/>
        <v/>
      </c>
      <c r="Z6" s="62" t="str">
        <f t="shared" si="5"/>
        <v/>
      </c>
      <c r="AC6" s="62" t="str">
        <f t="shared" si="6"/>
        <v/>
      </c>
      <c r="AG6" s="62" t="str">
        <f t="shared" si="7"/>
        <v/>
      </c>
      <c r="AJ6" s="62" t="str">
        <f t="shared" si="8"/>
        <v/>
      </c>
      <c r="AN6" s="62" t="str">
        <f t="shared" si="9"/>
        <v/>
      </c>
      <c r="AO6" s="44" t="s">
        <v>39</v>
      </c>
      <c r="AP6" s="44">
        <v>40</v>
      </c>
      <c r="AQ6" s="44">
        <v>75</v>
      </c>
      <c r="AR6" s="62">
        <f t="shared" si="10"/>
        <v>1.875</v>
      </c>
      <c r="AS6" s="44" t="s">
        <v>39</v>
      </c>
      <c r="AT6" s="44">
        <v>10</v>
      </c>
      <c r="AU6" s="44">
        <v>19</v>
      </c>
      <c r="AV6" s="62">
        <f t="shared" si="11"/>
        <v>1.9</v>
      </c>
      <c r="AW6" s="44">
        <v>12</v>
      </c>
      <c r="AX6" s="44">
        <v>24</v>
      </c>
      <c r="AY6" s="62">
        <f t="shared" si="12"/>
        <v>2</v>
      </c>
      <c r="BC6" s="62" t="str">
        <f t="shared" si="13"/>
        <v/>
      </c>
      <c r="BF6" s="62" t="str">
        <f t="shared" si="14"/>
        <v/>
      </c>
      <c r="BG6" s="44" t="s">
        <v>39</v>
      </c>
      <c r="BH6" s="44">
        <v>8</v>
      </c>
      <c r="BI6" s="44">
        <v>21</v>
      </c>
      <c r="BJ6" s="62">
        <f t="shared" si="15"/>
        <v>2.625</v>
      </c>
      <c r="BK6" s="44">
        <v>13</v>
      </c>
      <c r="BL6" s="44">
        <v>39</v>
      </c>
      <c r="BM6" s="62">
        <f t="shared" si="16"/>
        <v>3</v>
      </c>
      <c r="BN6" s="44" t="s">
        <v>39</v>
      </c>
      <c r="BO6" s="44">
        <v>15</v>
      </c>
      <c r="BP6" s="44">
        <v>39</v>
      </c>
      <c r="BQ6" s="62">
        <f t="shared" si="17"/>
        <v>2.6</v>
      </c>
      <c r="BR6" s="44">
        <v>7</v>
      </c>
      <c r="BS6" s="44">
        <v>28</v>
      </c>
      <c r="BT6" s="62">
        <f t="shared" si="18"/>
        <v>4</v>
      </c>
      <c r="BU6" s="44">
        <v>6</v>
      </c>
      <c r="BV6" s="44">
        <v>20</v>
      </c>
      <c r="BW6" s="62">
        <f t="shared" si="19"/>
        <v>3.3333333333333335</v>
      </c>
      <c r="BX6" s="44" t="s">
        <v>39</v>
      </c>
      <c r="BY6" s="44">
        <v>14</v>
      </c>
      <c r="BZ6" s="44">
        <v>75</v>
      </c>
      <c r="CA6" s="62">
        <f t="shared" si="20"/>
        <v>5.3571428571428568</v>
      </c>
      <c r="CB6" s="44">
        <v>16</v>
      </c>
      <c r="CC6" s="44">
        <v>103</v>
      </c>
      <c r="CD6" s="62">
        <f t="shared" si="21"/>
        <v>6.4375</v>
      </c>
    </row>
    <row r="7" spans="1:82" x14ac:dyDescent="0.3">
      <c r="A7" s="49" t="s">
        <v>204</v>
      </c>
      <c r="B7" s="49" t="s">
        <v>284</v>
      </c>
      <c r="F7" s="62" t="str">
        <f t="shared" si="0"/>
        <v/>
      </c>
      <c r="J7" s="62" t="str">
        <f t="shared" si="1"/>
        <v/>
      </c>
      <c r="N7" s="62" t="str">
        <f t="shared" si="2"/>
        <v/>
      </c>
      <c r="R7" s="62" t="str">
        <f t="shared" si="3"/>
        <v/>
      </c>
      <c r="V7" s="62" t="str">
        <f t="shared" si="4"/>
        <v/>
      </c>
      <c r="Z7" s="62" t="str">
        <f t="shared" si="5"/>
        <v/>
      </c>
      <c r="AC7" s="62" t="str">
        <f t="shared" si="6"/>
        <v/>
      </c>
      <c r="AG7" s="62" t="str">
        <f t="shared" si="7"/>
        <v/>
      </c>
      <c r="AJ7" s="62" t="str">
        <f t="shared" si="8"/>
        <v/>
      </c>
      <c r="AN7" s="62" t="str">
        <f t="shared" si="9"/>
        <v/>
      </c>
      <c r="AO7" s="44" t="s">
        <v>39</v>
      </c>
      <c r="AP7" s="44">
        <v>30</v>
      </c>
      <c r="AQ7" s="44">
        <v>75</v>
      </c>
      <c r="AR7" s="62">
        <f t="shared" si="10"/>
        <v>2.5</v>
      </c>
      <c r="AS7" s="44" t="s">
        <v>39</v>
      </c>
      <c r="AT7" s="44">
        <v>20</v>
      </c>
      <c r="AU7" s="44">
        <v>50</v>
      </c>
      <c r="AV7" s="62">
        <f t="shared" si="11"/>
        <v>2.5</v>
      </c>
      <c r="AY7" s="62" t="str">
        <f t="shared" si="12"/>
        <v/>
      </c>
      <c r="BC7" s="62" t="str">
        <f t="shared" si="13"/>
        <v/>
      </c>
      <c r="BF7" s="62" t="str">
        <f t="shared" si="14"/>
        <v/>
      </c>
      <c r="BJ7" s="62" t="str">
        <f t="shared" si="15"/>
        <v/>
      </c>
      <c r="BM7" s="62" t="str">
        <f t="shared" si="16"/>
        <v/>
      </c>
      <c r="BQ7" s="62" t="str">
        <f t="shared" si="17"/>
        <v/>
      </c>
      <c r="BT7" s="62" t="str">
        <f t="shared" si="18"/>
        <v/>
      </c>
      <c r="BW7" s="62" t="str">
        <f t="shared" si="19"/>
        <v/>
      </c>
      <c r="BX7" s="44" t="s">
        <v>39</v>
      </c>
      <c r="BY7" s="44">
        <v>2</v>
      </c>
      <c r="BZ7" s="44">
        <v>16</v>
      </c>
      <c r="CA7" s="62">
        <f t="shared" si="20"/>
        <v>8</v>
      </c>
      <c r="CB7" s="44">
        <v>1</v>
      </c>
      <c r="CC7" s="44">
        <v>6</v>
      </c>
      <c r="CD7" s="62">
        <f t="shared" si="21"/>
        <v>6</v>
      </c>
    </row>
    <row r="8" spans="1:82" x14ac:dyDescent="0.3">
      <c r="A8" s="52" t="s">
        <v>227</v>
      </c>
      <c r="B8" s="49" t="s">
        <v>291</v>
      </c>
      <c r="C8" s="44" t="s">
        <v>39</v>
      </c>
      <c r="D8" s="44">
        <v>7500</v>
      </c>
      <c r="E8" s="44">
        <v>1900</v>
      </c>
      <c r="F8" s="62">
        <f t="shared" si="0"/>
        <v>0.25333333333333335</v>
      </c>
      <c r="G8" s="44" t="s">
        <v>39</v>
      </c>
      <c r="H8" s="44">
        <v>4700</v>
      </c>
      <c r="I8" s="44">
        <v>1114</v>
      </c>
      <c r="J8" s="62">
        <f t="shared" si="1"/>
        <v>0.23702127659574468</v>
      </c>
      <c r="K8" s="44" t="s">
        <v>39</v>
      </c>
      <c r="L8" s="44">
        <v>4800</v>
      </c>
      <c r="M8" s="44">
        <v>991</v>
      </c>
      <c r="N8" s="62">
        <f t="shared" si="2"/>
        <v>0.20645833333333333</v>
      </c>
      <c r="O8" s="44" t="s">
        <v>39</v>
      </c>
      <c r="P8" s="44">
        <v>4000</v>
      </c>
      <c r="Q8" s="44">
        <v>923</v>
      </c>
      <c r="R8" s="62">
        <f t="shared" si="3"/>
        <v>0.23075000000000001</v>
      </c>
      <c r="V8" s="62" t="str">
        <f t="shared" si="4"/>
        <v/>
      </c>
      <c r="W8" s="44" t="s">
        <v>39</v>
      </c>
      <c r="X8" s="44">
        <v>4000</v>
      </c>
      <c r="Y8" s="44">
        <v>625</v>
      </c>
      <c r="Z8" s="62">
        <f t="shared" si="5"/>
        <v>0.15625</v>
      </c>
      <c r="AA8" s="44">
        <v>3140</v>
      </c>
      <c r="AB8" s="44">
        <v>677</v>
      </c>
      <c r="AC8" s="62">
        <f t="shared" si="6"/>
        <v>0.21560509554140128</v>
      </c>
      <c r="AD8" s="44" t="s">
        <v>39</v>
      </c>
      <c r="AE8" s="44">
        <v>2857</v>
      </c>
      <c r="AF8" s="44">
        <v>556</v>
      </c>
      <c r="AG8" s="62">
        <f t="shared" si="7"/>
        <v>0.19460973048652433</v>
      </c>
      <c r="AH8" s="44">
        <v>3000</v>
      </c>
      <c r="AI8" s="44">
        <v>583</v>
      </c>
      <c r="AJ8" s="62">
        <f t="shared" si="8"/>
        <v>0.19433333333333333</v>
      </c>
      <c r="AK8" s="44" t="s">
        <v>39</v>
      </c>
      <c r="AL8" s="44">
        <v>1000</v>
      </c>
      <c r="AM8" s="44">
        <v>235</v>
      </c>
      <c r="AN8" s="62">
        <f t="shared" si="9"/>
        <v>0.23499999999999999</v>
      </c>
      <c r="AO8" s="44" t="s">
        <v>39</v>
      </c>
      <c r="AP8" s="44">
        <v>800</v>
      </c>
      <c r="AQ8" s="44">
        <v>200</v>
      </c>
      <c r="AR8" s="62">
        <f t="shared" si="10"/>
        <v>0.25</v>
      </c>
      <c r="AS8" s="44" t="s">
        <v>39</v>
      </c>
      <c r="AT8" s="44">
        <v>600</v>
      </c>
      <c r="AU8" s="44">
        <v>94</v>
      </c>
      <c r="AV8" s="62">
        <f t="shared" si="11"/>
        <v>0.15666666666666668</v>
      </c>
      <c r="AW8" s="44">
        <v>600</v>
      </c>
      <c r="AX8" s="44">
        <v>160</v>
      </c>
      <c r="AY8" s="62">
        <f t="shared" si="12"/>
        <v>0.26666666666666666</v>
      </c>
      <c r="AZ8" s="44" t="s">
        <v>39</v>
      </c>
      <c r="BA8" s="44">
        <v>300</v>
      </c>
      <c r="BB8" s="44">
        <v>80</v>
      </c>
      <c r="BC8" s="62">
        <f t="shared" si="13"/>
        <v>0.26666666666666666</v>
      </c>
      <c r="BD8" s="44">
        <v>200</v>
      </c>
      <c r="BE8" s="44">
        <v>53</v>
      </c>
      <c r="BF8" s="62">
        <f t="shared" si="14"/>
        <v>0.26500000000000001</v>
      </c>
      <c r="BG8" s="44" t="s">
        <v>39</v>
      </c>
      <c r="BH8" s="44">
        <v>19</v>
      </c>
      <c r="BI8" s="44">
        <v>45</v>
      </c>
      <c r="BJ8" s="62">
        <f t="shared" si="15"/>
        <v>2.3684210526315788</v>
      </c>
      <c r="BM8" s="62" t="str">
        <f t="shared" si="16"/>
        <v/>
      </c>
      <c r="BN8" s="44" t="s">
        <v>39</v>
      </c>
      <c r="BQ8" s="62" t="str">
        <f t="shared" si="17"/>
        <v/>
      </c>
      <c r="BR8" s="44">
        <v>11</v>
      </c>
      <c r="BS8" s="44">
        <v>18</v>
      </c>
      <c r="BT8" s="62">
        <f t="shared" si="18"/>
        <v>1.6363636363636365</v>
      </c>
      <c r="BU8" s="44">
        <v>9</v>
      </c>
      <c r="BV8" s="44">
        <v>23</v>
      </c>
      <c r="BW8" s="62">
        <f t="shared" si="19"/>
        <v>2.5555555555555554</v>
      </c>
      <c r="BX8" s="44" t="s">
        <v>39</v>
      </c>
      <c r="BY8" s="44">
        <v>16</v>
      </c>
      <c r="BZ8" s="44">
        <v>38</v>
      </c>
      <c r="CA8" s="62">
        <f t="shared" si="20"/>
        <v>2.375</v>
      </c>
      <c r="CB8" s="44">
        <v>55</v>
      </c>
      <c r="CC8" s="44">
        <v>126</v>
      </c>
      <c r="CD8" s="62">
        <f t="shared" si="21"/>
        <v>2.290909090909091</v>
      </c>
    </row>
    <row r="9" spans="1:82" x14ac:dyDescent="0.3">
      <c r="A9" s="49" t="s">
        <v>205</v>
      </c>
      <c r="B9" s="49" t="s">
        <v>284</v>
      </c>
      <c r="F9" s="62" t="str">
        <f t="shared" si="0"/>
        <v/>
      </c>
      <c r="J9" s="62" t="str">
        <f t="shared" si="1"/>
        <v/>
      </c>
      <c r="N9" s="62" t="str">
        <f t="shared" si="2"/>
        <v/>
      </c>
      <c r="R9" s="62" t="str">
        <f t="shared" si="3"/>
        <v/>
      </c>
      <c r="V9" s="62" t="str">
        <f t="shared" si="4"/>
        <v/>
      </c>
      <c r="Z9" s="62" t="str">
        <f t="shared" si="5"/>
        <v/>
      </c>
      <c r="AC9" s="62" t="str">
        <f t="shared" si="6"/>
        <v/>
      </c>
      <c r="AG9" s="62" t="str">
        <f t="shared" si="7"/>
        <v/>
      </c>
      <c r="AJ9" s="62" t="str">
        <f t="shared" si="8"/>
        <v/>
      </c>
      <c r="AN9" s="62" t="str">
        <f t="shared" si="9"/>
        <v/>
      </c>
      <c r="AR9" s="62" t="str">
        <f t="shared" si="10"/>
        <v/>
      </c>
      <c r="AV9" s="62" t="str">
        <f t="shared" si="11"/>
        <v/>
      </c>
      <c r="AY9" s="62" t="str">
        <f t="shared" si="12"/>
        <v/>
      </c>
      <c r="BC9" s="62" t="str">
        <f t="shared" si="13"/>
        <v/>
      </c>
      <c r="BF9" s="62" t="str">
        <f t="shared" si="14"/>
        <v/>
      </c>
      <c r="BG9" s="44" t="s">
        <v>39</v>
      </c>
      <c r="BH9" s="44">
        <v>1783</v>
      </c>
      <c r="BI9" s="44">
        <v>434</v>
      </c>
      <c r="BJ9" s="62">
        <f t="shared" si="15"/>
        <v>0.24340998317442514</v>
      </c>
      <c r="BK9" s="44">
        <v>7551</v>
      </c>
      <c r="BL9" s="44">
        <v>1573</v>
      </c>
      <c r="BM9" s="62">
        <f t="shared" si="16"/>
        <v>0.20831677923453848</v>
      </c>
      <c r="BN9" s="44" t="s">
        <v>39</v>
      </c>
      <c r="BO9" s="44">
        <v>794</v>
      </c>
      <c r="BP9" s="44">
        <v>231</v>
      </c>
      <c r="BQ9" s="62">
        <f t="shared" si="17"/>
        <v>0.29093198992443325</v>
      </c>
      <c r="BR9" s="44">
        <v>389</v>
      </c>
      <c r="BS9" s="44">
        <v>136</v>
      </c>
      <c r="BT9" s="62">
        <f t="shared" si="18"/>
        <v>0.34961439588688947</v>
      </c>
      <c r="BU9" s="44">
        <v>8449</v>
      </c>
      <c r="BV9" s="44">
        <v>2266</v>
      </c>
      <c r="BW9" s="62">
        <f t="shared" si="19"/>
        <v>0.26819741981299561</v>
      </c>
      <c r="BX9" s="44" t="s">
        <v>39</v>
      </c>
      <c r="BY9" s="44">
        <v>13861</v>
      </c>
      <c r="BZ9" s="44">
        <v>2886</v>
      </c>
      <c r="CA9" s="62">
        <f t="shared" si="20"/>
        <v>0.20821008585239159</v>
      </c>
      <c r="CB9" s="44">
        <v>8692</v>
      </c>
      <c r="CC9" s="44">
        <v>1830</v>
      </c>
      <c r="CD9" s="62">
        <f t="shared" si="21"/>
        <v>0.21053842613897836</v>
      </c>
    </row>
    <row r="10" spans="1:82" x14ac:dyDescent="0.3">
      <c r="A10" s="49" t="s">
        <v>46</v>
      </c>
      <c r="B10" s="49" t="s">
        <v>284</v>
      </c>
      <c r="F10" s="62" t="str">
        <f t="shared" si="0"/>
        <v/>
      </c>
      <c r="J10" s="62" t="str">
        <f t="shared" si="1"/>
        <v/>
      </c>
      <c r="N10" s="62" t="str">
        <f t="shared" si="2"/>
        <v/>
      </c>
      <c r="R10" s="62" t="str">
        <f t="shared" si="3"/>
        <v/>
      </c>
      <c r="V10" s="62" t="str">
        <f t="shared" si="4"/>
        <v/>
      </c>
      <c r="Z10" s="62" t="str">
        <f t="shared" si="5"/>
        <v/>
      </c>
      <c r="AC10" s="62" t="str">
        <f t="shared" si="6"/>
        <v/>
      </c>
      <c r="AG10" s="62" t="str">
        <f t="shared" si="7"/>
        <v/>
      </c>
      <c r="AJ10" s="62" t="str">
        <f t="shared" si="8"/>
        <v/>
      </c>
      <c r="AN10" s="62" t="str">
        <f t="shared" si="9"/>
        <v/>
      </c>
      <c r="AR10" s="62" t="str">
        <f t="shared" si="10"/>
        <v/>
      </c>
      <c r="AV10" s="62" t="str">
        <f t="shared" si="11"/>
        <v/>
      </c>
      <c r="AY10" s="62" t="str">
        <f t="shared" si="12"/>
        <v/>
      </c>
      <c r="BC10" s="62" t="str">
        <f t="shared" si="13"/>
        <v/>
      </c>
      <c r="BF10" s="62" t="str">
        <f t="shared" si="14"/>
        <v/>
      </c>
      <c r="BG10" s="44" t="s">
        <v>38</v>
      </c>
      <c r="BJ10" s="62" t="str">
        <f t="shared" si="15"/>
        <v/>
      </c>
      <c r="BK10" s="44">
        <v>847</v>
      </c>
      <c r="BL10" s="44">
        <v>138</v>
      </c>
      <c r="BM10" s="62">
        <f t="shared" si="16"/>
        <v>0.16292798110979928</v>
      </c>
      <c r="BN10" s="44" t="s">
        <v>38</v>
      </c>
      <c r="BQ10" s="62" t="str">
        <f t="shared" si="17"/>
        <v/>
      </c>
      <c r="BR10" s="44">
        <v>4.75</v>
      </c>
      <c r="BS10" s="44">
        <v>42</v>
      </c>
      <c r="BT10" s="62">
        <f t="shared" si="18"/>
        <v>8.8421052631578956</v>
      </c>
      <c r="BU10" s="44">
        <v>427</v>
      </c>
      <c r="BV10" s="44">
        <v>138</v>
      </c>
      <c r="BW10" s="62">
        <f t="shared" si="19"/>
        <v>0.3231850117096019</v>
      </c>
      <c r="BX10" s="44" t="s">
        <v>38</v>
      </c>
      <c r="CA10" s="62" t="str">
        <f t="shared" si="20"/>
        <v/>
      </c>
      <c r="CB10" s="44">
        <v>35</v>
      </c>
      <c r="CC10" s="44">
        <v>24</v>
      </c>
      <c r="CD10" s="62">
        <f t="shared" si="21"/>
        <v>0.68571428571428572</v>
      </c>
    </row>
    <row r="11" spans="1:82" x14ac:dyDescent="0.3">
      <c r="A11" s="53" t="s">
        <v>6</v>
      </c>
      <c r="B11" s="49" t="s">
        <v>284</v>
      </c>
      <c r="F11" s="62" t="str">
        <f t="shared" si="0"/>
        <v/>
      </c>
      <c r="J11" s="62" t="str">
        <f t="shared" si="1"/>
        <v/>
      </c>
      <c r="N11" s="62" t="str">
        <f t="shared" si="2"/>
        <v/>
      </c>
      <c r="R11" s="62" t="str">
        <f t="shared" si="3"/>
        <v/>
      </c>
      <c r="V11" s="62" t="str">
        <f t="shared" si="4"/>
        <v/>
      </c>
      <c r="Z11" s="62" t="str">
        <f t="shared" si="5"/>
        <v/>
      </c>
      <c r="AC11" s="62" t="str">
        <f t="shared" si="6"/>
        <v/>
      </c>
      <c r="AG11" s="62" t="str">
        <f t="shared" si="7"/>
        <v/>
      </c>
      <c r="AJ11" s="62" t="str">
        <f t="shared" si="8"/>
        <v/>
      </c>
      <c r="AN11" s="62" t="str">
        <f t="shared" si="9"/>
        <v/>
      </c>
      <c r="AR11" s="62" t="str">
        <f t="shared" si="10"/>
        <v/>
      </c>
      <c r="AV11" s="62" t="str">
        <f t="shared" si="11"/>
        <v/>
      </c>
      <c r="AY11" s="62" t="str">
        <f t="shared" si="12"/>
        <v/>
      </c>
      <c r="BC11" s="62" t="str">
        <f t="shared" si="13"/>
        <v/>
      </c>
      <c r="BF11" s="62" t="str">
        <f t="shared" si="14"/>
        <v/>
      </c>
      <c r="BJ11" s="62" t="str">
        <f t="shared" si="15"/>
        <v/>
      </c>
      <c r="BM11" s="62" t="str">
        <f t="shared" si="16"/>
        <v/>
      </c>
      <c r="BQ11" s="62" t="str">
        <f t="shared" si="17"/>
        <v/>
      </c>
      <c r="BT11" s="62" t="str">
        <f t="shared" si="18"/>
        <v/>
      </c>
      <c r="BW11" s="62" t="str">
        <f t="shared" si="19"/>
        <v/>
      </c>
      <c r="CA11" s="62" t="str">
        <f t="shared" si="20"/>
        <v/>
      </c>
      <c r="CD11" s="62" t="str">
        <f t="shared" si="21"/>
        <v/>
      </c>
    </row>
    <row r="12" spans="1:82" x14ac:dyDescent="0.3">
      <c r="A12" s="53" t="s">
        <v>206</v>
      </c>
      <c r="B12" s="49" t="s">
        <v>284</v>
      </c>
      <c r="F12" s="62" t="str">
        <f t="shared" si="0"/>
        <v/>
      </c>
      <c r="J12" s="62" t="str">
        <f t="shared" si="1"/>
        <v/>
      </c>
      <c r="N12" s="62" t="str">
        <f t="shared" si="2"/>
        <v/>
      </c>
      <c r="R12" s="62" t="str">
        <f t="shared" si="3"/>
        <v/>
      </c>
      <c r="V12" s="62" t="str">
        <f t="shared" si="4"/>
        <v/>
      </c>
      <c r="Z12" s="62" t="str">
        <f t="shared" si="5"/>
        <v/>
      </c>
      <c r="AC12" s="62" t="str">
        <f t="shared" si="6"/>
        <v/>
      </c>
      <c r="AG12" s="62" t="str">
        <f t="shared" si="7"/>
        <v/>
      </c>
      <c r="AJ12" s="62" t="str">
        <f t="shared" si="8"/>
        <v/>
      </c>
      <c r="AK12" s="44" t="s">
        <v>37</v>
      </c>
      <c r="AL12" s="44">
        <v>4</v>
      </c>
      <c r="AM12" s="44">
        <v>882</v>
      </c>
      <c r="AN12" s="62">
        <f t="shared" si="9"/>
        <v>220.5</v>
      </c>
      <c r="AO12" s="44" t="s">
        <v>37</v>
      </c>
      <c r="AP12" s="44">
        <v>2</v>
      </c>
      <c r="AQ12" s="44">
        <v>624</v>
      </c>
      <c r="AR12" s="62">
        <f t="shared" si="10"/>
        <v>312</v>
      </c>
      <c r="AV12" s="62" t="str">
        <f t="shared" si="11"/>
        <v/>
      </c>
      <c r="AY12" s="62" t="str">
        <f t="shared" si="12"/>
        <v/>
      </c>
      <c r="BC12" s="62" t="str">
        <f t="shared" si="13"/>
        <v/>
      </c>
      <c r="BF12" s="62" t="str">
        <f t="shared" si="14"/>
        <v/>
      </c>
      <c r="BJ12" s="62" t="str">
        <f t="shared" si="15"/>
        <v/>
      </c>
      <c r="BM12" s="62" t="str">
        <f t="shared" si="16"/>
        <v/>
      </c>
      <c r="BQ12" s="62" t="str">
        <f t="shared" si="17"/>
        <v/>
      </c>
      <c r="BT12" s="62" t="str">
        <f t="shared" si="18"/>
        <v/>
      </c>
      <c r="BW12" s="62" t="str">
        <f t="shared" si="19"/>
        <v/>
      </c>
      <c r="CA12" s="62" t="str">
        <f t="shared" si="20"/>
        <v/>
      </c>
      <c r="CD12" s="62" t="str">
        <f t="shared" si="21"/>
        <v/>
      </c>
    </row>
    <row r="13" spans="1:82" x14ac:dyDescent="0.3">
      <c r="A13" s="53" t="s">
        <v>275</v>
      </c>
      <c r="B13" s="49" t="s">
        <v>284</v>
      </c>
      <c r="F13" s="62" t="str">
        <f t="shared" si="0"/>
        <v/>
      </c>
      <c r="J13" s="62" t="str">
        <f t="shared" si="1"/>
        <v/>
      </c>
      <c r="N13" s="62" t="str">
        <f t="shared" si="2"/>
        <v/>
      </c>
      <c r="R13" s="62" t="str">
        <f t="shared" si="3"/>
        <v/>
      </c>
      <c r="V13" s="62" t="str">
        <f t="shared" si="4"/>
        <v/>
      </c>
      <c r="Z13" s="62" t="str">
        <f t="shared" si="5"/>
        <v/>
      </c>
      <c r="AC13" s="62" t="str">
        <f t="shared" si="6"/>
        <v/>
      </c>
      <c r="AG13" s="62" t="str">
        <f t="shared" si="7"/>
        <v/>
      </c>
      <c r="AJ13" s="62" t="str">
        <f t="shared" si="8"/>
        <v/>
      </c>
      <c r="AN13" s="62" t="str">
        <f t="shared" si="9"/>
        <v/>
      </c>
      <c r="AO13" s="44" t="s">
        <v>37</v>
      </c>
      <c r="AP13" s="44">
        <v>4</v>
      </c>
      <c r="AQ13" s="44">
        <v>126</v>
      </c>
      <c r="AR13" s="62">
        <f t="shared" si="10"/>
        <v>31.5</v>
      </c>
      <c r="AV13" s="62" t="str">
        <f t="shared" si="11"/>
        <v/>
      </c>
      <c r="AY13" s="62" t="str">
        <f t="shared" si="12"/>
        <v/>
      </c>
      <c r="BC13" s="62" t="str">
        <f t="shared" si="13"/>
        <v/>
      </c>
      <c r="BF13" s="62" t="str">
        <f t="shared" si="14"/>
        <v/>
      </c>
      <c r="BJ13" s="62" t="str">
        <f t="shared" si="15"/>
        <v/>
      </c>
      <c r="BM13" s="62" t="str">
        <f t="shared" si="16"/>
        <v/>
      </c>
      <c r="BQ13" s="62" t="str">
        <f t="shared" si="17"/>
        <v/>
      </c>
      <c r="BT13" s="62" t="str">
        <f t="shared" si="18"/>
        <v/>
      </c>
      <c r="BW13" s="62" t="str">
        <f t="shared" si="19"/>
        <v/>
      </c>
      <c r="CA13" s="62" t="str">
        <f t="shared" si="20"/>
        <v/>
      </c>
      <c r="CD13" s="62" t="str">
        <f t="shared" si="21"/>
        <v/>
      </c>
    </row>
    <row r="14" spans="1:82" x14ac:dyDescent="0.3">
      <c r="A14" s="53" t="s">
        <v>170</v>
      </c>
      <c r="B14" s="49" t="s">
        <v>284</v>
      </c>
      <c r="F14" s="62" t="str">
        <f t="shared" si="0"/>
        <v/>
      </c>
      <c r="J14" s="62" t="str">
        <f t="shared" si="1"/>
        <v/>
      </c>
      <c r="N14" s="62" t="str">
        <f t="shared" si="2"/>
        <v/>
      </c>
      <c r="R14" s="62" t="str">
        <f t="shared" si="3"/>
        <v/>
      </c>
      <c r="V14" s="62" t="str">
        <f t="shared" si="4"/>
        <v/>
      </c>
      <c r="Z14" s="62" t="str">
        <f t="shared" si="5"/>
        <v/>
      </c>
      <c r="AC14" s="62" t="str">
        <f t="shared" si="6"/>
        <v/>
      </c>
      <c r="AG14" s="62" t="str">
        <f t="shared" si="7"/>
        <v/>
      </c>
      <c r="AJ14" s="62" t="str">
        <f t="shared" si="8"/>
        <v/>
      </c>
      <c r="AN14" s="62" t="str">
        <f t="shared" si="9"/>
        <v/>
      </c>
      <c r="AR14" s="62" t="str">
        <f t="shared" si="10"/>
        <v/>
      </c>
      <c r="AV14" s="62" t="str">
        <f t="shared" si="11"/>
        <v/>
      </c>
      <c r="AY14" s="62" t="str">
        <f t="shared" si="12"/>
        <v/>
      </c>
      <c r="BC14" s="62" t="str">
        <f t="shared" si="13"/>
        <v/>
      </c>
      <c r="BF14" s="62" t="str">
        <f t="shared" si="14"/>
        <v/>
      </c>
      <c r="BG14" s="44" t="s">
        <v>38</v>
      </c>
      <c r="BJ14" s="62" t="str">
        <f t="shared" si="15"/>
        <v/>
      </c>
      <c r="BK14" s="44">
        <v>64</v>
      </c>
      <c r="BL14" s="44">
        <v>56</v>
      </c>
      <c r="BM14" s="62">
        <f t="shared" si="16"/>
        <v>0.875</v>
      </c>
      <c r="BN14" s="44" t="s">
        <v>38</v>
      </c>
      <c r="BO14" s="44">
        <v>32</v>
      </c>
      <c r="BP14" s="44">
        <v>36</v>
      </c>
      <c r="BQ14" s="62">
        <f t="shared" si="17"/>
        <v>1.125</v>
      </c>
      <c r="BT14" s="62" t="str">
        <f t="shared" si="18"/>
        <v/>
      </c>
      <c r="BW14" s="62" t="str">
        <f t="shared" si="19"/>
        <v/>
      </c>
      <c r="CA14" s="62" t="str">
        <f t="shared" si="20"/>
        <v/>
      </c>
      <c r="CD14" s="62" t="str">
        <f t="shared" si="21"/>
        <v/>
      </c>
    </row>
    <row r="15" spans="1:82" x14ac:dyDescent="0.3">
      <c r="A15" s="53" t="s">
        <v>72</v>
      </c>
      <c r="B15" s="49" t="s">
        <v>284</v>
      </c>
      <c r="F15" s="62" t="str">
        <f t="shared" si="0"/>
        <v/>
      </c>
      <c r="J15" s="62" t="str">
        <f t="shared" si="1"/>
        <v/>
      </c>
      <c r="N15" s="62" t="str">
        <f t="shared" si="2"/>
        <v/>
      </c>
      <c r="R15" s="62" t="str">
        <f t="shared" si="3"/>
        <v/>
      </c>
      <c r="V15" s="62" t="str">
        <f t="shared" si="4"/>
        <v/>
      </c>
      <c r="Z15" s="62" t="str">
        <f t="shared" si="5"/>
        <v/>
      </c>
      <c r="AC15" s="62" t="str">
        <f t="shared" si="6"/>
        <v/>
      </c>
      <c r="AG15" s="62" t="str">
        <f t="shared" si="7"/>
        <v/>
      </c>
      <c r="AJ15" s="62" t="str">
        <f t="shared" si="8"/>
        <v/>
      </c>
      <c r="AN15" s="62" t="str">
        <f t="shared" si="9"/>
        <v/>
      </c>
      <c r="AR15" s="62" t="str">
        <f t="shared" si="10"/>
        <v/>
      </c>
      <c r="AV15" s="62" t="str">
        <f t="shared" si="11"/>
        <v/>
      </c>
      <c r="AY15" s="62" t="str">
        <f t="shared" si="12"/>
        <v/>
      </c>
      <c r="BC15" s="62" t="str">
        <f t="shared" si="13"/>
        <v/>
      </c>
      <c r="BF15" s="62" t="str">
        <f t="shared" si="14"/>
        <v/>
      </c>
      <c r="BJ15" s="62" t="str">
        <f t="shared" si="15"/>
        <v/>
      </c>
      <c r="BM15" s="62" t="str">
        <f t="shared" si="16"/>
        <v/>
      </c>
      <c r="BQ15" s="62" t="str">
        <f t="shared" si="17"/>
        <v/>
      </c>
      <c r="BT15" s="62" t="str">
        <f t="shared" si="18"/>
        <v/>
      </c>
      <c r="BW15" s="62" t="str">
        <f t="shared" si="19"/>
        <v/>
      </c>
      <c r="CA15" s="62" t="str">
        <f t="shared" si="20"/>
        <v/>
      </c>
      <c r="CD15" s="62" t="str">
        <f t="shared" si="21"/>
        <v/>
      </c>
    </row>
    <row r="16" spans="1:82" x14ac:dyDescent="0.3">
      <c r="A16" s="53" t="s">
        <v>276</v>
      </c>
      <c r="B16" s="49" t="s">
        <v>284</v>
      </c>
      <c r="F16" s="62" t="str">
        <f t="shared" si="0"/>
        <v/>
      </c>
      <c r="J16" s="62" t="str">
        <f t="shared" si="1"/>
        <v/>
      </c>
      <c r="N16" s="62" t="str">
        <f t="shared" si="2"/>
        <v/>
      </c>
      <c r="R16" s="62" t="str">
        <f t="shared" si="3"/>
        <v/>
      </c>
      <c r="V16" s="62" t="str">
        <f t="shared" si="4"/>
        <v/>
      </c>
      <c r="Z16" s="62" t="str">
        <f t="shared" si="5"/>
        <v/>
      </c>
      <c r="AC16" s="62" t="str">
        <f t="shared" si="6"/>
        <v/>
      </c>
      <c r="AG16" s="62" t="str">
        <f t="shared" si="7"/>
        <v/>
      </c>
      <c r="AJ16" s="62" t="str">
        <f t="shared" si="8"/>
        <v/>
      </c>
      <c r="AN16" s="62" t="str">
        <f t="shared" si="9"/>
        <v/>
      </c>
      <c r="AR16" s="62" t="str">
        <f t="shared" si="10"/>
        <v/>
      </c>
      <c r="AV16" s="62" t="str">
        <f t="shared" si="11"/>
        <v/>
      </c>
      <c r="AY16" s="62" t="str">
        <f t="shared" si="12"/>
        <v/>
      </c>
      <c r="BC16" s="62" t="str">
        <f t="shared" si="13"/>
        <v/>
      </c>
      <c r="BF16" s="62" t="str">
        <f t="shared" si="14"/>
        <v/>
      </c>
      <c r="BJ16" s="62" t="str">
        <f t="shared" si="15"/>
        <v/>
      </c>
      <c r="BM16" s="62" t="str">
        <f t="shared" si="16"/>
        <v/>
      </c>
      <c r="BN16" s="44" t="s">
        <v>38</v>
      </c>
      <c r="BQ16" s="62" t="str">
        <f t="shared" si="17"/>
        <v/>
      </c>
      <c r="BT16" s="62" t="str">
        <f t="shared" si="18"/>
        <v/>
      </c>
      <c r="BU16" s="44">
        <v>42</v>
      </c>
      <c r="BV16" s="44">
        <v>34</v>
      </c>
      <c r="BW16" s="62">
        <f t="shared" si="19"/>
        <v>0.80952380952380953</v>
      </c>
      <c r="BX16" s="44" t="s">
        <v>38</v>
      </c>
      <c r="BY16" s="44">
        <v>33</v>
      </c>
      <c r="BZ16" s="44">
        <v>23</v>
      </c>
      <c r="CA16" s="62">
        <f t="shared" si="20"/>
        <v>0.69696969696969702</v>
      </c>
      <c r="CB16" s="44">
        <v>27</v>
      </c>
      <c r="CC16" s="44">
        <v>20</v>
      </c>
      <c r="CD16" s="62">
        <f t="shared" si="21"/>
        <v>0.7407407407407407</v>
      </c>
    </row>
    <row r="17" spans="1:82" x14ac:dyDescent="0.3">
      <c r="A17" s="52" t="s">
        <v>7</v>
      </c>
      <c r="B17" s="49" t="s">
        <v>284</v>
      </c>
      <c r="F17" s="62" t="str">
        <f t="shared" si="0"/>
        <v/>
      </c>
      <c r="J17" s="62" t="str">
        <f t="shared" si="1"/>
        <v/>
      </c>
      <c r="N17" s="62" t="str">
        <f t="shared" si="2"/>
        <v/>
      </c>
      <c r="R17" s="62" t="str">
        <f t="shared" si="3"/>
        <v/>
      </c>
      <c r="V17" s="62" t="str">
        <f t="shared" si="4"/>
        <v/>
      </c>
      <c r="W17" s="44" t="s">
        <v>37</v>
      </c>
      <c r="X17" s="44">
        <v>25</v>
      </c>
      <c r="Y17" s="44">
        <v>625</v>
      </c>
      <c r="Z17" s="62">
        <f t="shared" si="5"/>
        <v>25</v>
      </c>
      <c r="AC17" s="62" t="str">
        <f t="shared" si="6"/>
        <v/>
      </c>
      <c r="AG17" s="62" t="str">
        <f t="shared" si="7"/>
        <v/>
      </c>
      <c r="AJ17" s="62" t="str">
        <f t="shared" si="8"/>
        <v/>
      </c>
      <c r="AN17" s="62" t="str">
        <f t="shared" si="9"/>
        <v/>
      </c>
      <c r="AR17" s="62" t="str">
        <f t="shared" si="10"/>
        <v/>
      </c>
      <c r="AV17" s="62" t="str">
        <f t="shared" si="11"/>
        <v/>
      </c>
      <c r="AY17" s="62" t="str">
        <f t="shared" si="12"/>
        <v/>
      </c>
      <c r="BC17" s="62" t="str">
        <f t="shared" si="13"/>
        <v/>
      </c>
      <c r="BF17" s="62" t="str">
        <f t="shared" si="14"/>
        <v/>
      </c>
      <c r="BJ17" s="62" t="str">
        <f t="shared" si="15"/>
        <v/>
      </c>
      <c r="BM17" s="62" t="str">
        <f t="shared" si="16"/>
        <v/>
      </c>
      <c r="BQ17" s="62" t="str">
        <f t="shared" si="17"/>
        <v/>
      </c>
      <c r="BT17" s="62" t="str">
        <f t="shared" si="18"/>
        <v/>
      </c>
      <c r="BW17" s="62" t="str">
        <f t="shared" si="19"/>
        <v/>
      </c>
      <c r="CA17" s="62" t="str">
        <f t="shared" si="20"/>
        <v/>
      </c>
      <c r="CD17" s="62" t="str">
        <f t="shared" si="21"/>
        <v/>
      </c>
    </row>
    <row r="18" spans="1:82" x14ac:dyDescent="0.3">
      <c r="A18" s="52" t="s">
        <v>8</v>
      </c>
      <c r="B18" s="49" t="s">
        <v>284</v>
      </c>
      <c r="F18" s="62" t="str">
        <f t="shared" si="0"/>
        <v/>
      </c>
      <c r="J18" s="62" t="str">
        <f t="shared" si="1"/>
        <v/>
      </c>
      <c r="N18" s="62" t="str">
        <f t="shared" si="2"/>
        <v/>
      </c>
      <c r="R18" s="62" t="str">
        <f t="shared" si="3"/>
        <v/>
      </c>
      <c r="V18" s="62" t="str">
        <f t="shared" si="4"/>
        <v/>
      </c>
      <c r="Z18" s="62" t="str">
        <f t="shared" si="5"/>
        <v/>
      </c>
      <c r="AC18" s="62" t="str">
        <f t="shared" si="6"/>
        <v/>
      </c>
      <c r="AG18" s="62" t="str">
        <f t="shared" si="7"/>
        <v/>
      </c>
      <c r="AJ18" s="62" t="str">
        <f t="shared" si="8"/>
        <v/>
      </c>
      <c r="AN18" s="62" t="str">
        <f t="shared" si="9"/>
        <v/>
      </c>
      <c r="AR18" s="62" t="str">
        <f t="shared" si="10"/>
        <v/>
      </c>
      <c r="AV18" s="62" t="str">
        <f t="shared" si="11"/>
        <v/>
      </c>
      <c r="AY18" s="62" t="str">
        <f t="shared" si="12"/>
        <v/>
      </c>
      <c r="BC18" s="62" t="str">
        <f t="shared" si="13"/>
        <v/>
      </c>
      <c r="BF18" s="62" t="str">
        <f t="shared" si="14"/>
        <v/>
      </c>
      <c r="BJ18" s="62" t="str">
        <f t="shared" si="15"/>
        <v/>
      </c>
      <c r="BM18" s="62" t="str">
        <f t="shared" si="16"/>
        <v/>
      </c>
      <c r="BQ18" s="62" t="str">
        <f t="shared" si="17"/>
        <v/>
      </c>
      <c r="BT18" s="62" t="str">
        <f t="shared" si="18"/>
        <v/>
      </c>
      <c r="BW18" s="62" t="str">
        <f t="shared" si="19"/>
        <v/>
      </c>
      <c r="BX18" s="44" t="s">
        <v>38</v>
      </c>
      <c r="BY18" s="44">
        <v>4009.5</v>
      </c>
      <c r="BZ18" s="44">
        <v>423.5</v>
      </c>
      <c r="CA18" s="62">
        <f t="shared" si="20"/>
        <v>0.1056241426611797</v>
      </c>
      <c r="CB18" s="44">
        <v>6802.5</v>
      </c>
      <c r="CC18" s="44">
        <v>1293</v>
      </c>
      <c r="CD18" s="62">
        <f t="shared" si="21"/>
        <v>0.19007717750826902</v>
      </c>
    </row>
    <row r="19" spans="1:82" x14ac:dyDescent="0.3">
      <c r="A19" s="53" t="s">
        <v>9</v>
      </c>
      <c r="B19" s="49" t="s">
        <v>284</v>
      </c>
      <c r="F19" s="62" t="str">
        <f t="shared" si="0"/>
        <v/>
      </c>
      <c r="J19" s="62" t="str">
        <f t="shared" si="1"/>
        <v/>
      </c>
      <c r="N19" s="62" t="str">
        <f t="shared" si="2"/>
        <v/>
      </c>
      <c r="R19" s="62" t="str">
        <f t="shared" si="3"/>
        <v/>
      </c>
      <c r="V19" s="62" t="str">
        <f t="shared" si="4"/>
        <v/>
      </c>
      <c r="Z19" s="62" t="str">
        <f t="shared" si="5"/>
        <v/>
      </c>
      <c r="AC19" s="62" t="str">
        <f t="shared" si="6"/>
        <v/>
      </c>
      <c r="AG19" s="62" t="str">
        <f t="shared" si="7"/>
        <v/>
      </c>
      <c r="AJ19" s="62" t="str">
        <f t="shared" si="8"/>
        <v/>
      </c>
      <c r="AN19" s="62" t="str">
        <f t="shared" si="9"/>
        <v/>
      </c>
      <c r="AR19" s="62" t="str">
        <f t="shared" si="10"/>
        <v/>
      </c>
      <c r="AV19" s="62" t="str">
        <f t="shared" si="11"/>
        <v/>
      </c>
      <c r="AY19" s="62" t="str">
        <f t="shared" si="12"/>
        <v/>
      </c>
      <c r="BC19" s="62" t="str">
        <f t="shared" si="13"/>
        <v/>
      </c>
      <c r="BF19" s="62" t="str">
        <f t="shared" si="14"/>
        <v/>
      </c>
      <c r="BJ19" s="62" t="str">
        <f t="shared" si="15"/>
        <v/>
      </c>
      <c r="BM19" s="62" t="str">
        <f t="shared" si="16"/>
        <v/>
      </c>
      <c r="BN19" s="44" t="s">
        <v>38</v>
      </c>
      <c r="BQ19" s="62" t="str">
        <f t="shared" si="17"/>
        <v/>
      </c>
      <c r="BR19" s="44">
        <v>3.25</v>
      </c>
      <c r="BS19" s="44">
        <v>7</v>
      </c>
      <c r="BT19" s="62">
        <f t="shared" si="18"/>
        <v>2.1538461538461537</v>
      </c>
      <c r="BW19" s="62" t="str">
        <f t="shared" si="19"/>
        <v/>
      </c>
      <c r="BX19" s="44" t="s">
        <v>38</v>
      </c>
      <c r="BY19" s="44">
        <v>2.5</v>
      </c>
      <c r="BZ19" s="44">
        <v>6</v>
      </c>
      <c r="CA19" s="62">
        <f t="shared" si="20"/>
        <v>2.4</v>
      </c>
      <c r="CB19" s="44">
        <v>2.5</v>
      </c>
      <c r="CC19" s="44">
        <v>4</v>
      </c>
      <c r="CD19" s="62">
        <f t="shared" si="21"/>
        <v>1.6</v>
      </c>
    </row>
    <row r="20" spans="1:82" x14ac:dyDescent="0.3">
      <c r="A20" s="49" t="s">
        <v>67</v>
      </c>
      <c r="B20" s="49" t="s">
        <v>104</v>
      </c>
      <c r="C20" s="44" t="s">
        <v>38</v>
      </c>
      <c r="D20" s="44">
        <v>696</v>
      </c>
      <c r="E20" s="44">
        <v>3482</v>
      </c>
      <c r="F20" s="62">
        <f t="shared" si="0"/>
        <v>5.0028735632183912</v>
      </c>
      <c r="G20" s="44" t="s">
        <v>38</v>
      </c>
      <c r="H20" s="44">
        <v>659</v>
      </c>
      <c r="I20" s="44">
        <v>2781</v>
      </c>
      <c r="J20" s="62">
        <f t="shared" si="1"/>
        <v>4.2200303490136575</v>
      </c>
      <c r="K20" s="44" t="s">
        <v>38</v>
      </c>
      <c r="L20" s="44">
        <v>800</v>
      </c>
      <c r="M20" s="44">
        <v>2940</v>
      </c>
      <c r="N20" s="62">
        <f t="shared" si="2"/>
        <v>3.6749999999999998</v>
      </c>
      <c r="O20" s="44" t="s">
        <v>38</v>
      </c>
      <c r="P20" s="44">
        <v>1250</v>
      </c>
      <c r="Q20" s="44">
        <v>4615</v>
      </c>
      <c r="R20" s="62">
        <f t="shared" si="3"/>
        <v>3.6920000000000002</v>
      </c>
      <c r="S20" s="44" t="s">
        <v>38</v>
      </c>
      <c r="T20" s="44">
        <v>1140</v>
      </c>
      <c r="U20" s="44">
        <v>4071</v>
      </c>
      <c r="V20" s="62">
        <f t="shared" si="4"/>
        <v>3.5710526315789473</v>
      </c>
      <c r="W20" s="44" t="s">
        <v>38</v>
      </c>
      <c r="X20" s="44">
        <v>1100</v>
      </c>
      <c r="Y20" s="44">
        <v>3437</v>
      </c>
      <c r="Z20" s="62">
        <f t="shared" si="5"/>
        <v>3.1245454545454545</v>
      </c>
      <c r="AA20" s="44">
        <v>820</v>
      </c>
      <c r="AB20" s="44">
        <v>2523</v>
      </c>
      <c r="AC20" s="62">
        <f t="shared" si="6"/>
        <v>3.0768292682926828</v>
      </c>
      <c r="AD20" s="44" t="s">
        <v>38</v>
      </c>
      <c r="AE20" s="44">
        <v>840</v>
      </c>
      <c r="AF20" s="44">
        <v>2333</v>
      </c>
      <c r="AG20" s="62">
        <f t="shared" si="7"/>
        <v>2.7773809523809523</v>
      </c>
      <c r="AH20" s="44">
        <v>515</v>
      </c>
      <c r="AI20" s="44">
        <v>2167</v>
      </c>
      <c r="AJ20" s="62">
        <f t="shared" si="8"/>
        <v>4.2077669902912618</v>
      </c>
      <c r="AK20" s="44" t="s">
        <v>38</v>
      </c>
      <c r="AL20" s="44">
        <v>550</v>
      </c>
      <c r="AM20" s="44">
        <v>1940</v>
      </c>
      <c r="AN20" s="62">
        <f t="shared" si="9"/>
        <v>3.5272727272727273</v>
      </c>
      <c r="AO20" s="44" t="s">
        <v>38</v>
      </c>
      <c r="AP20" s="44">
        <v>440</v>
      </c>
      <c r="AQ20" s="44">
        <v>1843</v>
      </c>
      <c r="AR20" s="62">
        <f t="shared" si="10"/>
        <v>4.1886363636363635</v>
      </c>
      <c r="AS20" s="44" t="s">
        <v>38</v>
      </c>
      <c r="AT20" s="44">
        <v>370</v>
      </c>
      <c r="AU20" s="44">
        <v>1155</v>
      </c>
      <c r="AV20" s="62">
        <f t="shared" si="11"/>
        <v>3.1216216216216215</v>
      </c>
      <c r="AW20" s="44">
        <v>690</v>
      </c>
      <c r="AX20" s="44">
        <v>1840</v>
      </c>
      <c r="AY20" s="62">
        <f t="shared" si="12"/>
        <v>2.6666666666666665</v>
      </c>
      <c r="AZ20" s="44" t="s">
        <v>38</v>
      </c>
      <c r="BA20" s="44">
        <v>600</v>
      </c>
      <c r="BB20" s="44">
        <v>1600</v>
      </c>
      <c r="BC20" s="62">
        <f t="shared" si="13"/>
        <v>2.6666666666666665</v>
      </c>
      <c r="BD20" s="44">
        <v>703</v>
      </c>
      <c r="BE20" s="44">
        <v>1875</v>
      </c>
      <c r="BF20" s="62">
        <f t="shared" si="14"/>
        <v>2.6671408250355619</v>
      </c>
      <c r="BJ20" s="62" t="str">
        <f t="shared" si="15"/>
        <v/>
      </c>
      <c r="BM20" s="62" t="str">
        <f t="shared" si="16"/>
        <v/>
      </c>
      <c r="BQ20" s="62" t="str">
        <f t="shared" si="17"/>
        <v/>
      </c>
      <c r="BT20" s="62" t="str">
        <f t="shared" si="18"/>
        <v/>
      </c>
      <c r="BW20" s="62" t="str">
        <f t="shared" si="19"/>
        <v/>
      </c>
      <c r="CA20" s="62" t="str">
        <f t="shared" si="20"/>
        <v/>
      </c>
      <c r="CD20" s="62" t="str">
        <f t="shared" si="21"/>
        <v/>
      </c>
    </row>
    <row r="21" spans="1:82" x14ac:dyDescent="0.3">
      <c r="A21" s="49" t="s">
        <v>66</v>
      </c>
      <c r="B21" s="49" t="s">
        <v>284</v>
      </c>
      <c r="F21" s="62" t="str">
        <f t="shared" si="0"/>
        <v/>
      </c>
      <c r="J21" s="62" t="str">
        <f t="shared" si="1"/>
        <v/>
      </c>
      <c r="N21" s="62" t="str">
        <f t="shared" si="2"/>
        <v/>
      </c>
      <c r="R21" s="62" t="str">
        <f t="shared" si="3"/>
        <v/>
      </c>
      <c r="V21" s="62" t="str">
        <f t="shared" si="4"/>
        <v/>
      </c>
      <c r="W21" s="44" t="s">
        <v>38</v>
      </c>
      <c r="X21" s="44">
        <v>770</v>
      </c>
      <c r="Y21" s="44">
        <v>625</v>
      </c>
      <c r="Z21" s="62">
        <f t="shared" si="5"/>
        <v>0.81168831168831168</v>
      </c>
      <c r="AC21" s="62" t="str">
        <f t="shared" si="6"/>
        <v/>
      </c>
      <c r="AG21" s="62" t="str">
        <f t="shared" si="7"/>
        <v/>
      </c>
      <c r="AJ21" s="62" t="str">
        <f t="shared" si="8"/>
        <v/>
      </c>
      <c r="AN21" s="62" t="str">
        <f t="shared" si="9"/>
        <v/>
      </c>
      <c r="AR21" s="62" t="str">
        <f t="shared" si="10"/>
        <v/>
      </c>
      <c r="AV21" s="62" t="str">
        <f t="shared" si="11"/>
        <v/>
      </c>
      <c r="AY21" s="62" t="str">
        <f t="shared" si="12"/>
        <v/>
      </c>
      <c r="BC21" s="62" t="str">
        <f t="shared" si="13"/>
        <v/>
      </c>
      <c r="BF21" s="62" t="str">
        <f t="shared" si="14"/>
        <v/>
      </c>
      <c r="BJ21" s="62" t="str">
        <f t="shared" si="15"/>
        <v/>
      </c>
      <c r="BM21" s="62" t="str">
        <f t="shared" si="16"/>
        <v/>
      </c>
      <c r="BQ21" s="62" t="str">
        <f t="shared" si="17"/>
        <v/>
      </c>
      <c r="BT21" s="62" t="str">
        <f t="shared" si="18"/>
        <v/>
      </c>
      <c r="BW21" s="62" t="str">
        <f t="shared" si="19"/>
        <v/>
      </c>
      <c r="CA21" s="62" t="str">
        <f t="shared" si="20"/>
        <v/>
      </c>
      <c r="CD21" s="62" t="str">
        <f t="shared" si="21"/>
        <v/>
      </c>
    </row>
    <row r="22" spans="1:82" x14ac:dyDescent="0.3">
      <c r="A22" s="53" t="s">
        <v>10</v>
      </c>
      <c r="B22" s="49" t="s">
        <v>104</v>
      </c>
      <c r="C22" s="44" t="s">
        <v>38</v>
      </c>
      <c r="D22" s="44">
        <v>2750</v>
      </c>
      <c r="E22" s="44">
        <v>10257</v>
      </c>
      <c r="F22" s="62">
        <f t="shared" si="0"/>
        <v>3.7298181818181817</v>
      </c>
      <c r="G22" s="44" t="s">
        <v>38</v>
      </c>
      <c r="H22" s="44">
        <v>3496</v>
      </c>
      <c r="I22" s="44">
        <v>11747</v>
      </c>
      <c r="J22" s="62">
        <f t="shared" si="1"/>
        <v>3.36012585812357</v>
      </c>
      <c r="K22" s="44" t="s">
        <v>38</v>
      </c>
      <c r="L22" s="44">
        <v>4250</v>
      </c>
      <c r="M22" s="44">
        <v>10639</v>
      </c>
      <c r="N22" s="62">
        <f t="shared" si="2"/>
        <v>2.5032941176470587</v>
      </c>
      <c r="O22" s="44" t="s">
        <v>38</v>
      </c>
      <c r="P22" s="44">
        <v>6300</v>
      </c>
      <c r="Q22" s="44">
        <v>14846</v>
      </c>
      <c r="R22" s="62">
        <f t="shared" si="3"/>
        <v>2.3565079365079367</v>
      </c>
      <c r="S22" s="44" t="s">
        <v>38</v>
      </c>
      <c r="T22" s="44">
        <v>5285</v>
      </c>
      <c r="U22" s="44">
        <v>22650</v>
      </c>
      <c r="V22" s="62">
        <f t="shared" si="4"/>
        <v>4.2857142857142856</v>
      </c>
      <c r="W22" s="44" t="s">
        <v>38</v>
      </c>
      <c r="X22" s="44">
        <v>3500</v>
      </c>
      <c r="Y22" s="44">
        <v>10437</v>
      </c>
      <c r="Z22" s="62">
        <f t="shared" si="5"/>
        <v>2.9820000000000002</v>
      </c>
      <c r="AA22" s="44">
        <v>3000</v>
      </c>
      <c r="AB22" s="44">
        <v>10154</v>
      </c>
      <c r="AC22" s="62">
        <f t="shared" si="6"/>
        <v>3.3846666666666665</v>
      </c>
      <c r="AD22" s="44" t="s">
        <v>38</v>
      </c>
      <c r="AE22" s="44">
        <v>2471.5</v>
      </c>
      <c r="AF22" s="44">
        <v>9611</v>
      </c>
      <c r="AG22" s="62">
        <f t="shared" si="7"/>
        <v>3.8887315395508799</v>
      </c>
      <c r="AH22" s="44">
        <v>1386</v>
      </c>
      <c r="AI22" s="44">
        <v>5389</v>
      </c>
      <c r="AJ22" s="62">
        <f t="shared" si="8"/>
        <v>3.8881673881673882</v>
      </c>
      <c r="AK22" s="44" t="s">
        <v>38</v>
      </c>
      <c r="AL22" s="44">
        <v>630</v>
      </c>
      <c r="AM22" s="44">
        <v>2594</v>
      </c>
      <c r="AN22" s="62">
        <f t="shared" si="9"/>
        <v>4.117460317460317</v>
      </c>
      <c r="AO22" s="44" t="s">
        <v>38</v>
      </c>
      <c r="AP22" s="44">
        <v>880</v>
      </c>
      <c r="AQ22" s="44">
        <v>2750</v>
      </c>
      <c r="AR22" s="62">
        <f t="shared" si="10"/>
        <v>3.125</v>
      </c>
      <c r="AS22" s="44" t="s">
        <v>38</v>
      </c>
      <c r="AT22" s="44">
        <v>2817</v>
      </c>
      <c r="AU22" s="44">
        <v>5282</v>
      </c>
      <c r="AV22" s="62">
        <f t="shared" si="11"/>
        <v>1.8750443734469293</v>
      </c>
      <c r="AW22" s="44">
        <v>3700</v>
      </c>
      <c r="AX22" s="44">
        <v>6169</v>
      </c>
      <c r="AY22" s="62">
        <f t="shared" si="12"/>
        <v>1.6672972972972973</v>
      </c>
      <c r="AZ22" s="44" t="s">
        <v>38</v>
      </c>
      <c r="BA22" s="44">
        <v>2770</v>
      </c>
      <c r="BB22" s="44">
        <v>4583</v>
      </c>
      <c r="BC22" s="62">
        <f t="shared" si="13"/>
        <v>1.6545126353790613</v>
      </c>
      <c r="BD22" s="44">
        <v>2943</v>
      </c>
      <c r="BE22" s="44">
        <v>4905</v>
      </c>
      <c r="BF22" s="62">
        <f t="shared" si="14"/>
        <v>1.6666666666666667</v>
      </c>
      <c r="BJ22" s="62" t="str">
        <f t="shared" si="15"/>
        <v/>
      </c>
      <c r="BM22" s="62" t="str">
        <f t="shared" si="16"/>
        <v/>
      </c>
      <c r="BQ22" s="62" t="str">
        <f t="shared" si="17"/>
        <v/>
      </c>
      <c r="BT22" s="62" t="str">
        <f t="shared" si="18"/>
        <v/>
      </c>
      <c r="BW22" s="62" t="str">
        <f t="shared" si="19"/>
        <v/>
      </c>
      <c r="CA22" s="62" t="str">
        <f t="shared" si="20"/>
        <v/>
      </c>
      <c r="CD22" s="62" t="str">
        <f t="shared" si="21"/>
        <v/>
      </c>
    </row>
    <row r="23" spans="1:82" x14ac:dyDescent="0.3">
      <c r="A23" s="53" t="s">
        <v>228</v>
      </c>
      <c r="B23" s="49" t="s">
        <v>104</v>
      </c>
      <c r="C23" s="44" t="s">
        <v>38</v>
      </c>
      <c r="D23" s="44">
        <v>1507</v>
      </c>
      <c r="E23" s="44">
        <v>1071</v>
      </c>
      <c r="F23" s="62">
        <f t="shared" si="0"/>
        <v>0.71068347710683477</v>
      </c>
      <c r="G23" s="44" t="s">
        <v>38</v>
      </c>
      <c r="H23" s="44">
        <v>1591</v>
      </c>
      <c r="I23" s="44">
        <v>1114</v>
      </c>
      <c r="J23" s="62">
        <f t="shared" si="1"/>
        <v>0.70018856065367696</v>
      </c>
      <c r="K23" s="44" t="s">
        <v>38</v>
      </c>
      <c r="L23" s="44">
        <v>1850</v>
      </c>
      <c r="M23" s="44">
        <v>1518</v>
      </c>
      <c r="N23" s="62">
        <f t="shared" si="2"/>
        <v>0.82054054054054049</v>
      </c>
      <c r="O23" s="44" t="s">
        <v>38</v>
      </c>
      <c r="P23" s="44">
        <v>2500</v>
      </c>
      <c r="Q23" s="44">
        <v>2308</v>
      </c>
      <c r="R23" s="62">
        <f t="shared" si="3"/>
        <v>0.92320000000000002</v>
      </c>
      <c r="S23" s="44" t="s">
        <v>38</v>
      </c>
      <c r="T23" s="44">
        <v>1833</v>
      </c>
      <c r="U23" s="44">
        <v>1571</v>
      </c>
      <c r="V23" s="62">
        <f t="shared" si="4"/>
        <v>0.85706492089470809</v>
      </c>
      <c r="W23" s="44" t="s">
        <v>38</v>
      </c>
      <c r="X23" s="44">
        <v>1375</v>
      </c>
      <c r="Y23" s="44">
        <v>1031</v>
      </c>
      <c r="Z23" s="62">
        <f t="shared" si="5"/>
        <v>0.74981818181818183</v>
      </c>
      <c r="AA23" s="44">
        <v>1208</v>
      </c>
      <c r="AB23" s="44">
        <v>892</v>
      </c>
      <c r="AC23" s="62">
        <f t="shared" si="6"/>
        <v>0.73841059602649006</v>
      </c>
      <c r="AD23" s="44" t="s">
        <v>38</v>
      </c>
      <c r="AE23" s="44">
        <v>1292</v>
      </c>
      <c r="AF23" s="44">
        <v>861</v>
      </c>
      <c r="AG23" s="62">
        <f t="shared" si="7"/>
        <v>0.66640866873065019</v>
      </c>
      <c r="AJ23" s="62" t="str">
        <f t="shared" si="8"/>
        <v/>
      </c>
      <c r="AK23" s="44" t="s">
        <v>38</v>
      </c>
      <c r="AL23" s="44">
        <v>500</v>
      </c>
      <c r="AM23" s="44">
        <v>353</v>
      </c>
      <c r="AN23" s="62">
        <f t="shared" si="9"/>
        <v>0.70599999999999996</v>
      </c>
      <c r="AO23" s="44" t="s">
        <v>38</v>
      </c>
      <c r="AP23" s="44">
        <v>600</v>
      </c>
      <c r="AQ23" s="44">
        <v>450</v>
      </c>
      <c r="AR23" s="62">
        <f t="shared" si="10"/>
        <v>0.75</v>
      </c>
      <c r="AS23" s="44" t="s">
        <v>38</v>
      </c>
      <c r="AT23" s="44">
        <v>550</v>
      </c>
      <c r="AU23" s="44">
        <v>412</v>
      </c>
      <c r="AV23" s="62">
        <f t="shared" si="11"/>
        <v>0.74909090909090914</v>
      </c>
      <c r="AW23" s="44">
        <v>500</v>
      </c>
      <c r="AX23" s="44">
        <v>400</v>
      </c>
      <c r="AY23" s="62">
        <f t="shared" si="12"/>
        <v>0.8</v>
      </c>
      <c r="AZ23" s="44" t="s">
        <v>38</v>
      </c>
      <c r="BA23" s="44">
        <v>600</v>
      </c>
      <c r="BB23" s="44">
        <v>480</v>
      </c>
      <c r="BC23" s="62">
        <f t="shared" si="13"/>
        <v>0.8</v>
      </c>
      <c r="BD23" s="44">
        <v>280</v>
      </c>
      <c r="BE23" s="44">
        <v>224</v>
      </c>
      <c r="BF23" s="62">
        <f t="shared" si="14"/>
        <v>0.8</v>
      </c>
      <c r="BG23" s="44" t="s">
        <v>38</v>
      </c>
      <c r="BH23" s="44">
        <v>8</v>
      </c>
      <c r="BI23" s="44">
        <v>55</v>
      </c>
      <c r="BJ23" s="62">
        <f t="shared" si="15"/>
        <v>6.875</v>
      </c>
      <c r="BM23" s="62" t="str">
        <f t="shared" si="16"/>
        <v/>
      </c>
      <c r="BN23" s="44" t="s">
        <v>38</v>
      </c>
      <c r="BQ23" s="62" t="str">
        <f t="shared" si="17"/>
        <v/>
      </c>
      <c r="BR23" s="44">
        <v>98</v>
      </c>
      <c r="BS23" s="44">
        <v>44</v>
      </c>
      <c r="BT23" s="62">
        <f t="shared" si="18"/>
        <v>0.44897959183673469</v>
      </c>
      <c r="BU23" s="44">
        <v>75</v>
      </c>
      <c r="BV23" s="44">
        <v>85</v>
      </c>
      <c r="BW23" s="62">
        <f t="shared" si="19"/>
        <v>1.1333333333333333</v>
      </c>
      <c r="BX23" s="44" t="s">
        <v>38</v>
      </c>
      <c r="BY23" s="44">
        <v>51.75</v>
      </c>
      <c r="BZ23" s="44">
        <v>38</v>
      </c>
      <c r="CA23" s="62">
        <f t="shared" si="20"/>
        <v>0.7342995169082126</v>
      </c>
      <c r="CB23" s="44">
        <v>25.25</v>
      </c>
      <c r="CC23" s="44">
        <v>17</v>
      </c>
      <c r="CD23" s="62">
        <f t="shared" si="21"/>
        <v>0.67326732673267331</v>
      </c>
    </row>
    <row r="24" spans="1:82" x14ac:dyDescent="0.3">
      <c r="A24" s="49" t="s">
        <v>229</v>
      </c>
      <c r="B24" s="49" t="s">
        <v>294</v>
      </c>
      <c r="C24" s="44" t="s">
        <v>64</v>
      </c>
      <c r="D24" s="44">
        <v>1770</v>
      </c>
      <c r="E24" s="44">
        <v>70357</v>
      </c>
      <c r="F24" s="62">
        <f t="shared" si="0"/>
        <v>39.749717514124292</v>
      </c>
      <c r="G24" s="44" t="s">
        <v>64</v>
      </c>
      <c r="H24" s="44">
        <v>2256</v>
      </c>
      <c r="I24" s="44">
        <v>101266</v>
      </c>
      <c r="J24" s="62">
        <f t="shared" si="1"/>
        <v>44.887411347517734</v>
      </c>
      <c r="K24" s="44" t="s">
        <v>64</v>
      </c>
      <c r="L24" s="44">
        <v>3100</v>
      </c>
      <c r="M24" s="44">
        <v>99829</v>
      </c>
      <c r="N24" s="62">
        <f t="shared" si="2"/>
        <v>32.202903225806452</v>
      </c>
      <c r="O24" s="44" t="s">
        <v>43</v>
      </c>
      <c r="P24" s="44">
        <v>3081</v>
      </c>
      <c r="Q24" s="44">
        <v>111615</v>
      </c>
      <c r="R24" s="62">
        <f t="shared" si="3"/>
        <v>36.226874391431352</v>
      </c>
      <c r="S24" s="44" t="s">
        <v>40</v>
      </c>
      <c r="T24" s="32">
        <v>4212</v>
      </c>
      <c r="U24" s="32">
        <v>95714</v>
      </c>
      <c r="V24" s="62">
        <f t="shared" si="4"/>
        <v>22.72412155745489</v>
      </c>
      <c r="W24" s="44" t="s">
        <v>40</v>
      </c>
      <c r="X24" s="44">
        <v>3800</v>
      </c>
      <c r="Y24" s="44">
        <v>82937</v>
      </c>
      <c r="Z24" s="62">
        <f t="shared" si="5"/>
        <v>21.825526315789475</v>
      </c>
      <c r="AA24" s="44">
        <v>3353</v>
      </c>
      <c r="AB24" s="44">
        <v>76111</v>
      </c>
      <c r="AC24" s="62">
        <f t="shared" si="6"/>
        <v>22.699373695198329</v>
      </c>
      <c r="AD24" s="44" t="s">
        <v>40</v>
      </c>
      <c r="AE24" s="44">
        <v>2935</v>
      </c>
      <c r="AF24" s="44">
        <v>64566</v>
      </c>
      <c r="AG24" s="62">
        <f t="shared" si="7"/>
        <v>21.998637137989778</v>
      </c>
      <c r="AH24" s="44">
        <v>2750</v>
      </c>
      <c r="AI24" s="44">
        <v>53889</v>
      </c>
      <c r="AJ24" s="62">
        <f t="shared" si="8"/>
        <v>19.596</v>
      </c>
      <c r="AN24" s="62" t="str">
        <f t="shared" si="9"/>
        <v/>
      </c>
      <c r="AR24" s="62" t="str">
        <f t="shared" si="10"/>
        <v/>
      </c>
      <c r="AV24" s="62" t="str">
        <f t="shared" si="11"/>
        <v/>
      </c>
      <c r="AY24" s="62" t="str">
        <f t="shared" si="12"/>
        <v/>
      </c>
      <c r="AZ24" s="44" t="s">
        <v>40</v>
      </c>
      <c r="BA24" s="44">
        <v>877</v>
      </c>
      <c r="BB24" s="44">
        <v>26227</v>
      </c>
      <c r="BC24" s="62">
        <f t="shared" si="13"/>
        <v>29.905359179019385</v>
      </c>
      <c r="BD24" s="44">
        <v>723</v>
      </c>
      <c r="BE24" s="44">
        <v>23133</v>
      </c>
      <c r="BF24" s="62">
        <f t="shared" si="14"/>
        <v>31.995850622406639</v>
      </c>
      <c r="BJ24" s="62" t="str">
        <f t="shared" si="15"/>
        <v/>
      </c>
      <c r="BM24" s="62" t="str">
        <f t="shared" si="16"/>
        <v/>
      </c>
      <c r="BN24" s="44" t="s">
        <v>38</v>
      </c>
      <c r="BQ24" s="62" t="str">
        <f t="shared" si="17"/>
        <v/>
      </c>
      <c r="BR24" s="44">
        <v>428.25</v>
      </c>
      <c r="BS24" s="44">
        <v>2080</v>
      </c>
      <c r="BT24" s="62">
        <f t="shared" si="18"/>
        <v>4.8569760653823701</v>
      </c>
      <c r="BU24" s="44">
        <v>838</v>
      </c>
      <c r="BV24" s="44">
        <v>4112</v>
      </c>
      <c r="BW24" s="62">
        <f t="shared" si="19"/>
        <v>4.9069212410501191</v>
      </c>
      <c r="BX24" s="44" t="s">
        <v>38</v>
      </c>
      <c r="BY24" s="44">
        <v>287</v>
      </c>
      <c r="BZ24" s="44">
        <v>1404</v>
      </c>
      <c r="CA24" s="62">
        <f t="shared" si="20"/>
        <v>4.8919860627177698</v>
      </c>
      <c r="CB24" s="44">
        <v>893.5</v>
      </c>
      <c r="CC24" s="44">
        <v>5300</v>
      </c>
      <c r="CD24" s="62">
        <f t="shared" si="21"/>
        <v>5.9317291550083944</v>
      </c>
    </row>
    <row r="25" spans="1:82" x14ac:dyDescent="0.3">
      <c r="A25" s="49" t="s">
        <v>230</v>
      </c>
      <c r="B25" s="49" t="s">
        <v>284</v>
      </c>
      <c r="F25" s="62" t="str">
        <f t="shared" si="0"/>
        <v/>
      </c>
      <c r="J25" s="62" t="str">
        <f t="shared" si="1"/>
        <v/>
      </c>
      <c r="N25" s="62" t="str">
        <f t="shared" si="2"/>
        <v/>
      </c>
      <c r="R25" s="62" t="str">
        <f t="shared" si="3"/>
        <v/>
      </c>
      <c r="T25" s="32"/>
      <c r="U25" s="32"/>
      <c r="V25" s="62" t="str">
        <f t="shared" si="4"/>
        <v/>
      </c>
      <c r="Z25" s="62" t="str">
        <f t="shared" si="5"/>
        <v/>
      </c>
      <c r="AC25" s="62" t="str">
        <f t="shared" si="6"/>
        <v/>
      </c>
      <c r="AG25" s="62" t="str">
        <f t="shared" si="7"/>
        <v/>
      </c>
      <c r="AJ25" s="62" t="str">
        <f t="shared" si="8"/>
        <v/>
      </c>
      <c r="AK25" s="44" t="s">
        <v>40</v>
      </c>
      <c r="AL25" s="44">
        <v>200</v>
      </c>
      <c r="AM25" s="44">
        <v>5323</v>
      </c>
      <c r="AN25" s="62">
        <f t="shared" si="9"/>
        <v>26.614999999999998</v>
      </c>
      <c r="AO25" s="44" t="s">
        <v>40</v>
      </c>
      <c r="AP25" s="54">
        <v>236</v>
      </c>
      <c r="AQ25" s="44">
        <v>5900</v>
      </c>
      <c r="AR25" s="62">
        <f t="shared" si="10"/>
        <v>25</v>
      </c>
      <c r="AS25" s="44" t="s">
        <v>40</v>
      </c>
      <c r="AT25" s="44">
        <v>205</v>
      </c>
      <c r="AU25" s="44">
        <v>3203</v>
      </c>
      <c r="AV25" s="62">
        <f t="shared" si="11"/>
        <v>15.62439024390244</v>
      </c>
      <c r="AW25" s="44">
        <v>120</v>
      </c>
      <c r="AX25" s="44">
        <v>4800</v>
      </c>
      <c r="AY25" s="62">
        <f t="shared" si="12"/>
        <v>40</v>
      </c>
      <c r="BC25" s="62" t="str">
        <f t="shared" si="13"/>
        <v/>
      </c>
      <c r="BF25" s="62" t="str">
        <f t="shared" si="14"/>
        <v/>
      </c>
      <c r="BG25" s="44" t="s">
        <v>38</v>
      </c>
      <c r="BH25" s="44">
        <v>658</v>
      </c>
      <c r="BI25" s="44">
        <v>1636</v>
      </c>
      <c r="BJ25" s="62">
        <f t="shared" si="15"/>
        <v>2.4863221884498481</v>
      </c>
      <c r="BK25" s="44">
        <v>496</v>
      </c>
      <c r="BL25" s="44">
        <v>2010</v>
      </c>
      <c r="BM25" s="62">
        <f t="shared" si="16"/>
        <v>4.05241935483871</v>
      </c>
      <c r="BN25" s="44" t="s">
        <v>38</v>
      </c>
      <c r="BO25" s="44">
        <v>295</v>
      </c>
      <c r="BP25" s="44">
        <v>1581</v>
      </c>
      <c r="BQ25" s="62">
        <f t="shared" si="17"/>
        <v>5.3593220338983052</v>
      </c>
      <c r="BT25" s="62" t="str">
        <f t="shared" si="18"/>
        <v/>
      </c>
      <c r="BW25" s="62" t="str">
        <f t="shared" si="19"/>
        <v/>
      </c>
      <c r="CA25" s="62" t="str">
        <f t="shared" si="20"/>
        <v/>
      </c>
      <c r="CD25" s="62" t="str">
        <f t="shared" si="21"/>
        <v/>
      </c>
    </row>
    <row r="26" spans="1:82" x14ac:dyDescent="0.3">
      <c r="A26" s="49" t="s">
        <v>231</v>
      </c>
      <c r="B26" s="49" t="s">
        <v>284</v>
      </c>
      <c r="F26" s="62" t="str">
        <f t="shared" si="0"/>
        <v/>
      </c>
      <c r="J26" s="62" t="str">
        <f t="shared" si="1"/>
        <v/>
      </c>
      <c r="N26" s="62" t="str">
        <f t="shared" si="2"/>
        <v/>
      </c>
      <c r="R26" s="62" t="str">
        <f t="shared" si="3"/>
        <v/>
      </c>
      <c r="T26" s="32"/>
      <c r="U26" s="32"/>
      <c r="V26" s="62" t="str">
        <f t="shared" si="4"/>
        <v/>
      </c>
      <c r="Z26" s="62" t="str">
        <f t="shared" si="5"/>
        <v/>
      </c>
      <c r="AC26" s="62" t="str">
        <f t="shared" si="6"/>
        <v/>
      </c>
      <c r="AG26" s="62" t="str">
        <f t="shared" si="7"/>
        <v/>
      </c>
      <c r="AJ26" s="62" t="str">
        <f t="shared" si="8"/>
        <v/>
      </c>
      <c r="AK26" s="44" t="s">
        <v>40</v>
      </c>
      <c r="AL26" s="44">
        <v>305</v>
      </c>
      <c r="AM26" s="44">
        <v>6235</v>
      </c>
      <c r="AN26" s="62">
        <f t="shared" si="9"/>
        <v>20.442622950819672</v>
      </c>
      <c r="AO26" s="44" t="s">
        <v>40</v>
      </c>
      <c r="AP26" s="54">
        <v>405</v>
      </c>
      <c r="AQ26" s="44">
        <v>7250</v>
      </c>
      <c r="AR26" s="62">
        <f t="shared" si="10"/>
        <v>17.901234567901234</v>
      </c>
      <c r="AS26" s="44" t="s">
        <v>40</v>
      </c>
      <c r="AT26" s="44">
        <v>282</v>
      </c>
      <c r="AU26" s="44">
        <v>5288</v>
      </c>
      <c r="AV26" s="62">
        <f t="shared" si="11"/>
        <v>18.75177304964539</v>
      </c>
      <c r="AW26" s="44">
        <v>182</v>
      </c>
      <c r="AX26" s="44">
        <v>3640</v>
      </c>
      <c r="AY26" s="62">
        <f t="shared" si="12"/>
        <v>20</v>
      </c>
      <c r="BC26" s="62" t="str">
        <f t="shared" si="13"/>
        <v/>
      </c>
      <c r="BF26" s="62" t="str">
        <f t="shared" si="14"/>
        <v/>
      </c>
      <c r="BJ26" s="62" t="str">
        <f t="shared" si="15"/>
        <v/>
      </c>
      <c r="BM26" s="62" t="str">
        <f t="shared" si="16"/>
        <v/>
      </c>
      <c r="BQ26" s="62" t="str">
        <f t="shared" si="17"/>
        <v/>
      </c>
      <c r="BT26" s="62" t="str">
        <f t="shared" si="18"/>
        <v/>
      </c>
      <c r="BW26" s="62" t="str">
        <f t="shared" si="19"/>
        <v/>
      </c>
      <c r="CA26" s="62" t="str">
        <f t="shared" si="20"/>
        <v/>
      </c>
      <c r="CD26" s="62" t="str">
        <f t="shared" si="21"/>
        <v/>
      </c>
    </row>
    <row r="27" spans="1:82" x14ac:dyDescent="0.3">
      <c r="A27" s="49" t="s">
        <v>233</v>
      </c>
      <c r="B27" s="49" t="s">
        <v>284</v>
      </c>
      <c r="F27" s="62" t="str">
        <f t="shared" si="0"/>
        <v/>
      </c>
      <c r="J27" s="62" t="str">
        <f t="shared" si="1"/>
        <v/>
      </c>
      <c r="N27" s="62" t="str">
        <f t="shared" si="2"/>
        <v/>
      </c>
      <c r="R27" s="62" t="str">
        <f t="shared" si="3"/>
        <v/>
      </c>
      <c r="T27" s="32"/>
      <c r="U27" s="32"/>
      <c r="V27" s="62" t="str">
        <f t="shared" si="4"/>
        <v/>
      </c>
      <c r="Z27" s="62" t="str">
        <f t="shared" si="5"/>
        <v/>
      </c>
      <c r="AC27" s="62" t="str">
        <f t="shared" si="6"/>
        <v/>
      </c>
      <c r="AG27" s="62" t="str">
        <f t="shared" si="7"/>
        <v/>
      </c>
      <c r="AJ27" s="62" t="str">
        <f t="shared" si="8"/>
        <v/>
      </c>
      <c r="AK27" s="44" t="s">
        <v>40</v>
      </c>
      <c r="AL27" s="44">
        <v>439</v>
      </c>
      <c r="AM27" s="44">
        <v>9647</v>
      </c>
      <c r="AN27" s="62">
        <f t="shared" si="9"/>
        <v>21.974943052391801</v>
      </c>
      <c r="AO27" s="44" t="s">
        <v>40</v>
      </c>
      <c r="AP27" s="54">
        <v>315</v>
      </c>
      <c r="AQ27" s="44">
        <v>8907</v>
      </c>
      <c r="AR27" s="62">
        <f t="shared" si="10"/>
        <v>28.276190476190475</v>
      </c>
      <c r="AS27" s="44" t="s">
        <v>40</v>
      </c>
      <c r="AT27" s="44">
        <v>219</v>
      </c>
      <c r="AU27" s="44">
        <v>6844</v>
      </c>
      <c r="AV27" s="62">
        <f t="shared" si="11"/>
        <v>31.251141552511417</v>
      </c>
      <c r="AW27" s="44">
        <v>103</v>
      </c>
      <c r="AX27" s="44">
        <v>3472</v>
      </c>
      <c r="AY27" s="62">
        <f t="shared" si="12"/>
        <v>33.708737864077669</v>
      </c>
      <c r="BC27" s="62" t="str">
        <f t="shared" si="13"/>
        <v/>
      </c>
      <c r="BF27" s="62" t="str">
        <f t="shared" si="14"/>
        <v/>
      </c>
      <c r="BJ27" s="62" t="str">
        <f t="shared" si="15"/>
        <v/>
      </c>
      <c r="BM27" s="62" t="str">
        <f t="shared" si="16"/>
        <v/>
      </c>
      <c r="BQ27" s="62" t="str">
        <f t="shared" si="17"/>
        <v/>
      </c>
      <c r="BT27" s="62" t="str">
        <f t="shared" si="18"/>
        <v/>
      </c>
      <c r="BW27" s="62" t="str">
        <f t="shared" si="19"/>
        <v/>
      </c>
      <c r="CA27" s="62" t="str">
        <f t="shared" si="20"/>
        <v/>
      </c>
      <c r="CD27" s="62" t="str">
        <f t="shared" si="21"/>
        <v/>
      </c>
    </row>
    <row r="28" spans="1:82" x14ac:dyDescent="0.3">
      <c r="A28" s="49" t="s">
        <v>235</v>
      </c>
      <c r="B28" s="49" t="s">
        <v>284</v>
      </c>
      <c r="F28" s="62" t="str">
        <f t="shared" si="0"/>
        <v/>
      </c>
      <c r="J28" s="62" t="str">
        <f t="shared" si="1"/>
        <v/>
      </c>
      <c r="N28" s="62" t="str">
        <f t="shared" si="2"/>
        <v/>
      </c>
      <c r="R28" s="62" t="str">
        <f t="shared" si="3"/>
        <v/>
      </c>
      <c r="T28" s="32"/>
      <c r="U28" s="32"/>
      <c r="V28" s="62" t="str">
        <f t="shared" si="4"/>
        <v/>
      </c>
      <c r="Z28" s="62" t="str">
        <f t="shared" si="5"/>
        <v/>
      </c>
      <c r="AC28" s="62" t="str">
        <f t="shared" si="6"/>
        <v/>
      </c>
      <c r="AG28" s="62" t="str">
        <f t="shared" si="7"/>
        <v/>
      </c>
      <c r="AJ28" s="62" t="str">
        <f t="shared" si="8"/>
        <v/>
      </c>
      <c r="AK28" s="44" t="s">
        <v>40</v>
      </c>
      <c r="AL28" s="44">
        <v>476</v>
      </c>
      <c r="AM28" s="44">
        <v>10470</v>
      </c>
      <c r="AN28" s="62">
        <f t="shared" si="9"/>
        <v>21.995798319327729</v>
      </c>
      <c r="AO28" s="44" t="s">
        <v>40</v>
      </c>
      <c r="AP28" s="54">
        <v>810</v>
      </c>
      <c r="AQ28" s="44">
        <v>24687</v>
      </c>
      <c r="AR28" s="62">
        <f t="shared" si="10"/>
        <v>30.477777777777778</v>
      </c>
      <c r="AS28" s="44" t="s">
        <v>40</v>
      </c>
      <c r="AT28" s="44">
        <v>490</v>
      </c>
      <c r="AU28" s="44">
        <v>15312</v>
      </c>
      <c r="AV28" s="62">
        <f t="shared" si="11"/>
        <v>31.248979591836736</v>
      </c>
      <c r="AW28" s="44">
        <v>275</v>
      </c>
      <c r="AX28" s="44">
        <v>8832</v>
      </c>
      <c r="AY28" s="62">
        <f t="shared" si="12"/>
        <v>32.116363636363637</v>
      </c>
      <c r="BC28" s="62" t="str">
        <f t="shared" si="13"/>
        <v/>
      </c>
      <c r="BF28" s="62" t="str">
        <f t="shared" si="14"/>
        <v/>
      </c>
      <c r="BG28" s="44" t="s">
        <v>38</v>
      </c>
      <c r="BJ28" s="62" t="str">
        <f t="shared" si="15"/>
        <v/>
      </c>
      <c r="BK28" s="44">
        <v>282</v>
      </c>
      <c r="BL28" s="44">
        <v>256</v>
      </c>
      <c r="BM28" s="62">
        <f t="shared" si="16"/>
        <v>0.90780141843971629</v>
      </c>
      <c r="BN28" s="44" t="s">
        <v>38</v>
      </c>
      <c r="BO28" s="44">
        <v>338</v>
      </c>
      <c r="BP28" s="44">
        <v>774</v>
      </c>
      <c r="BQ28" s="62">
        <f t="shared" si="17"/>
        <v>2.2899408284023668</v>
      </c>
      <c r="BT28" s="62" t="str">
        <f t="shared" si="18"/>
        <v/>
      </c>
      <c r="BW28" s="62" t="str">
        <f t="shared" si="19"/>
        <v/>
      </c>
      <c r="CA28" s="62" t="str">
        <f t="shared" si="20"/>
        <v/>
      </c>
      <c r="CD28" s="62" t="str">
        <f t="shared" si="21"/>
        <v/>
      </c>
    </row>
    <row r="29" spans="1:82" x14ac:dyDescent="0.3">
      <c r="A29" s="49" t="s">
        <v>11</v>
      </c>
      <c r="B29" s="49" t="s">
        <v>284</v>
      </c>
      <c r="F29" s="62" t="str">
        <f t="shared" si="0"/>
        <v/>
      </c>
      <c r="J29" s="62" t="str">
        <f t="shared" si="1"/>
        <v/>
      </c>
      <c r="N29" s="62" t="str">
        <f t="shared" si="2"/>
        <v/>
      </c>
      <c r="R29" s="62" t="str">
        <f t="shared" si="3"/>
        <v/>
      </c>
      <c r="T29" s="32"/>
      <c r="U29" s="32"/>
      <c r="V29" s="62" t="str">
        <f t="shared" si="4"/>
        <v/>
      </c>
      <c r="Z29" s="62" t="str">
        <f t="shared" si="5"/>
        <v/>
      </c>
      <c r="AC29" s="62" t="str">
        <f t="shared" si="6"/>
        <v/>
      </c>
      <c r="AG29" s="62" t="str">
        <f t="shared" si="7"/>
        <v/>
      </c>
      <c r="AJ29" s="62" t="str">
        <f t="shared" si="8"/>
        <v/>
      </c>
      <c r="AN29" s="62" t="str">
        <f t="shared" si="9"/>
        <v/>
      </c>
      <c r="AO29" s="44" t="s">
        <v>38</v>
      </c>
      <c r="AP29" s="44">
        <v>200</v>
      </c>
      <c r="AQ29" s="44">
        <v>225</v>
      </c>
      <c r="AR29" s="62">
        <f t="shared" si="10"/>
        <v>1.125</v>
      </c>
      <c r="AS29" s="44" t="s">
        <v>38</v>
      </c>
      <c r="AT29" s="44">
        <v>280</v>
      </c>
      <c r="AU29" s="44">
        <v>263</v>
      </c>
      <c r="AV29" s="62">
        <f t="shared" si="11"/>
        <v>0.93928571428571428</v>
      </c>
      <c r="AW29" s="44">
        <v>650</v>
      </c>
      <c r="AX29" s="44">
        <v>650</v>
      </c>
      <c r="AY29" s="62">
        <f t="shared" si="12"/>
        <v>1</v>
      </c>
      <c r="AZ29" s="44" t="s">
        <v>38</v>
      </c>
      <c r="BA29" s="44">
        <v>400</v>
      </c>
      <c r="BB29" s="44">
        <v>400</v>
      </c>
      <c r="BC29" s="62">
        <f t="shared" si="13"/>
        <v>1</v>
      </c>
      <c r="BD29" s="44">
        <v>400</v>
      </c>
      <c r="BE29" s="44">
        <v>384</v>
      </c>
      <c r="BF29" s="62">
        <f t="shared" si="14"/>
        <v>0.96</v>
      </c>
      <c r="BG29" s="44" t="s">
        <v>38</v>
      </c>
      <c r="BH29" s="44">
        <v>228</v>
      </c>
      <c r="BI29" s="44">
        <v>419</v>
      </c>
      <c r="BJ29" s="62">
        <f t="shared" si="15"/>
        <v>1.8377192982456141</v>
      </c>
      <c r="BK29" s="44">
        <v>228</v>
      </c>
      <c r="BL29" s="44">
        <v>446</v>
      </c>
      <c r="BM29" s="62">
        <f t="shared" si="16"/>
        <v>1.9561403508771931</v>
      </c>
      <c r="BN29" s="44" t="s">
        <v>38</v>
      </c>
      <c r="BO29" s="44">
        <v>38</v>
      </c>
      <c r="BP29" s="44">
        <v>63</v>
      </c>
      <c r="BQ29" s="62">
        <f t="shared" si="17"/>
        <v>1.6578947368421053</v>
      </c>
      <c r="BR29" s="44">
        <v>175</v>
      </c>
      <c r="BS29" s="44">
        <v>295</v>
      </c>
      <c r="BT29" s="62">
        <f t="shared" si="18"/>
        <v>1.6857142857142857</v>
      </c>
      <c r="BU29" s="44">
        <v>153</v>
      </c>
      <c r="BV29" s="44">
        <v>331</v>
      </c>
      <c r="BW29" s="62">
        <f t="shared" si="19"/>
        <v>2.1633986928104574</v>
      </c>
      <c r="BX29" s="44" t="s">
        <v>38</v>
      </c>
      <c r="BY29" s="44">
        <v>117</v>
      </c>
      <c r="BZ29" s="44">
        <v>298</v>
      </c>
      <c r="CA29" s="62">
        <f t="shared" si="20"/>
        <v>2.5470085470085468</v>
      </c>
      <c r="CB29" s="44">
        <v>144</v>
      </c>
      <c r="CC29" s="44">
        <v>405</v>
      </c>
      <c r="CD29" s="62">
        <f t="shared" si="21"/>
        <v>2.8125</v>
      </c>
    </row>
    <row r="30" spans="1:82" x14ac:dyDescent="0.3">
      <c r="A30" s="49" t="s">
        <v>339</v>
      </c>
      <c r="B30" s="49" t="s">
        <v>104</v>
      </c>
      <c r="C30" s="44" t="s">
        <v>38</v>
      </c>
      <c r="D30" s="44">
        <v>657</v>
      </c>
      <c r="E30" s="44">
        <v>1757</v>
      </c>
      <c r="F30" s="62">
        <f t="shared" si="0"/>
        <v>2.6742770167427703</v>
      </c>
      <c r="G30" s="44" t="s">
        <v>38</v>
      </c>
      <c r="H30" s="44">
        <v>482</v>
      </c>
      <c r="I30" s="44">
        <v>1654</v>
      </c>
      <c r="J30" s="62">
        <f t="shared" si="1"/>
        <v>3.4315352697095434</v>
      </c>
      <c r="K30" s="44" t="s">
        <v>38</v>
      </c>
      <c r="L30" s="44">
        <v>725</v>
      </c>
      <c r="M30" s="44">
        <v>1983</v>
      </c>
      <c r="N30" s="62">
        <f t="shared" si="2"/>
        <v>2.7351724137931033</v>
      </c>
      <c r="O30" s="44" t="s">
        <v>38</v>
      </c>
      <c r="P30" s="44">
        <v>1000</v>
      </c>
      <c r="Q30" s="44">
        <v>3077</v>
      </c>
      <c r="R30" s="62">
        <f t="shared" si="3"/>
        <v>3.077</v>
      </c>
      <c r="S30" s="44" t="s">
        <v>38</v>
      </c>
      <c r="T30" s="44">
        <v>1236</v>
      </c>
      <c r="U30" s="44">
        <v>3179</v>
      </c>
      <c r="V30" s="62">
        <f t="shared" si="4"/>
        <v>2.5720064724919092</v>
      </c>
      <c r="W30" s="44" t="s">
        <v>38</v>
      </c>
      <c r="X30" s="44">
        <v>1125</v>
      </c>
      <c r="Y30" s="44">
        <v>2531</v>
      </c>
      <c r="Z30" s="62">
        <f t="shared" si="5"/>
        <v>2.2497777777777777</v>
      </c>
      <c r="AA30" s="44">
        <v>1154</v>
      </c>
      <c r="AB30" s="44">
        <v>2557</v>
      </c>
      <c r="AC30" s="62">
        <f t="shared" si="6"/>
        <v>2.2157712305025998</v>
      </c>
      <c r="AD30" s="44" t="s">
        <v>38</v>
      </c>
      <c r="AE30" s="44">
        <v>1236</v>
      </c>
      <c r="AF30" s="44">
        <v>2472</v>
      </c>
      <c r="AG30" s="62">
        <f t="shared" si="7"/>
        <v>2</v>
      </c>
      <c r="AH30" s="44">
        <v>748</v>
      </c>
      <c r="AI30" s="44">
        <v>1667</v>
      </c>
      <c r="AJ30" s="62">
        <f t="shared" si="8"/>
        <v>2.2286096256684491</v>
      </c>
      <c r="AK30" s="44" t="s">
        <v>38</v>
      </c>
      <c r="AL30" s="44">
        <v>300</v>
      </c>
      <c r="AM30" s="44">
        <v>706</v>
      </c>
      <c r="AN30" s="62">
        <f t="shared" si="9"/>
        <v>2.3533333333333335</v>
      </c>
      <c r="AO30" s="44" t="s">
        <v>38</v>
      </c>
      <c r="AP30" s="44">
        <v>150</v>
      </c>
      <c r="AQ30" s="44">
        <v>469</v>
      </c>
      <c r="AR30" s="62">
        <f t="shared" si="10"/>
        <v>3.1266666666666665</v>
      </c>
      <c r="AS30" s="44" t="s">
        <v>38</v>
      </c>
      <c r="AT30" s="44">
        <v>340</v>
      </c>
      <c r="AU30" s="44">
        <v>1062</v>
      </c>
      <c r="AV30" s="62">
        <f t="shared" si="11"/>
        <v>3.1235294117647059</v>
      </c>
      <c r="AW30" s="44">
        <v>70</v>
      </c>
      <c r="AX30" s="44">
        <v>235</v>
      </c>
      <c r="AY30" s="62">
        <f t="shared" si="12"/>
        <v>3.3571428571428572</v>
      </c>
      <c r="AZ30" s="44" t="s">
        <v>38</v>
      </c>
      <c r="BA30" s="44">
        <v>125</v>
      </c>
      <c r="BB30" s="44">
        <v>416</v>
      </c>
      <c r="BC30" s="62">
        <f t="shared" si="13"/>
        <v>3.3279999999999998</v>
      </c>
      <c r="BD30" s="44">
        <v>45</v>
      </c>
      <c r="BE30" s="44">
        <v>150</v>
      </c>
      <c r="BF30" s="62">
        <f t="shared" si="14"/>
        <v>3.3333333333333335</v>
      </c>
      <c r="BJ30" s="62" t="str">
        <f t="shared" si="15"/>
        <v/>
      </c>
      <c r="BM30" s="62" t="str">
        <f t="shared" si="16"/>
        <v/>
      </c>
      <c r="BQ30" s="62" t="str">
        <f t="shared" si="17"/>
        <v/>
      </c>
      <c r="BT30" s="62" t="str">
        <f t="shared" si="18"/>
        <v/>
      </c>
      <c r="BW30" s="62" t="str">
        <f t="shared" si="19"/>
        <v/>
      </c>
      <c r="BX30" s="44" t="s">
        <v>38</v>
      </c>
      <c r="BY30" s="44">
        <v>1.5</v>
      </c>
      <c r="BZ30" s="44">
        <v>1</v>
      </c>
      <c r="CA30" s="62">
        <f t="shared" si="20"/>
        <v>0.66666666666666663</v>
      </c>
      <c r="CB30" s="44">
        <v>5</v>
      </c>
      <c r="CC30" s="44">
        <v>19</v>
      </c>
      <c r="CD30" s="62">
        <f t="shared" si="21"/>
        <v>3.8</v>
      </c>
    </row>
    <row r="31" spans="1:82" x14ac:dyDescent="0.3">
      <c r="A31" s="49" t="s">
        <v>1</v>
      </c>
      <c r="B31" s="49" t="s">
        <v>104</v>
      </c>
      <c r="C31" s="44" t="s">
        <v>38</v>
      </c>
      <c r="D31" s="44">
        <v>25000</v>
      </c>
      <c r="E31" s="44">
        <v>4393</v>
      </c>
      <c r="F31" s="62">
        <f t="shared" si="0"/>
        <v>0.17571999999999999</v>
      </c>
      <c r="G31" s="44" t="s">
        <v>38</v>
      </c>
      <c r="H31" s="44">
        <v>26036</v>
      </c>
      <c r="I31" s="44">
        <v>2869</v>
      </c>
      <c r="J31" s="62">
        <f t="shared" si="1"/>
        <v>0.11019357812259947</v>
      </c>
      <c r="K31" s="44" t="s">
        <v>38</v>
      </c>
      <c r="L31" s="44">
        <v>20400</v>
      </c>
      <c r="M31" s="44">
        <v>2790</v>
      </c>
      <c r="N31" s="62">
        <f t="shared" si="2"/>
        <v>0.13676470588235295</v>
      </c>
      <c r="O31" s="44" t="s">
        <v>38</v>
      </c>
      <c r="P31" s="44">
        <v>21500</v>
      </c>
      <c r="Q31" s="44">
        <v>3308</v>
      </c>
      <c r="R31" s="62">
        <f t="shared" si="3"/>
        <v>0.15386046511627907</v>
      </c>
      <c r="S31" s="44" t="s">
        <v>38</v>
      </c>
      <c r="T31" s="44">
        <v>27500</v>
      </c>
      <c r="U31" s="44">
        <v>3929</v>
      </c>
      <c r="V31" s="62">
        <f t="shared" si="4"/>
        <v>0.14287272727272726</v>
      </c>
      <c r="W31" s="44" t="s">
        <v>38</v>
      </c>
      <c r="X31" s="44">
        <v>42000</v>
      </c>
      <c r="Y31" s="44">
        <v>5312</v>
      </c>
      <c r="Z31" s="62">
        <f t="shared" si="5"/>
        <v>0.12647619047619046</v>
      </c>
      <c r="AA31" s="44">
        <v>37333</v>
      </c>
      <c r="AB31" s="44">
        <v>6892</v>
      </c>
      <c r="AC31" s="62">
        <f t="shared" si="6"/>
        <v>0.18460879114992099</v>
      </c>
      <c r="AD31" s="44" t="s">
        <v>38</v>
      </c>
      <c r="AE31" s="44">
        <v>42000</v>
      </c>
      <c r="AF31" s="44">
        <v>5833</v>
      </c>
      <c r="AG31" s="62">
        <f t="shared" si="7"/>
        <v>0.13888095238095238</v>
      </c>
      <c r="AH31" s="44">
        <v>42000</v>
      </c>
      <c r="AI31" s="44">
        <v>5833</v>
      </c>
      <c r="AJ31" s="62">
        <f t="shared" si="8"/>
        <v>0.13888095238095238</v>
      </c>
      <c r="AK31" s="44" t="s">
        <v>38</v>
      </c>
      <c r="AL31" s="44">
        <v>20000</v>
      </c>
      <c r="AM31" s="44">
        <v>4117</v>
      </c>
      <c r="AN31" s="62">
        <f t="shared" si="9"/>
        <v>0.20585000000000001</v>
      </c>
      <c r="AO31" s="44" t="s">
        <v>38</v>
      </c>
      <c r="AP31" s="44">
        <v>66000</v>
      </c>
      <c r="AQ31" s="44">
        <v>14000</v>
      </c>
      <c r="AR31" s="62">
        <f t="shared" si="10"/>
        <v>0.21212121212121213</v>
      </c>
      <c r="AS31" s="44" t="s">
        <v>38</v>
      </c>
      <c r="AT31" s="44">
        <v>21300</v>
      </c>
      <c r="AU31" s="44">
        <v>8250</v>
      </c>
      <c r="AV31" s="62">
        <f t="shared" si="11"/>
        <v>0.38732394366197181</v>
      </c>
      <c r="AW31" s="44">
        <v>20000</v>
      </c>
      <c r="AX31" s="44">
        <v>6665</v>
      </c>
      <c r="AY31" s="62">
        <f t="shared" si="12"/>
        <v>0.33324999999999999</v>
      </c>
      <c r="AZ31" s="44" t="s">
        <v>38</v>
      </c>
      <c r="BA31" s="44">
        <v>30000</v>
      </c>
      <c r="BB31" s="44">
        <v>8001</v>
      </c>
      <c r="BC31" s="62">
        <f t="shared" si="13"/>
        <v>0.26669999999999999</v>
      </c>
      <c r="BD31" s="44">
        <v>12500</v>
      </c>
      <c r="BE31" s="44">
        <v>3333</v>
      </c>
      <c r="BF31" s="62">
        <f t="shared" si="14"/>
        <v>0.26663999999999999</v>
      </c>
      <c r="BG31" s="44" t="s">
        <v>38</v>
      </c>
      <c r="BH31" s="44">
        <v>460</v>
      </c>
      <c r="BI31" s="44">
        <v>131</v>
      </c>
      <c r="BJ31" s="62">
        <f t="shared" si="15"/>
        <v>0.2847826086956522</v>
      </c>
      <c r="BK31" s="44">
        <v>1989</v>
      </c>
      <c r="BL31" s="44">
        <v>601</v>
      </c>
      <c r="BM31" s="62">
        <f t="shared" si="16"/>
        <v>0.3021618903971845</v>
      </c>
      <c r="BN31" s="44" t="s">
        <v>38</v>
      </c>
      <c r="BO31" s="44">
        <v>7754</v>
      </c>
      <c r="BP31" s="44">
        <v>2474</v>
      </c>
      <c r="BQ31" s="62">
        <f t="shared" si="17"/>
        <v>0.3190611297394893</v>
      </c>
      <c r="BR31" s="44">
        <v>6149.25</v>
      </c>
      <c r="BS31" s="44">
        <v>2195</v>
      </c>
      <c r="BT31" s="62">
        <f t="shared" si="18"/>
        <v>0.35695410009350736</v>
      </c>
      <c r="BU31" s="44">
        <v>2344</v>
      </c>
      <c r="BV31" s="44">
        <v>616</v>
      </c>
      <c r="BW31" s="62">
        <f t="shared" si="19"/>
        <v>0.26279863481228671</v>
      </c>
      <c r="BX31" s="44" t="s">
        <v>38</v>
      </c>
      <c r="BY31" s="44">
        <v>2166</v>
      </c>
      <c r="BZ31" s="44">
        <v>815</v>
      </c>
      <c r="CA31" s="62">
        <f t="shared" si="20"/>
        <v>0.37626962142197601</v>
      </c>
      <c r="CB31" s="44">
        <v>4403</v>
      </c>
      <c r="CC31" s="44">
        <v>1209</v>
      </c>
      <c r="CD31" s="62">
        <f t="shared" si="21"/>
        <v>0.27458550987962754</v>
      </c>
    </row>
    <row r="32" spans="1:82" x14ac:dyDescent="0.3">
      <c r="A32" s="49" t="s">
        <v>69</v>
      </c>
      <c r="B32" s="49" t="s">
        <v>284</v>
      </c>
      <c r="F32" s="62" t="str">
        <f t="shared" si="0"/>
        <v/>
      </c>
      <c r="J32" s="62" t="str">
        <f t="shared" si="1"/>
        <v/>
      </c>
      <c r="N32" s="62" t="str">
        <f t="shared" si="2"/>
        <v/>
      </c>
      <c r="R32" s="62" t="str">
        <f t="shared" si="3"/>
        <v/>
      </c>
      <c r="V32" s="62" t="str">
        <f t="shared" si="4"/>
        <v/>
      </c>
      <c r="Z32" s="62" t="str">
        <f t="shared" si="5"/>
        <v/>
      </c>
      <c r="AC32" s="62" t="str">
        <f t="shared" si="6"/>
        <v/>
      </c>
      <c r="AG32" s="62" t="str">
        <f t="shared" si="7"/>
        <v/>
      </c>
      <c r="AJ32" s="62" t="str">
        <f t="shared" si="8"/>
        <v/>
      </c>
      <c r="AN32" s="62" t="str">
        <f t="shared" si="9"/>
        <v/>
      </c>
      <c r="AO32" s="44" t="s">
        <v>38</v>
      </c>
      <c r="AP32" s="44">
        <v>70</v>
      </c>
      <c r="AQ32" s="44">
        <v>195</v>
      </c>
      <c r="AR32" s="62">
        <f t="shared" si="10"/>
        <v>2.7857142857142856</v>
      </c>
      <c r="AS32" s="44" t="s">
        <v>38</v>
      </c>
      <c r="AT32" s="44">
        <v>70</v>
      </c>
      <c r="AU32" s="44">
        <v>262</v>
      </c>
      <c r="AV32" s="62">
        <f t="shared" si="11"/>
        <v>3.7428571428571429</v>
      </c>
      <c r="AW32" s="44">
        <v>130</v>
      </c>
      <c r="AX32" s="44">
        <v>43</v>
      </c>
      <c r="AY32" s="62">
        <f t="shared" si="12"/>
        <v>0.33076923076923076</v>
      </c>
      <c r="AZ32" s="44" t="s">
        <v>38</v>
      </c>
      <c r="BA32" s="44">
        <v>200</v>
      </c>
      <c r="BB32" s="44">
        <v>67</v>
      </c>
      <c r="BC32" s="62">
        <f t="shared" si="13"/>
        <v>0.33500000000000002</v>
      </c>
      <c r="BD32" s="44">
        <v>150</v>
      </c>
      <c r="BE32" s="44">
        <v>50</v>
      </c>
      <c r="BF32" s="62">
        <f t="shared" si="14"/>
        <v>0.33333333333333331</v>
      </c>
      <c r="BJ32" s="62" t="str">
        <f t="shared" si="15"/>
        <v/>
      </c>
      <c r="BM32" s="62" t="str">
        <f t="shared" si="16"/>
        <v/>
      </c>
      <c r="BQ32" s="62" t="str">
        <f t="shared" si="17"/>
        <v/>
      </c>
      <c r="BT32" s="62" t="str">
        <f t="shared" si="18"/>
        <v/>
      </c>
      <c r="BW32" s="62" t="str">
        <f t="shared" si="19"/>
        <v/>
      </c>
      <c r="CA32" s="62" t="str">
        <f t="shared" si="20"/>
        <v/>
      </c>
      <c r="CD32" s="62" t="str">
        <f t="shared" si="21"/>
        <v/>
      </c>
    </row>
    <row r="33" spans="1:82" x14ac:dyDescent="0.3">
      <c r="A33" s="53" t="s">
        <v>12</v>
      </c>
      <c r="B33" s="49" t="s">
        <v>104</v>
      </c>
      <c r="C33" s="44" t="s">
        <v>38</v>
      </c>
      <c r="D33" s="44">
        <v>1257</v>
      </c>
      <c r="E33" s="44">
        <v>3207</v>
      </c>
      <c r="F33" s="62">
        <f t="shared" si="0"/>
        <v>2.5513126491646778</v>
      </c>
      <c r="G33" s="44" t="s">
        <v>64</v>
      </c>
      <c r="H33" s="44">
        <v>440</v>
      </c>
      <c r="I33" s="44">
        <v>3207</v>
      </c>
      <c r="J33" s="62">
        <f t="shared" si="1"/>
        <v>7.288636363636364</v>
      </c>
      <c r="K33" s="44" t="s">
        <v>38</v>
      </c>
      <c r="L33" s="44">
        <v>1775</v>
      </c>
      <c r="M33" s="44">
        <v>971</v>
      </c>
      <c r="N33" s="62">
        <f t="shared" si="2"/>
        <v>0.54704225352112679</v>
      </c>
      <c r="O33" s="44" t="s">
        <v>38</v>
      </c>
      <c r="P33" s="44">
        <v>2750</v>
      </c>
      <c r="Q33" s="44">
        <v>1692</v>
      </c>
      <c r="R33" s="62">
        <f t="shared" si="3"/>
        <v>0.6152727272727273</v>
      </c>
      <c r="S33" s="44" t="s">
        <v>38</v>
      </c>
      <c r="T33" s="44">
        <v>3750</v>
      </c>
      <c r="U33" s="44">
        <v>2143</v>
      </c>
      <c r="V33" s="62">
        <f t="shared" si="4"/>
        <v>0.57146666666666668</v>
      </c>
      <c r="W33" s="44" t="s">
        <v>38</v>
      </c>
      <c r="X33" s="44">
        <v>3200</v>
      </c>
      <c r="Y33" s="44">
        <v>1506</v>
      </c>
      <c r="Z33" s="62">
        <f t="shared" si="5"/>
        <v>0.47062500000000002</v>
      </c>
      <c r="AA33" s="44">
        <v>3312.5</v>
      </c>
      <c r="AB33" s="44">
        <v>1632</v>
      </c>
      <c r="AC33" s="62">
        <f t="shared" si="6"/>
        <v>0.49267924528301887</v>
      </c>
      <c r="AD33" s="44" t="s">
        <v>38</v>
      </c>
      <c r="AE33" s="44">
        <v>2000</v>
      </c>
      <c r="AF33" s="44">
        <v>1389</v>
      </c>
      <c r="AG33" s="62">
        <f t="shared" si="7"/>
        <v>0.69450000000000001</v>
      </c>
      <c r="AH33" s="44">
        <v>1680</v>
      </c>
      <c r="AI33" s="44">
        <v>933</v>
      </c>
      <c r="AJ33" s="62">
        <f t="shared" si="8"/>
        <v>0.55535714285714288</v>
      </c>
      <c r="AK33" s="44" t="s">
        <v>38</v>
      </c>
      <c r="AL33" s="44">
        <v>3807</v>
      </c>
      <c r="AM33" s="44">
        <v>3100</v>
      </c>
      <c r="AN33" s="62">
        <f t="shared" si="9"/>
        <v>0.8142894667717363</v>
      </c>
      <c r="AR33" s="62" t="str">
        <f t="shared" si="10"/>
        <v/>
      </c>
      <c r="AV33" s="62" t="str">
        <f t="shared" si="11"/>
        <v/>
      </c>
      <c r="AY33" s="62" t="str">
        <f t="shared" si="12"/>
        <v/>
      </c>
      <c r="AZ33" s="44" t="s">
        <v>38</v>
      </c>
      <c r="BA33" s="44">
        <v>1475</v>
      </c>
      <c r="BB33" s="44">
        <v>2253</v>
      </c>
      <c r="BC33" s="62">
        <f t="shared" si="13"/>
        <v>1.527457627118644</v>
      </c>
      <c r="BD33" s="44">
        <v>1787</v>
      </c>
      <c r="BE33" s="44">
        <v>2968</v>
      </c>
      <c r="BF33" s="62">
        <f t="shared" si="14"/>
        <v>1.6608841634023503</v>
      </c>
      <c r="BJ33" s="62" t="str">
        <f t="shared" si="15"/>
        <v/>
      </c>
      <c r="BM33" s="62" t="str">
        <f t="shared" si="16"/>
        <v/>
      </c>
      <c r="BQ33" s="62" t="str">
        <f t="shared" si="17"/>
        <v/>
      </c>
      <c r="BT33" s="62" t="str">
        <f t="shared" si="18"/>
        <v/>
      </c>
      <c r="BW33" s="62" t="str">
        <f t="shared" si="19"/>
        <v/>
      </c>
      <c r="CA33" s="62" t="str">
        <f t="shared" si="20"/>
        <v/>
      </c>
      <c r="CD33" s="62" t="str">
        <f t="shared" si="21"/>
        <v/>
      </c>
    </row>
    <row r="34" spans="1:82" x14ac:dyDescent="0.3">
      <c r="A34" s="53" t="s">
        <v>277</v>
      </c>
      <c r="B34" s="49" t="s">
        <v>284</v>
      </c>
      <c r="F34" s="62" t="str">
        <f t="shared" si="0"/>
        <v/>
      </c>
      <c r="J34" s="62" t="str">
        <f t="shared" si="1"/>
        <v/>
      </c>
      <c r="N34" s="62" t="str">
        <f t="shared" si="2"/>
        <v/>
      </c>
      <c r="R34" s="62" t="str">
        <f t="shared" si="3"/>
        <v/>
      </c>
      <c r="V34" s="62" t="str">
        <f t="shared" si="4"/>
        <v/>
      </c>
      <c r="Z34" s="62" t="str">
        <f t="shared" si="5"/>
        <v/>
      </c>
      <c r="AC34" s="62" t="str">
        <f t="shared" si="6"/>
        <v/>
      </c>
      <c r="AG34" s="62" t="str">
        <f t="shared" si="7"/>
        <v/>
      </c>
      <c r="AJ34" s="62" t="str">
        <f t="shared" si="8"/>
        <v/>
      </c>
      <c r="AN34" s="62" t="str">
        <f t="shared" si="9"/>
        <v/>
      </c>
      <c r="AO34" s="44" t="s">
        <v>38</v>
      </c>
      <c r="AP34" s="44">
        <v>1270</v>
      </c>
      <c r="AQ34" s="44">
        <v>952</v>
      </c>
      <c r="AR34" s="62">
        <f t="shared" si="10"/>
        <v>0.74960629921259847</v>
      </c>
      <c r="AS34" s="44" t="s">
        <v>38</v>
      </c>
      <c r="AT34" s="44">
        <v>1240</v>
      </c>
      <c r="AU34" s="44">
        <v>930</v>
      </c>
      <c r="AV34" s="62">
        <f t="shared" si="11"/>
        <v>0.75</v>
      </c>
      <c r="AW34" s="44">
        <v>1240</v>
      </c>
      <c r="AX34" s="44">
        <v>992</v>
      </c>
      <c r="AY34" s="62">
        <f t="shared" si="12"/>
        <v>0.8</v>
      </c>
      <c r="BC34" s="62" t="str">
        <f t="shared" si="13"/>
        <v/>
      </c>
      <c r="BF34" s="62" t="str">
        <f t="shared" si="14"/>
        <v/>
      </c>
      <c r="BG34" s="44" t="s">
        <v>38</v>
      </c>
      <c r="BJ34" s="62" t="str">
        <f t="shared" si="15"/>
        <v/>
      </c>
      <c r="BK34" s="44">
        <v>1333</v>
      </c>
      <c r="BL34" s="44">
        <v>1343</v>
      </c>
      <c r="BM34" s="62">
        <f t="shared" si="16"/>
        <v>1.0075018754688672</v>
      </c>
      <c r="BN34" s="44" t="s">
        <v>38</v>
      </c>
      <c r="BO34" s="44">
        <v>682</v>
      </c>
      <c r="BP34" s="44">
        <v>716</v>
      </c>
      <c r="BQ34" s="62">
        <f t="shared" si="17"/>
        <v>1.0498533724340176</v>
      </c>
      <c r="BT34" s="62" t="str">
        <f t="shared" si="18"/>
        <v/>
      </c>
      <c r="BW34" s="62" t="str">
        <f t="shared" si="19"/>
        <v/>
      </c>
      <c r="CA34" s="62" t="str">
        <f t="shared" si="20"/>
        <v/>
      </c>
      <c r="CD34" s="62" t="str">
        <f t="shared" si="21"/>
        <v/>
      </c>
    </row>
    <row r="35" spans="1:82" x14ac:dyDescent="0.3">
      <c r="A35" s="53" t="s">
        <v>129</v>
      </c>
      <c r="B35" s="49" t="s">
        <v>284</v>
      </c>
      <c r="F35" s="62" t="str">
        <f t="shared" si="0"/>
        <v/>
      </c>
      <c r="J35" s="62" t="str">
        <f t="shared" si="1"/>
        <v/>
      </c>
      <c r="N35" s="62" t="str">
        <f t="shared" si="2"/>
        <v/>
      </c>
      <c r="R35" s="62" t="str">
        <f t="shared" si="3"/>
        <v/>
      </c>
      <c r="V35" s="62" t="str">
        <f t="shared" si="4"/>
        <v/>
      </c>
      <c r="Z35" s="62" t="str">
        <f t="shared" si="5"/>
        <v/>
      </c>
      <c r="AC35" s="62" t="str">
        <f t="shared" si="6"/>
        <v/>
      </c>
      <c r="AG35" s="62" t="str">
        <f t="shared" si="7"/>
        <v/>
      </c>
      <c r="AJ35" s="62" t="str">
        <f t="shared" si="8"/>
        <v/>
      </c>
      <c r="AN35" s="62" t="str">
        <f t="shared" si="9"/>
        <v/>
      </c>
      <c r="AO35" s="44" t="s">
        <v>38</v>
      </c>
      <c r="AP35" s="44">
        <v>1010</v>
      </c>
      <c r="AQ35" s="44">
        <v>1306</v>
      </c>
      <c r="AR35" s="62">
        <f t="shared" si="10"/>
        <v>1.2930693069306931</v>
      </c>
      <c r="AS35" s="44" t="s">
        <v>38</v>
      </c>
      <c r="AT35" s="44">
        <v>660</v>
      </c>
      <c r="AU35" s="44">
        <v>725</v>
      </c>
      <c r="AV35" s="62">
        <f t="shared" si="11"/>
        <v>1.0984848484848484</v>
      </c>
      <c r="AW35" s="44">
        <v>720</v>
      </c>
      <c r="AX35" s="44">
        <v>1603</v>
      </c>
      <c r="AY35" s="62">
        <f t="shared" si="12"/>
        <v>2.2263888888888888</v>
      </c>
      <c r="BC35" s="62" t="str">
        <f t="shared" si="13"/>
        <v/>
      </c>
      <c r="BF35" s="62" t="str">
        <f t="shared" si="14"/>
        <v/>
      </c>
      <c r="BJ35" s="62" t="str">
        <f t="shared" si="15"/>
        <v/>
      </c>
      <c r="BM35" s="62" t="str">
        <f t="shared" si="16"/>
        <v/>
      </c>
      <c r="BQ35" s="62" t="str">
        <f t="shared" si="17"/>
        <v/>
      </c>
      <c r="BT35" s="62" t="str">
        <f t="shared" si="18"/>
        <v/>
      </c>
      <c r="BW35" s="62" t="str">
        <f t="shared" si="19"/>
        <v/>
      </c>
      <c r="CA35" s="62" t="str">
        <f t="shared" si="20"/>
        <v/>
      </c>
      <c r="CD35" s="62" t="str">
        <f t="shared" si="21"/>
        <v/>
      </c>
    </row>
    <row r="36" spans="1:82" x14ac:dyDescent="0.3">
      <c r="A36" s="53" t="s">
        <v>278</v>
      </c>
      <c r="B36" s="49" t="s">
        <v>284</v>
      </c>
      <c r="F36" s="62" t="str">
        <f t="shared" si="0"/>
        <v/>
      </c>
      <c r="J36" s="62" t="str">
        <f t="shared" si="1"/>
        <v/>
      </c>
      <c r="N36" s="62" t="str">
        <f t="shared" si="2"/>
        <v/>
      </c>
      <c r="R36" s="62" t="str">
        <f t="shared" si="3"/>
        <v/>
      </c>
      <c r="V36" s="62" t="str">
        <f t="shared" si="4"/>
        <v/>
      </c>
      <c r="Z36" s="62" t="str">
        <f t="shared" si="5"/>
        <v/>
      </c>
      <c r="AC36" s="62" t="str">
        <f t="shared" si="6"/>
        <v/>
      </c>
      <c r="AG36" s="62" t="str">
        <f t="shared" si="7"/>
        <v/>
      </c>
      <c r="AJ36" s="62" t="str">
        <f t="shared" si="8"/>
        <v/>
      </c>
      <c r="AN36" s="62" t="str">
        <f t="shared" si="9"/>
        <v/>
      </c>
      <c r="AR36" s="62" t="str">
        <f t="shared" si="10"/>
        <v/>
      </c>
      <c r="AV36" s="62" t="str">
        <f t="shared" si="11"/>
        <v/>
      </c>
      <c r="AY36" s="62" t="str">
        <f t="shared" si="12"/>
        <v/>
      </c>
      <c r="BC36" s="62" t="str">
        <f t="shared" si="13"/>
        <v/>
      </c>
      <c r="BF36" s="62" t="str">
        <f t="shared" si="14"/>
        <v/>
      </c>
      <c r="BG36" s="44" t="s">
        <v>38</v>
      </c>
      <c r="BJ36" s="62" t="str">
        <f t="shared" si="15"/>
        <v/>
      </c>
      <c r="BK36" s="44">
        <v>387</v>
      </c>
      <c r="BL36" s="44">
        <v>462</v>
      </c>
      <c r="BM36" s="62">
        <f t="shared" si="16"/>
        <v>1.193798449612403</v>
      </c>
      <c r="BN36" s="44" t="s">
        <v>38</v>
      </c>
      <c r="BO36" s="44">
        <v>8</v>
      </c>
      <c r="BP36" s="44">
        <v>9</v>
      </c>
      <c r="BQ36" s="62">
        <f t="shared" si="17"/>
        <v>1.125</v>
      </c>
      <c r="BT36" s="62" t="str">
        <f t="shared" si="18"/>
        <v/>
      </c>
      <c r="BU36" s="44">
        <v>1265</v>
      </c>
      <c r="BV36" s="44">
        <v>6409</v>
      </c>
      <c r="BW36" s="62">
        <f t="shared" si="19"/>
        <v>5.0664031620553356</v>
      </c>
      <c r="BX36" s="44" t="s">
        <v>38</v>
      </c>
      <c r="BY36" s="44">
        <v>264.25</v>
      </c>
      <c r="BZ36" s="44">
        <v>1702</v>
      </c>
      <c r="CA36" s="62">
        <f t="shared" si="20"/>
        <v>6.4408703878902553</v>
      </c>
      <c r="CB36" s="44">
        <v>1002.5</v>
      </c>
      <c r="CC36" s="44">
        <v>5750</v>
      </c>
      <c r="CD36" s="62">
        <f t="shared" si="21"/>
        <v>5.7356608478802995</v>
      </c>
    </row>
    <row r="37" spans="1:82" x14ac:dyDescent="0.3">
      <c r="A37" s="53" t="s">
        <v>279</v>
      </c>
      <c r="B37" s="49" t="s">
        <v>284</v>
      </c>
      <c r="F37" s="62" t="str">
        <f t="shared" si="0"/>
        <v/>
      </c>
      <c r="J37" s="62" t="str">
        <f t="shared" si="1"/>
        <v/>
      </c>
      <c r="N37" s="62" t="str">
        <f t="shared" si="2"/>
        <v/>
      </c>
      <c r="R37" s="62" t="str">
        <f t="shared" si="3"/>
        <v/>
      </c>
      <c r="V37" s="62" t="str">
        <f t="shared" si="4"/>
        <v/>
      </c>
      <c r="Z37" s="62" t="str">
        <f t="shared" si="5"/>
        <v/>
      </c>
      <c r="AC37" s="62" t="str">
        <f t="shared" si="6"/>
        <v/>
      </c>
      <c r="AG37" s="62" t="str">
        <f t="shared" si="7"/>
        <v/>
      </c>
      <c r="AJ37" s="62" t="str">
        <f t="shared" si="8"/>
        <v/>
      </c>
      <c r="AN37" s="62" t="str">
        <f t="shared" si="9"/>
        <v/>
      </c>
      <c r="AR37" s="62" t="str">
        <f t="shared" si="10"/>
        <v/>
      </c>
      <c r="AV37" s="62" t="str">
        <f t="shared" si="11"/>
        <v/>
      </c>
      <c r="AY37" s="62" t="str">
        <f t="shared" si="12"/>
        <v/>
      </c>
      <c r="BC37" s="62" t="str">
        <f t="shared" si="13"/>
        <v/>
      </c>
      <c r="BF37" s="62" t="str">
        <f t="shared" si="14"/>
        <v/>
      </c>
      <c r="BG37" s="44" t="s">
        <v>38</v>
      </c>
      <c r="BH37" s="44">
        <v>5941</v>
      </c>
      <c r="BI37" s="44">
        <v>3903</v>
      </c>
      <c r="BJ37" s="62">
        <f t="shared" si="15"/>
        <v>0.65696010772597202</v>
      </c>
      <c r="BK37" s="44">
        <v>4354</v>
      </c>
      <c r="BL37" s="44">
        <v>3288</v>
      </c>
      <c r="BM37" s="62">
        <f t="shared" si="16"/>
        <v>0.75516766192007345</v>
      </c>
      <c r="BN37" s="44" t="s">
        <v>38</v>
      </c>
      <c r="BO37" s="44">
        <v>875</v>
      </c>
      <c r="BP37" s="44">
        <v>652</v>
      </c>
      <c r="BQ37" s="62">
        <f t="shared" si="17"/>
        <v>0.74514285714285711</v>
      </c>
      <c r="BR37" s="44">
        <v>3185</v>
      </c>
      <c r="BS37" s="44">
        <v>6870</v>
      </c>
      <c r="BT37" s="62">
        <f t="shared" si="18"/>
        <v>2.1569858712715857</v>
      </c>
      <c r="BU37" s="44">
        <v>2990</v>
      </c>
      <c r="BV37" s="44">
        <v>2974</v>
      </c>
      <c r="BW37" s="62">
        <f t="shared" si="19"/>
        <v>0.99464882943143818</v>
      </c>
      <c r="BX37" s="44" t="s">
        <v>38</v>
      </c>
      <c r="BY37" s="44">
        <v>2802.75</v>
      </c>
      <c r="BZ37" s="44">
        <v>1465</v>
      </c>
      <c r="CA37" s="62">
        <f t="shared" si="20"/>
        <v>0.52270091874052271</v>
      </c>
      <c r="CB37" s="44">
        <v>1617.5</v>
      </c>
      <c r="CC37" s="44">
        <v>1575</v>
      </c>
      <c r="CD37" s="62">
        <f t="shared" si="21"/>
        <v>0.97372488408037094</v>
      </c>
    </row>
    <row r="38" spans="1:82" x14ac:dyDescent="0.3">
      <c r="A38" s="53" t="s">
        <v>340</v>
      </c>
      <c r="B38" s="49" t="s">
        <v>104</v>
      </c>
      <c r="C38" s="44" t="s">
        <v>38</v>
      </c>
      <c r="D38" s="44">
        <v>1463</v>
      </c>
      <c r="E38" s="44">
        <v>914</v>
      </c>
      <c r="F38" s="62">
        <f t="shared" si="0"/>
        <v>0.62474367737525627</v>
      </c>
      <c r="G38" s="44" t="s">
        <v>65</v>
      </c>
      <c r="H38" s="44">
        <v>1164</v>
      </c>
      <c r="I38" s="44">
        <v>979</v>
      </c>
      <c r="J38" s="62">
        <f t="shared" si="1"/>
        <v>0.84106529209621994</v>
      </c>
      <c r="K38" s="44" t="s">
        <v>38</v>
      </c>
      <c r="L38" s="44">
        <v>4100</v>
      </c>
      <c r="M38" s="44">
        <v>1402</v>
      </c>
      <c r="N38" s="62">
        <f t="shared" si="2"/>
        <v>0.34195121951219515</v>
      </c>
      <c r="O38" s="44" t="s">
        <v>38</v>
      </c>
      <c r="P38" s="44">
        <v>3900</v>
      </c>
      <c r="Q38" s="44">
        <v>1500</v>
      </c>
      <c r="R38" s="62">
        <f t="shared" si="3"/>
        <v>0.38461538461538464</v>
      </c>
      <c r="S38" s="44" t="s">
        <v>38</v>
      </c>
      <c r="T38" s="44">
        <v>4000</v>
      </c>
      <c r="U38" s="44">
        <v>1429</v>
      </c>
      <c r="V38" s="62">
        <f t="shared" si="4"/>
        <v>0.35725000000000001</v>
      </c>
      <c r="W38" s="44" t="s">
        <v>38</v>
      </c>
      <c r="X38" s="44">
        <v>4000</v>
      </c>
      <c r="Y38" s="44">
        <v>1625</v>
      </c>
      <c r="Z38" s="62">
        <f t="shared" si="5"/>
        <v>0.40625</v>
      </c>
      <c r="AA38" s="44">
        <v>3750</v>
      </c>
      <c r="AB38" s="44">
        <v>1385</v>
      </c>
      <c r="AC38" s="62">
        <f t="shared" si="6"/>
        <v>0.36933333333333335</v>
      </c>
      <c r="AD38" s="44" t="s">
        <v>38</v>
      </c>
      <c r="AE38" s="44">
        <v>3450</v>
      </c>
      <c r="AF38" s="44">
        <v>1150</v>
      </c>
      <c r="AG38" s="62">
        <f t="shared" si="7"/>
        <v>0.33333333333333331</v>
      </c>
      <c r="AH38" s="44">
        <v>3167</v>
      </c>
      <c r="AI38" s="44">
        <v>1056</v>
      </c>
      <c r="AJ38" s="62">
        <f t="shared" si="8"/>
        <v>0.33343858541206189</v>
      </c>
      <c r="AN38" s="62" t="str">
        <f t="shared" si="9"/>
        <v/>
      </c>
      <c r="AO38" s="44" t="s">
        <v>38</v>
      </c>
      <c r="AP38" s="44">
        <v>3100</v>
      </c>
      <c r="AQ38" s="44">
        <v>1100</v>
      </c>
      <c r="AR38" s="62">
        <f t="shared" si="10"/>
        <v>0.35483870967741937</v>
      </c>
      <c r="AS38" s="44" t="s">
        <v>38</v>
      </c>
      <c r="AT38" s="44">
        <v>1160</v>
      </c>
      <c r="AU38" s="44">
        <v>436</v>
      </c>
      <c r="AV38" s="62">
        <f t="shared" si="11"/>
        <v>0.37586206896551722</v>
      </c>
      <c r="AW38" s="44">
        <v>1070</v>
      </c>
      <c r="AX38" s="44">
        <v>429</v>
      </c>
      <c r="AY38" s="62">
        <f t="shared" si="12"/>
        <v>0.40093457943925231</v>
      </c>
      <c r="AZ38" s="44" t="s">
        <v>38</v>
      </c>
      <c r="BA38" s="54">
        <v>950</v>
      </c>
      <c r="BB38" s="44">
        <v>380</v>
      </c>
      <c r="BC38" s="62">
        <f t="shared" si="13"/>
        <v>0.4</v>
      </c>
      <c r="BF38" s="62" t="str">
        <f t="shared" si="14"/>
        <v/>
      </c>
      <c r="BG38" s="44" t="s">
        <v>38</v>
      </c>
      <c r="BH38" s="44">
        <v>624</v>
      </c>
      <c r="BI38" s="44">
        <v>965</v>
      </c>
      <c r="BJ38" s="62">
        <f t="shared" si="15"/>
        <v>1.546474358974359</v>
      </c>
      <c r="BK38" s="44">
        <v>596</v>
      </c>
      <c r="BL38" s="44">
        <v>682</v>
      </c>
      <c r="BM38" s="62">
        <f t="shared" si="16"/>
        <v>1.1442953020134228</v>
      </c>
      <c r="BN38" s="44" t="s">
        <v>38</v>
      </c>
      <c r="BO38" s="44">
        <v>572</v>
      </c>
      <c r="BP38" s="44">
        <v>374</v>
      </c>
      <c r="BQ38" s="62">
        <f t="shared" si="17"/>
        <v>0.65384615384615385</v>
      </c>
      <c r="BR38" s="44">
        <v>793</v>
      </c>
      <c r="BS38" s="44">
        <v>782</v>
      </c>
      <c r="BT38" s="62">
        <f t="shared" si="18"/>
        <v>0.98612862547288782</v>
      </c>
      <c r="BU38" s="44">
        <v>560</v>
      </c>
      <c r="BV38" s="44">
        <v>450</v>
      </c>
      <c r="BW38" s="62">
        <f t="shared" si="19"/>
        <v>0.8035714285714286</v>
      </c>
      <c r="BX38" s="44" t="s">
        <v>38</v>
      </c>
      <c r="BY38" s="44">
        <v>503.5</v>
      </c>
      <c r="BZ38" s="44">
        <v>402</v>
      </c>
      <c r="CA38" s="62">
        <f t="shared" si="20"/>
        <v>0.79841112214498511</v>
      </c>
      <c r="CB38" s="44">
        <v>475</v>
      </c>
      <c r="CC38" s="44">
        <v>364</v>
      </c>
      <c r="CD38" s="62">
        <f t="shared" si="21"/>
        <v>0.76631578947368417</v>
      </c>
    </row>
    <row r="39" spans="1:82" x14ac:dyDescent="0.3">
      <c r="A39" s="53" t="s">
        <v>13</v>
      </c>
      <c r="B39" s="49" t="s">
        <v>284</v>
      </c>
      <c r="F39" s="62" t="str">
        <f t="shared" si="0"/>
        <v/>
      </c>
      <c r="J39" s="62" t="str">
        <f t="shared" si="1"/>
        <v/>
      </c>
      <c r="N39" s="62" t="str">
        <f t="shared" si="2"/>
        <v/>
      </c>
      <c r="R39" s="62" t="str">
        <f t="shared" si="3"/>
        <v/>
      </c>
      <c r="V39" s="62" t="str">
        <f t="shared" si="4"/>
        <v/>
      </c>
      <c r="Z39" s="62" t="str">
        <f t="shared" si="5"/>
        <v/>
      </c>
      <c r="AC39" s="62" t="str">
        <f t="shared" si="6"/>
        <v/>
      </c>
      <c r="AG39" s="62" t="str">
        <f t="shared" si="7"/>
        <v/>
      </c>
      <c r="AJ39" s="62" t="str">
        <f t="shared" si="8"/>
        <v/>
      </c>
      <c r="AN39" s="62" t="str">
        <f t="shared" si="9"/>
        <v/>
      </c>
      <c r="AR39" s="62" t="str">
        <f t="shared" si="10"/>
        <v/>
      </c>
      <c r="AV39" s="62" t="str">
        <f t="shared" si="11"/>
        <v/>
      </c>
      <c r="AY39" s="62" t="str">
        <f t="shared" si="12"/>
        <v/>
      </c>
      <c r="BA39" s="32"/>
      <c r="BC39" s="62" t="str">
        <f t="shared" si="13"/>
        <v/>
      </c>
      <c r="BF39" s="62" t="str">
        <f t="shared" si="14"/>
        <v/>
      </c>
      <c r="BG39" s="44" t="s">
        <v>38</v>
      </c>
      <c r="BH39" s="44">
        <v>32</v>
      </c>
      <c r="BI39" s="44">
        <v>18</v>
      </c>
      <c r="BJ39" s="62">
        <f t="shared" si="15"/>
        <v>0.5625</v>
      </c>
      <c r="BM39" s="62" t="str">
        <f t="shared" si="16"/>
        <v/>
      </c>
      <c r="BN39" s="44" t="s">
        <v>38</v>
      </c>
      <c r="BQ39" s="62" t="str">
        <f t="shared" si="17"/>
        <v/>
      </c>
      <c r="BT39" s="62" t="str">
        <f t="shared" si="18"/>
        <v/>
      </c>
      <c r="BU39" s="44">
        <v>82</v>
      </c>
      <c r="BV39" s="44">
        <v>24</v>
      </c>
      <c r="BW39" s="62">
        <f t="shared" si="19"/>
        <v>0.29268292682926828</v>
      </c>
      <c r="BX39" s="44" t="s">
        <v>38</v>
      </c>
      <c r="BY39" s="44">
        <v>68</v>
      </c>
      <c r="BZ39" s="44">
        <v>16</v>
      </c>
      <c r="CA39" s="62">
        <f t="shared" si="20"/>
        <v>0.23529411764705882</v>
      </c>
      <c r="CB39" s="44">
        <v>116.5</v>
      </c>
      <c r="CC39" s="44">
        <v>99</v>
      </c>
      <c r="CD39" s="62">
        <f t="shared" si="21"/>
        <v>0.84978540772532185</v>
      </c>
    </row>
    <row r="40" spans="1:82" x14ac:dyDescent="0.3">
      <c r="A40" s="53" t="s">
        <v>59</v>
      </c>
      <c r="B40" s="49" t="s">
        <v>284</v>
      </c>
      <c r="F40" s="62" t="str">
        <f t="shared" si="0"/>
        <v/>
      </c>
      <c r="J40" s="62" t="str">
        <f t="shared" si="1"/>
        <v/>
      </c>
      <c r="N40" s="62" t="str">
        <f t="shared" si="2"/>
        <v/>
      </c>
      <c r="R40" s="62" t="str">
        <f t="shared" si="3"/>
        <v/>
      </c>
      <c r="V40" s="62" t="str">
        <f t="shared" si="4"/>
        <v/>
      </c>
      <c r="Z40" s="62" t="str">
        <f t="shared" si="5"/>
        <v/>
      </c>
      <c r="AC40" s="62" t="str">
        <f t="shared" si="6"/>
        <v/>
      </c>
      <c r="AG40" s="62" t="str">
        <f t="shared" si="7"/>
        <v/>
      </c>
      <c r="AJ40" s="62" t="str">
        <f t="shared" si="8"/>
        <v/>
      </c>
      <c r="AN40" s="62" t="str">
        <f t="shared" si="9"/>
        <v/>
      </c>
      <c r="AR40" s="62" t="str">
        <f t="shared" si="10"/>
        <v/>
      </c>
      <c r="AV40" s="62" t="str">
        <f t="shared" si="11"/>
        <v/>
      </c>
      <c r="AY40" s="62" t="str">
        <f t="shared" si="12"/>
        <v/>
      </c>
      <c r="BA40" s="32"/>
      <c r="BC40" s="62" t="str">
        <f t="shared" si="13"/>
        <v/>
      </c>
      <c r="BF40" s="62" t="str">
        <f t="shared" si="14"/>
        <v/>
      </c>
      <c r="BJ40" s="62" t="str">
        <f t="shared" si="15"/>
        <v/>
      </c>
      <c r="BM40" s="62" t="str">
        <f t="shared" si="16"/>
        <v/>
      </c>
      <c r="BN40" s="44" t="s">
        <v>38</v>
      </c>
      <c r="BQ40" s="62" t="str">
        <f t="shared" si="17"/>
        <v/>
      </c>
      <c r="BT40" s="62" t="str">
        <f t="shared" si="18"/>
        <v/>
      </c>
      <c r="BU40" s="44">
        <v>5.25</v>
      </c>
      <c r="BV40" s="44">
        <v>8.5</v>
      </c>
      <c r="BW40" s="62">
        <f t="shared" si="19"/>
        <v>1.6190476190476191</v>
      </c>
      <c r="CA40" s="62" t="str">
        <f t="shared" si="20"/>
        <v/>
      </c>
      <c r="CD40" s="62" t="str">
        <f t="shared" si="21"/>
        <v/>
      </c>
    </row>
    <row r="41" spans="1:82" x14ac:dyDescent="0.3">
      <c r="A41" s="53" t="s">
        <v>60</v>
      </c>
      <c r="B41" s="49" t="s">
        <v>284</v>
      </c>
      <c r="F41" s="62" t="str">
        <f t="shared" si="0"/>
        <v/>
      </c>
      <c r="J41" s="62" t="str">
        <f t="shared" si="1"/>
        <v/>
      </c>
      <c r="N41" s="62" t="str">
        <f t="shared" si="2"/>
        <v/>
      </c>
      <c r="R41" s="62" t="str">
        <f t="shared" si="3"/>
        <v/>
      </c>
      <c r="V41" s="62" t="str">
        <f t="shared" si="4"/>
        <v/>
      </c>
      <c r="Z41" s="62" t="str">
        <f t="shared" si="5"/>
        <v/>
      </c>
      <c r="AC41" s="62" t="str">
        <f t="shared" si="6"/>
        <v/>
      </c>
      <c r="AG41" s="62" t="str">
        <f t="shared" si="7"/>
        <v/>
      </c>
      <c r="AJ41" s="62" t="str">
        <f t="shared" si="8"/>
        <v/>
      </c>
      <c r="AN41" s="62" t="str">
        <f t="shared" si="9"/>
        <v/>
      </c>
      <c r="AR41" s="62" t="str">
        <f t="shared" si="10"/>
        <v/>
      </c>
      <c r="AV41" s="62" t="str">
        <f t="shared" si="11"/>
        <v/>
      </c>
      <c r="AY41" s="62" t="str">
        <f t="shared" si="12"/>
        <v/>
      </c>
      <c r="BA41" s="32"/>
      <c r="BC41" s="62" t="str">
        <f t="shared" si="13"/>
        <v/>
      </c>
      <c r="BF41" s="62" t="str">
        <f t="shared" si="14"/>
        <v/>
      </c>
      <c r="BJ41" s="62" t="str">
        <f t="shared" si="15"/>
        <v/>
      </c>
      <c r="BM41" s="62" t="str">
        <f t="shared" si="16"/>
        <v/>
      </c>
      <c r="BN41" s="44" t="s">
        <v>38</v>
      </c>
      <c r="BQ41" s="62" t="str">
        <f t="shared" si="17"/>
        <v/>
      </c>
      <c r="BT41" s="62" t="str">
        <f t="shared" si="18"/>
        <v/>
      </c>
      <c r="BU41" s="44">
        <v>65</v>
      </c>
      <c r="BV41" s="44">
        <v>192</v>
      </c>
      <c r="BW41" s="62">
        <f t="shared" si="19"/>
        <v>2.953846153846154</v>
      </c>
      <c r="BX41" s="44" t="s">
        <v>38</v>
      </c>
      <c r="BY41" s="44">
        <v>50</v>
      </c>
      <c r="BZ41" s="44">
        <v>7</v>
      </c>
      <c r="CA41" s="62">
        <f t="shared" si="20"/>
        <v>0.14000000000000001</v>
      </c>
      <c r="CB41" s="44">
        <v>35</v>
      </c>
      <c r="CC41" s="44">
        <v>13</v>
      </c>
      <c r="CD41" s="62">
        <f t="shared" si="21"/>
        <v>0.37142857142857144</v>
      </c>
    </row>
    <row r="42" spans="1:82" x14ac:dyDescent="0.3">
      <c r="A42" s="53" t="s">
        <v>14</v>
      </c>
      <c r="B42" s="49" t="s">
        <v>284</v>
      </c>
      <c r="F42" s="62" t="str">
        <f t="shared" si="0"/>
        <v/>
      </c>
      <c r="J42" s="62" t="str">
        <f t="shared" si="1"/>
        <v/>
      </c>
      <c r="K42" s="44" t="s">
        <v>38</v>
      </c>
      <c r="L42" s="44">
        <v>4700</v>
      </c>
      <c r="M42" s="44">
        <v>3856</v>
      </c>
      <c r="N42" s="62">
        <f t="shared" si="2"/>
        <v>0.82042553191489365</v>
      </c>
      <c r="O42" s="44" t="s">
        <v>38</v>
      </c>
      <c r="P42" s="44">
        <v>3958</v>
      </c>
      <c r="Q42" s="44">
        <v>3654</v>
      </c>
      <c r="R42" s="62">
        <f t="shared" si="3"/>
        <v>0.92319353208691257</v>
      </c>
      <c r="S42" s="44" t="s">
        <v>38</v>
      </c>
      <c r="T42" s="44">
        <v>3833</v>
      </c>
      <c r="U42" s="44">
        <v>3286</v>
      </c>
      <c r="V42" s="62">
        <f t="shared" si="4"/>
        <v>0.85729193842942863</v>
      </c>
      <c r="W42" s="44" t="s">
        <v>38</v>
      </c>
      <c r="X42" s="44">
        <v>3230</v>
      </c>
      <c r="Y42" s="44">
        <v>2625</v>
      </c>
      <c r="Z42" s="62">
        <f t="shared" si="5"/>
        <v>0.81269349845201233</v>
      </c>
      <c r="AA42" s="44">
        <v>2900</v>
      </c>
      <c r="AB42" s="44">
        <v>2498</v>
      </c>
      <c r="AC42" s="62">
        <f t="shared" si="6"/>
        <v>0.86137931034482762</v>
      </c>
      <c r="AD42" s="44" t="s">
        <v>38</v>
      </c>
      <c r="AE42" s="44">
        <v>2178.25</v>
      </c>
      <c r="AF42" s="44">
        <v>1694</v>
      </c>
      <c r="AG42" s="62">
        <f t="shared" si="7"/>
        <v>0.77768851141971762</v>
      </c>
      <c r="AH42" s="44">
        <v>2375</v>
      </c>
      <c r="AI42" s="44">
        <v>1583</v>
      </c>
      <c r="AJ42" s="62">
        <f t="shared" si="8"/>
        <v>0.66652631578947363</v>
      </c>
      <c r="AN42" s="62" t="str">
        <f t="shared" si="9"/>
        <v/>
      </c>
      <c r="AR42" s="62" t="str">
        <f t="shared" si="10"/>
        <v/>
      </c>
      <c r="AV42" s="62" t="str">
        <f t="shared" si="11"/>
        <v/>
      </c>
      <c r="AY42" s="62" t="str">
        <f t="shared" si="12"/>
        <v/>
      </c>
      <c r="BC42" s="62" t="str">
        <f t="shared" si="13"/>
        <v/>
      </c>
      <c r="BF42" s="62" t="str">
        <f t="shared" si="14"/>
        <v/>
      </c>
      <c r="BJ42" s="62" t="str">
        <f t="shared" si="15"/>
        <v/>
      </c>
      <c r="BM42" s="62" t="str">
        <f t="shared" si="16"/>
        <v/>
      </c>
      <c r="BQ42" s="62" t="str">
        <f t="shared" si="17"/>
        <v/>
      </c>
      <c r="BT42" s="62" t="str">
        <f t="shared" si="18"/>
        <v/>
      </c>
      <c r="BW42" s="62" t="str">
        <f t="shared" si="19"/>
        <v/>
      </c>
      <c r="CA42" s="62" t="str">
        <f t="shared" si="20"/>
        <v/>
      </c>
      <c r="CD42" s="62" t="str">
        <f t="shared" si="21"/>
        <v/>
      </c>
    </row>
    <row r="43" spans="1:82" x14ac:dyDescent="0.3">
      <c r="A43" s="53" t="s">
        <v>157</v>
      </c>
      <c r="B43" s="49" t="s">
        <v>284</v>
      </c>
      <c r="F43" s="62" t="str">
        <f t="shared" si="0"/>
        <v/>
      </c>
      <c r="J43" s="62" t="str">
        <f t="shared" si="1"/>
        <v/>
      </c>
      <c r="N43" s="62" t="str">
        <f t="shared" si="2"/>
        <v/>
      </c>
      <c r="R43" s="62" t="str">
        <f t="shared" si="3"/>
        <v/>
      </c>
      <c r="V43" s="62" t="str">
        <f t="shared" si="4"/>
        <v/>
      </c>
      <c r="Z43" s="62" t="str">
        <f t="shared" si="5"/>
        <v/>
      </c>
      <c r="AC43" s="62" t="str">
        <f t="shared" si="6"/>
        <v/>
      </c>
      <c r="AG43" s="62" t="str">
        <f t="shared" si="7"/>
        <v/>
      </c>
      <c r="AJ43" s="62" t="str">
        <f t="shared" si="8"/>
        <v/>
      </c>
      <c r="AK43" s="44" t="s">
        <v>38</v>
      </c>
      <c r="AL43" s="44">
        <v>1875</v>
      </c>
      <c r="AM43" s="44">
        <v>1324</v>
      </c>
      <c r="AN43" s="62">
        <f t="shared" si="9"/>
        <v>0.70613333333333328</v>
      </c>
      <c r="AO43" s="44" t="s">
        <v>38</v>
      </c>
      <c r="AP43" s="44">
        <v>2250</v>
      </c>
      <c r="AQ43" s="44">
        <v>1650</v>
      </c>
      <c r="AR43" s="62">
        <f t="shared" si="10"/>
        <v>0.73333333333333328</v>
      </c>
      <c r="AS43" s="44" t="s">
        <v>38</v>
      </c>
      <c r="AT43" s="44">
        <v>1100</v>
      </c>
      <c r="AU43" s="44">
        <v>1031</v>
      </c>
      <c r="AV43" s="62">
        <f t="shared" si="11"/>
        <v>0.93727272727272726</v>
      </c>
      <c r="AW43" s="44">
        <v>820</v>
      </c>
      <c r="AX43" s="44">
        <v>820</v>
      </c>
      <c r="AY43" s="62">
        <f t="shared" si="12"/>
        <v>1</v>
      </c>
      <c r="AZ43" s="44" t="s">
        <v>38</v>
      </c>
      <c r="BA43" s="44">
        <v>950</v>
      </c>
      <c r="BB43" s="44">
        <v>950</v>
      </c>
      <c r="BC43" s="62">
        <f t="shared" si="13"/>
        <v>1</v>
      </c>
      <c r="BD43" s="44">
        <v>350</v>
      </c>
      <c r="BE43" s="44">
        <v>350</v>
      </c>
      <c r="BF43" s="62">
        <f t="shared" si="14"/>
        <v>1</v>
      </c>
      <c r="BG43" s="44" t="s">
        <v>38</v>
      </c>
      <c r="BH43" s="44">
        <v>448</v>
      </c>
      <c r="BI43" s="44">
        <v>325</v>
      </c>
      <c r="BJ43" s="62">
        <f t="shared" si="15"/>
        <v>0.7254464285714286</v>
      </c>
      <c r="BK43" s="44">
        <v>527</v>
      </c>
      <c r="BL43" s="44">
        <v>447</v>
      </c>
      <c r="BM43" s="62">
        <f t="shared" si="16"/>
        <v>0.84819734345351039</v>
      </c>
      <c r="BN43" s="44" t="s">
        <v>38</v>
      </c>
      <c r="BO43" s="44">
        <v>40</v>
      </c>
      <c r="BP43" s="44">
        <v>31</v>
      </c>
      <c r="BQ43" s="62">
        <f t="shared" si="17"/>
        <v>0.77500000000000002</v>
      </c>
      <c r="BT43" s="62" t="str">
        <f t="shared" si="18"/>
        <v/>
      </c>
      <c r="BW43" s="62" t="str">
        <f t="shared" si="19"/>
        <v/>
      </c>
      <c r="CA43" s="62" t="str">
        <f t="shared" si="20"/>
        <v/>
      </c>
      <c r="CD43" s="62" t="str">
        <f t="shared" si="21"/>
        <v/>
      </c>
    </row>
    <row r="44" spans="1:82" x14ac:dyDescent="0.3">
      <c r="A44" s="53" t="s">
        <v>236</v>
      </c>
      <c r="B44" s="49" t="s">
        <v>284</v>
      </c>
      <c r="F44" s="62" t="str">
        <f t="shared" si="0"/>
        <v/>
      </c>
      <c r="J44" s="62" t="str">
        <f t="shared" si="1"/>
        <v/>
      </c>
      <c r="N44" s="62" t="str">
        <f t="shared" si="2"/>
        <v/>
      </c>
      <c r="R44" s="62" t="str">
        <f t="shared" si="3"/>
        <v/>
      </c>
      <c r="V44" s="62" t="str">
        <f t="shared" si="4"/>
        <v/>
      </c>
      <c r="Z44" s="62" t="str">
        <f t="shared" si="5"/>
        <v/>
      </c>
      <c r="AC44" s="62" t="str">
        <f t="shared" si="6"/>
        <v/>
      </c>
      <c r="AG44" s="62" t="str">
        <f t="shared" si="7"/>
        <v/>
      </c>
      <c r="AJ44" s="62" t="str">
        <f t="shared" si="8"/>
        <v/>
      </c>
      <c r="AK44" s="44" t="s">
        <v>38</v>
      </c>
      <c r="AL44" s="44">
        <v>4332</v>
      </c>
      <c r="AM44" s="44">
        <v>1529</v>
      </c>
      <c r="AN44" s="62">
        <f t="shared" si="9"/>
        <v>0.35295475530932596</v>
      </c>
      <c r="AO44" s="44" t="s">
        <v>38</v>
      </c>
      <c r="AP44" s="44">
        <v>3750</v>
      </c>
      <c r="AQ44" s="44">
        <v>1703</v>
      </c>
      <c r="AR44" s="62">
        <f t="shared" si="10"/>
        <v>0.45413333333333333</v>
      </c>
      <c r="AS44" s="44" t="s">
        <v>38</v>
      </c>
      <c r="AT44" s="44">
        <v>1900</v>
      </c>
      <c r="AU44" s="44">
        <v>1187</v>
      </c>
      <c r="AV44" s="62">
        <f t="shared" si="11"/>
        <v>0.62473684210526315</v>
      </c>
      <c r="AW44" s="44">
        <v>1100</v>
      </c>
      <c r="AX44" s="44">
        <v>733</v>
      </c>
      <c r="AY44" s="62">
        <f t="shared" si="12"/>
        <v>0.66636363636363638</v>
      </c>
      <c r="AZ44" s="44" t="s">
        <v>38</v>
      </c>
      <c r="BA44" s="44">
        <v>1045</v>
      </c>
      <c r="BB44" s="44">
        <v>697</v>
      </c>
      <c r="BC44" s="62">
        <f t="shared" si="13"/>
        <v>0.66698564593301435</v>
      </c>
      <c r="BD44" s="44">
        <v>485</v>
      </c>
      <c r="BE44" s="44">
        <v>324</v>
      </c>
      <c r="BF44" s="62">
        <f t="shared" si="14"/>
        <v>0.66804123711340202</v>
      </c>
      <c r="BG44" s="44" t="s">
        <v>38</v>
      </c>
      <c r="BH44" s="44">
        <v>771</v>
      </c>
      <c r="BI44" s="44">
        <v>352</v>
      </c>
      <c r="BJ44" s="62">
        <f t="shared" si="15"/>
        <v>0.45654993514915693</v>
      </c>
      <c r="BK44" s="44">
        <v>1815</v>
      </c>
      <c r="BL44" s="44">
        <v>904</v>
      </c>
      <c r="BM44" s="62">
        <f t="shared" si="16"/>
        <v>0.49807162534435262</v>
      </c>
      <c r="BN44" s="44" t="s">
        <v>38</v>
      </c>
      <c r="BO44" s="44">
        <v>128</v>
      </c>
      <c r="BP44" s="44">
        <v>77</v>
      </c>
      <c r="BQ44" s="62">
        <f t="shared" si="17"/>
        <v>0.6015625</v>
      </c>
      <c r="BT44" s="62" t="str">
        <f t="shared" si="18"/>
        <v/>
      </c>
      <c r="BW44" s="62" t="str">
        <f t="shared" si="19"/>
        <v/>
      </c>
      <c r="CA44" s="62" t="str">
        <f t="shared" si="20"/>
        <v/>
      </c>
      <c r="CD44" s="62" t="str">
        <f t="shared" si="21"/>
        <v/>
      </c>
    </row>
    <row r="45" spans="1:82" x14ac:dyDescent="0.3">
      <c r="A45" s="53" t="s">
        <v>237</v>
      </c>
      <c r="B45" s="49" t="s">
        <v>284</v>
      </c>
      <c r="F45" s="62" t="str">
        <f t="shared" si="0"/>
        <v/>
      </c>
      <c r="J45" s="62" t="str">
        <f t="shared" si="1"/>
        <v/>
      </c>
      <c r="N45" s="62" t="str">
        <f t="shared" si="2"/>
        <v/>
      </c>
      <c r="R45" s="62" t="str">
        <f t="shared" si="3"/>
        <v/>
      </c>
      <c r="V45" s="62" t="str">
        <f t="shared" si="4"/>
        <v/>
      </c>
      <c r="Z45" s="62" t="str">
        <f t="shared" si="5"/>
        <v/>
      </c>
      <c r="AC45" s="62" t="str">
        <f t="shared" si="6"/>
        <v/>
      </c>
      <c r="AG45" s="62" t="str">
        <f t="shared" si="7"/>
        <v/>
      </c>
      <c r="AJ45" s="62" t="str">
        <f t="shared" si="8"/>
        <v/>
      </c>
      <c r="AK45" s="44" t="s">
        <v>38</v>
      </c>
      <c r="AL45" s="44">
        <v>2458</v>
      </c>
      <c r="AM45" s="44">
        <v>1735</v>
      </c>
      <c r="AN45" s="62">
        <f t="shared" si="9"/>
        <v>0.70585842148087874</v>
      </c>
      <c r="AO45" s="44" t="s">
        <v>38</v>
      </c>
      <c r="AP45" s="44">
        <v>1850</v>
      </c>
      <c r="AQ45" s="44">
        <v>1156</v>
      </c>
      <c r="AR45" s="62">
        <f t="shared" si="10"/>
        <v>0.62486486486486481</v>
      </c>
      <c r="AS45" s="44" t="s">
        <v>38</v>
      </c>
      <c r="AT45" s="44">
        <v>960</v>
      </c>
      <c r="AU45" s="44">
        <v>600</v>
      </c>
      <c r="AV45" s="62">
        <f t="shared" si="11"/>
        <v>0.625</v>
      </c>
      <c r="AW45" s="44">
        <v>1552</v>
      </c>
      <c r="AX45" s="44">
        <v>1035</v>
      </c>
      <c r="AY45" s="62">
        <f t="shared" si="12"/>
        <v>0.66688144329896903</v>
      </c>
      <c r="AZ45" s="44" t="s">
        <v>38</v>
      </c>
      <c r="BA45" s="44">
        <v>975</v>
      </c>
      <c r="BB45" s="44">
        <v>650</v>
      </c>
      <c r="BC45" s="62">
        <f t="shared" si="13"/>
        <v>0.66666666666666663</v>
      </c>
      <c r="BD45" s="44">
        <v>660</v>
      </c>
      <c r="BE45" s="44">
        <v>439</v>
      </c>
      <c r="BF45" s="62">
        <f t="shared" si="14"/>
        <v>0.66515151515151516</v>
      </c>
      <c r="BG45" s="44" t="s">
        <v>38</v>
      </c>
      <c r="BH45" s="44">
        <v>2675</v>
      </c>
      <c r="BI45" s="44">
        <v>1489</v>
      </c>
      <c r="BJ45" s="62">
        <f t="shared" si="15"/>
        <v>0.5566355140186916</v>
      </c>
      <c r="BK45" s="44">
        <v>2887</v>
      </c>
      <c r="BL45" s="44">
        <v>1081</v>
      </c>
      <c r="BM45" s="62">
        <f t="shared" si="16"/>
        <v>0.37443713197090406</v>
      </c>
      <c r="BN45" s="44" t="s">
        <v>38</v>
      </c>
      <c r="BO45" s="44">
        <v>1382</v>
      </c>
      <c r="BP45" s="44">
        <v>575</v>
      </c>
      <c r="BQ45" s="62">
        <f t="shared" si="17"/>
        <v>0.41606367583212733</v>
      </c>
      <c r="BT45" s="62" t="str">
        <f t="shared" si="18"/>
        <v/>
      </c>
      <c r="BW45" s="62" t="str">
        <f t="shared" si="19"/>
        <v/>
      </c>
      <c r="CA45" s="62" t="str">
        <f t="shared" si="20"/>
        <v/>
      </c>
      <c r="CD45" s="62" t="str">
        <f t="shared" si="21"/>
        <v/>
      </c>
    </row>
    <row r="46" spans="1:82" x14ac:dyDescent="0.3">
      <c r="A46" s="44" t="s">
        <v>77</v>
      </c>
      <c r="B46" s="49" t="s">
        <v>284</v>
      </c>
      <c r="F46" s="62" t="str">
        <f t="shared" si="0"/>
        <v/>
      </c>
      <c r="J46" s="62" t="str">
        <f t="shared" si="1"/>
        <v/>
      </c>
      <c r="N46" s="62" t="str">
        <f t="shared" si="2"/>
        <v/>
      </c>
      <c r="R46" s="62" t="str">
        <f t="shared" si="3"/>
        <v/>
      </c>
      <c r="V46" s="62" t="str">
        <f t="shared" si="4"/>
        <v/>
      </c>
      <c r="Z46" s="62" t="str">
        <f t="shared" si="5"/>
        <v/>
      </c>
      <c r="AC46" s="62" t="str">
        <f t="shared" si="6"/>
        <v/>
      </c>
      <c r="AG46" s="62" t="str">
        <f t="shared" si="7"/>
        <v/>
      </c>
      <c r="AJ46" s="62" t="str">
        <f t="shared" si="8"/>
        <v/>
      </c>
      <c r="AN46" s="62" t="str">
        <f t="shared" si="9"/>
        <v/>
      </c>
      <c r="AR46" s="62" t="str">
        <f t="shared" si="10"/>
        <v/>
      </c>
      <c r="AV46" s="62" t="str">
        <f t="shared" si="11"/>
        <v/>
      </c>
      <c r="AY46" s="62" t="str">
        <f t="shared" si="12"/>
        <v/>
      </c>
      <c r="BC46" s="62" t="str">
        <f t="shared" si="13"/>
        <v/>
      </c>
      <c r="BF46" s="62" t="str">
        <f t="shared" si="14"/>
        <v/>
      </c>
      <c r="BJ46" s="62" t="str">
        <f t="shared" si="15"/>
        <v/>
      </c>
      <c r="BM46" s="62" t="str">
        <f t="shared" si="16"/>
        <v/>
      </c>
      <c r="BN46" s="44" t="s">
        <v>38</v>
      </c>
      <c r="BQ46" s="62" t="str">
        <f t="shared" si="17"/>
        <v/>
      </c>
      <c r="BR46" s="44">
        <v>1219.75</v>
      </c>
      <c r="BS46" s="44">
        <v>825</v>
      </c>
      <c r="BT46" s="62">
        <f t="shared" si="18"/>
        <v>0.67636810821889737</v>
      </c>
      <c r="BU46" s="44">
        <v>1478</v>
      </c>
      <c r="BV46" s="44">
        <v>1039</v>
      </c>
      <c r="BW46" s="62">
        <f t="shared" si="19"/>
        <v>0.70297699594046004</v>
      </c>
      <c r="BX46" s="44" t="s">
        <v>38</v>
      </c>
      <c r="BY46" s="44">
        <v>910.75</v>
      </c>
      <c r="BZ46" s="44">
        <v>677</v>
      </c>
      <c r="CA46" s="62">
        <f t="shared" si="20"/>
        <v>0.74334339829810592</v>
      </c>
      <c r="CB46" s="44">
        <v>994</v>
      </c>
      <c r="CC46" s="44">
        <v>1140</v>
      </c>
      <c r="CD46" s="62">
        <f t="shared" si="21"/>
        <v>1.1468812877263581</v>
      </c>
    </row>
    <row r="47" spans="1:82" x14ac:dyDescent="0.3">
      <c r="A47" s="44" t="s">
        <v>78</v>
      </c>
      <c r="B47" s="49" t="s">
        <v>284</v>
      </c>
      <c r="F47" s="62" t="str">
        <f t="shared" si="0"/>
        <v/>
      </c>
      <c r="J47" s="62" t="str">
        <f t="shared" si="1"/>
        <v/>
      </c>
      <c r="N47" s="62" t="str">
        <f t="shared" si="2"/>
        <v/>
      </c>
      <c r="R47" s="62" t="str">
        <f t="shared" si="3"/>
        <v/>
      </c>
      <c r="V47" s="62" t="str">
        <f t="shared" si="4"/>
        <v/>
      </c>
      <c r="Z47" s="62" t="str">
        <f t="shared" si="5"/>
        <v/>
      </c>
      <c r="AC47" s="62" t="str">
        <f t="shared" si="6"/>
        <v/>
      </c>
      <c r="AG47" s="62" t="str">
        <f t="shared" si="7"/>
        <v/>
      </c>
      <c r="AJ47" s="62" t="str">
        <f t="shared" si="8"/>
        <v/>
      </c>
      <c r="AN47" s="62" t="str">
        <f t="shared" si="9"/>
        <v/>
      </c>
      <c r="AR47" s="62" t="str">
        <f t="shared" si="10"/>
        <v/>
      </c>
      <c r="AV47" s="62" t="str">
        <f t="shared" si="11"/>
        <v/>
      </c>
      <c r="AY47" s="62" t="str">
        <f t="shared" si="12"/>
        <v/>
      </c>
      <c r="BC47" s="62" t="str">
        <f t="shared" si="13"/>
        <v/>
      </c>
      <c r="BF47" s="62" t="str">
        <f t="shared" si="14"/>
        <v/>
      </c>
      <c r="BJ47" s="62" t="str">
        <f t="shared" si="15"/>
        <v/>
      </c>
      <c r="BM47" s="62" t="str">
        <f t="shared" si="16"/>
        <v/>
      </c>
      <c r="BQ47" s="62" t="str">
        <f t="shared" si="17"/>
        <v/>
      </c>
      <c r="BT47" s="62" t="str">
        <f t="shared" si="18"/>
        <v/>
      </c>
      <c r="BW47" s="62" t="str">
        <f t="shared" si="19"/>
        <v/>
      </c>
      <c r="BX47" s="44" t="s">
        <v>38</v>
      </c>
      <c r="BY47" s="44">
        <v>5</v>
      </c>
      <c r="BZ47" s="44">
        <v>5.5</v>
      </c>
      <c r="CA47" s="62">
        <f t="shared" si="20"/>
        <v>1.1000000000000001</v>
      </c>
      <c r="CB47" s="44">
        <v>35.5</v>
      </c>
      <c r="CC47" s="44">
        <v>27</v>
      </c>
      <c r="CD47" s="62">
        <f t="shared" si="21"/>
        <v>0.76056338028169013</v>
      </c>
    </row>
    <row r="48" spans="1:82" x14ac:dyDescent="0.3">
      <c r="A48" s="49" t="s">
        <v>15</v>
      </c>
      <c r="B48" s="49" t="s">
        <v>134</v>
      </c>
      <c r="C48" s="44" t="s">
        <v>36</v>
      </c>
      <c r="D48" s="44">
        <v>2921.5</v>
      </c>
      <c r="E48" s="44">
        <v>1050</v>
      </c>
      <c r="F48" s="62">
        <f t="shared" si="0"/>
        <v>0.35940441553996233</v>
      </c>
      <c r="G48" s="44" t="s">
        <v>36</v>
      </c>
      <c r="H48" s="44">
        <v>6027</v>
      </c>
      <c r="I48" s="44">
        <v>992</v>
      </c>
      <c r="J48" s="62">
        <f t="shared" si="1"/>
        <v>0.16459266633482661</v>
      </c>
      <c r="K48" s="44" t="s">
        <v>36</v>
      </c>
      <c r="L48" s="44">
        <v>2025</v>
      </c>
      <c r="M48" s="44">
        <v>1108</v>
      </c>
      <c r="N48" s="62">
        <f t="shared" si="2"/>
        <v>0.54716049382716048</v>
      </c>
      <c r="O48" s="44" t="s">
        <v>36</v>
      </c>
      <c r="P48" s="44">
        <v>3625</v>
      </c>
      <c r="Q48" s="44">
        <v>2231</v>
      </c>
      <c r="R48" s="62">
        <f t="shared" si="3"/>
        <v>0.61544827586206896</v>
      </c>
      <c r="S48" s="44" t="s">
        <v>36</v>
      </c>
      <c r="T48" s="44">
        <v>3937.5</v>
      </c>
      <c r="U48" s="44">
        <v>2250</v>
      </c>
      <c r="V48" s="62">
        <f t="shared" si="4"/>
        <v>0.5714285714285714</v>
      </c>
      <c r="W48" s="44" t="s">
        <v>36</v>
      </c>
      <c r="X48" s="44">
        <v>4000</v>
      </c>
      <c r="Y48" s="44">
        <v>1750</v>
      </c>
      <c r="Z48" s="62">
        <f t="shared" si="5"/>
        <v>0.4375</v>
      </c>
      <c r="AA48" s="44">
        <v>3600</v>
      </c>
      <c r="AB48" s="44">
        <v>1600</v>
      </c>
      <c r="AC48" s="62">
        <f t="shared" si="6"/>
        <v>0.44444444444444442</v>
      </c>
      <c r="AD48" s="44" t="s">
        <v>36</v>
      </c>
      <c r="AE48" s="44">
        <v>3611</v>
      </c>
      <c r="AF48" s="44">
        <v>1806</v>
      </c>
      <c r="AG48" s="62">
        <f t="shared" si="7"/>
        <v>0.50013846579894761</v>
      </c>
      <c r="AH48" s="44">
        <v>2900</v>
      </c>
      <c r="AI48" s="44">
        <v>1611</v>
      </c>
      <c r="AJ48" s="62">
        <f t="shared" si="8"/>
        <v>0.55551724137931036</v>
      </c>
      <c r="AK48" s="44" t="s">
        <v>36</v>
      </c>
      <c r="AL48" s="44">
        <v>1000</v>
      </c>
      <c r="AM48" s="44">
        <v>705</v>
      </c>
      <c r="AN48" s="62">
        <f t="shared" si="9"/>
        <v>0.70499999999999996</v>
      </c>
      <c r="AO48" s="44" t="s">
        <v>36</v>
      </c>
      <c r="AP48" s="44">
        <v>1500</v>
      </c>
      <c r="AQ48" s="44">
        <v>938</v>
      </c>
      <c r="AR48" s="62">
        <f t="shared" si="10"/>
        <v>0.6253333333333333</v>
      </c>
      <c r="AS48" s="44" t="s">
        <v>36</v>
      </c>
      <c r="AT48" s="44">
        <v>1350</v>
      </c>
      <c r="AU48" s="44">
        <v>591</v>
      </c>
      <c r="AV48" s="62">
        <f t="shared" si="11"/>
        <v>0.43777777777777777</v>
      </c>
      <c r="AW48" s="44">
        <v>3000</v>
      </c>
      <c r="AX48" s="44">
        <v>1306</v>
      </c>
      <c r="AY48" s="62">
        <f t="shared" si="12"/>
        <v>0.43533333333333335</v>
      </c>
      <c r="AZ48" s="44" t="s">
        <v>36</v>
      </c>
      <c r="BA48" s="44">
        <v>350</v>
      </c>
      <c r="BB48" s="44">
        <v>163</v>
      </c>
      <c r="BC48" s="62">
        <f t="shared" si="13"/>
        <v>0.46571428571428569</v>
      </c>
      <c r="BD48" s="44">
        <v>15</v>
      </c>
      <c r="BE48" s="44">
        <v>10</v>
      </c>
      <c r="BF48" s="62">
        <f t="shared" si="14"/>
        <v>0.66666666666666663</v>
      </c>
      <c r="BJ48" s="62" t="str">
        <f t="shared" si="15"/>
        <v/>
      </c>
      <c r="BM48" s="62" t="str">
        <f t="shared" si="16"/>
        <v/>
      </c>
      <c r="BQ48" s="62" t="str">
        <f t="shared" si="17"/>
        <v/>
      </c>
      <c r="BT48" s="62" t="str">
        <f t="shared" si="18"/>
        <v/>
      </c>
      <c r="BW48" s="62" t="str">
        <f t="shared" si="19"/>
        <v/>
      </c>
      <c r="CA48" s="62" t="str">
        <f t="shared" si="20"/>
        <v/>
      </c>
      <c r="CD48" s="62" t="str">
        <f t="shared" si="21"/>
        <v/>
      </c>
    </row>
    <row r="49" spans="1:82" x14ac:dyDescent="0.3">
      <c r="A49" s="49" t="s">
        <v>238</v>
      </c>
      <c r="B49" s="49" t="s">
        <v>284</v>
      </c>
      <c r="F49" s="62" t="str">
        <f t="shared" si="0"/>
        <v/>
      </c>
      <c r="J49" s="62" t="str">
        <f t="shared" si="1"/>
        <v/>
      </c>
      <c r="N49" s="62" t="str">
        <f t="shared" si="2"/>
        <v/>
      </c>
      <c r="R49" s="62" t="str">
        <f t="shared" si="3"/>
        <v/>
      </c>
      <c r="V49" s="62" t="str">
        <f t="shared" si="4"/>
        <v/>
      </c>
      <c r="Z49" s="62" t="str">
        <f t="shared" si="5"/>
        <v/>
      </c>
      <c r="AC49" s="62" t="str">
        <f t="shared" si="6"/>
        <v/>
      </c>
      <c r="AG49" s="62" t="str">
        <f t="shared" si="7"/>
        <v/>
      </c>
      <c r="AJ49" s="62" t="str">
        <f t="shared" si="8"/>
        <v/>
      </c>
      <c r="AN49" s="62" t="str">
        <f t="shared" si="9"/>
        <v/>
      </c>
      <c r="AR49" s="62" t="str">
        <f t="shared" si="10"/>
        <v/>
      </c>
      <c r="AV49" s="62" t="str">
        <f t="shared" si="11"/>
        <v/>
      </c>
      <c r="AY49" s="62" t="str">
        <f t="shared" si="12"/>
        <v/>
      </c>
      <c r="BC49" s="62" t="str">
        <f t="shared" si="13"/>
        <v/>
      </c>
      <c r="BF49" s="62" t="str">
        <f t="shared" si="14"/>
        <v/>
      </c>
      <c r="BG49" s="44" t="s">
        <v>38</v>
      </c>
      <c r="BH49" s="44">
        <v>169</v>
      </c>
      <c r="BI49" s="44">
        <v>36</v>
      </c>
      <c r="BJ49" s="62">
        <f t="shared" si="15"/>
        <v>0.21301775147928995</v>
      </c>
      <c r="BK49" s="44">
        <v>414</v>
      </c>
      <c r="BL49" s="44">
        <v>70</v>
      </c>
      <c r="BM49" s="62">
        <f t="shared" si="16"/>
        <v>0.16908212560386474</v>
      </c>
      <c r="BN49" s="44" t="s">
        <v>38</v>
      </c>
      <c r="BO49" s="44">
        <v>808</v>
      </c>
      <c r="BP49" s="44">
        <v>310</v>
      </c>
      <c r="BQ49" s="62">
        <f t="shared" si="17"/>
        <v>0.38366336633663367</v>
      </c>
      <c r="BR49" s="44">
        <v>961.25</v>
      </c>
      <c r="BS49" s="44">
        <v>246.5</v>
      </c>
      <c r="BT49" s="62">
        <f t="shared" si="18"/>
        <v>0.2564369310793238</v>
      </c>
      <c r="BU49" s="44">
        <v>804</v>
      </c>
      <c r="BV49" s="44">
        <v>116</v>
      </c>
      <c r="BW49" s="62">
        <f t="shared" si="19"/>
        <v>0.14427860696517414</v>
      </c>
      <c r="BX49" s="44" t="s">
        <v>38</v>
      </c>
      <c r="BY49" s="44">
        <v>727</v>
      </c>
      <c r="BZ49" s="44">
        <v>181</v>
      </c>
      <c r="CA49" s="62">
        <f t="shared" si="20"/>
        <v>0.24896836313617607</v>
      </c>
      <c r="CB49" s="44">
        <v>1208</v>
      </c>
      <c r="CC49" s="44">
        <v>269</v>
      </c>
      <c r="CD49" s="62">
        <f t="shared" si="21"/>
        <v>0.22268211920529801</v>
      </c>
    </row>
    <row r="50" spans="1:82" x14ac:dyDescent="0.3">
      <c r="A50" s="49" t="s">
        <v>239</v>
      </c>
      <c r="B50" s="49" t="s">
        <v>284</v>
      </c>
      <c r="F50" s="62" t="str">
        <f t="shared" si="0"/>
        <v/>
      </c>
      <c r="J50" s="62" t="str">
        <f t="shared" si="1"/>
        <v/>
      </c>
      <c r="N50" s="62" t="str">
        <f t="shared" si="2"/>
        <v/>
      </c>
      <c r="R50" s="62" t="str">
        <f t="shared" si="3"/>
        <v/>
      </c>
      <c r="V50" s="62" t="str">
        <f t="shared" si="4"/>
        <v/>
      </c>
      <c r="Z50" s="62" t="str">
        <f t="shared" si="5"/>
        <v/>
      </c>
      <c r="AC50" s="62" t="str">
        <f t="shared" si="6"/>
        <v/>
      </c>
      <c r="AG50" s="62" t="str">
        <f t="shared" si="7"/>
        <v/>
      </c>
      <c r="AJ50" s="62" t="str">
        <f t="shared" si="8"/>
        <v/>
      </c>
      <c r="AN50" s="62" t="str">
        <f t="shared" si="9"/>
        <v/>
      </c>
      <c r="AR50" s="62" t="str">
        <f t="shared" si="10"/>
        <v/>
      </c>
      <c r="AV50" s="62" t="str">
        <f t="shared" si="11"/>
        <v/>
      </c>
      <c r="AY50" s="62" t="str">
        <f t="shared" si="12"/>
        <v/>
      </c>
      <c r="BC50" s="62" t="str">
        <f t="shared" si="13"/>
        <v/>
      </c>
      <c r="BF50" s="62" t="str">
        <f t="shared" si="14"/>
        <v/>
      </c>
      <c r="BG50" s="44" t="s">
        <v>38</v>
      </c>
      <c r="BH50" s="44">
        <v>1399</v>
      </c>
      <c r="BI50" s="44">
        <v>91</v>
      </c>
      <c r="BJ50" s="62">
        <f t="shared" si="15"/>
        <v>6.5046461758398857E-2</v>
      </c>
      <c r="BK50" s="44">
        <v>18480</v>
      </c>
      <c r="BL50" s="44">
        <v>1036</v>
      </c>
      <c r="BM50" s="62">
        <f t="shared" si="16"/>
        <v>5.6060606060606061E-2</v>
      </c>
      <c r="BN50" s="44" t="s">
        <v>38</v>
      </c>
      <c r="BO50" s="44">
        <v>9741</v>
      </c>
      <c r="BP50" s="44">
        <v>749</v>
      </c>
      <c r="BQ50" s="62">
        <f t="shared" si="17"/>
        <v>7.6891489580125247E-2</v>
      </c>
      <c r="BT50" s="62" t="str">
        <f t="shared" si="18"/>
        <v/>
      </c>
      <c r="BW50" s="62" t="str">
        <f t="shared" si="19"/>
        <v/>
      </c>
      <c r="CA50" s="62" t="str">
        <f t="shared" si="20"/>
        <v/>
      </c>
      <c r="CD50" s="62" t="str">
        <f t="shared" si="21"/>
        <v/>
      </c>
    </row>
    <row r="51" spans="1:82" x14ac:dyDescent="0.3">
      <c r="A51" s="49" t="s">
        <v>16</v>
      </c>
      <c r="B51" s="49" t="s">
        <v>284</v>
      </c>
      <c r="F51" s="62" t="str">
        <f t="shared" si="0"/>
        <v/>
      </c>
      <c r="J51" s="62" t="str">
        <f t="shared" si="1"/>
        <v/>
      </c>
      <c r="N51" s="62" t="str">
        <f t="shared" si="2"/>
        <v/>
      </c>
      <c r="R51" s="62" t="str">
        <f t="shared" si="3"/>
        <v/>
      </c>
      <c r="V51" s="62" t="str">
        <f t="shared" si="4"/>
        <v/>
      </c>
      <c r="Z51" s="62" t="str">
        <f t="shared" si="5"/>
        <v/>
      </c>
      <c r="AC51" s="62" t="str">
        <f t="shared" si="6"/>
        <v/>
      </c>
      <c r="AG51" s="62" t="str">
        <f t="shared" si="7"/>
        <v/>
      </c>
      <c r="AJ51" s="62" t="str">
        <f t="shared" si="8"/>
        <v/>
      </c>
      <c r="AN51" s="62" t="str">
        <f t="shared" si="9"/>
        <v/>
      </c>
      <c r="AR51" s="62" t="str">
        <f t="shared" si="10"/>
        <v/>
      </c>
      <c r="AV51" s="62" t="str">
        <f t="shared" si="11"/>
        <v/>
      </c>
      <c r="AY51" s="62" t="str">
        <f t="shared" si="12"/>
        <v/>
      </c>
      <c r="BC51" s="62" t="str">
        <f t="shared" si="13"/>
        <v/>
      </c>
      <c r="BF51" s="62" t="str">
        <f t="shared" si="14"/>
        <v/>
      </c>
      <c r="BJ51" s="62" t="str">
        <f t="shared" si="15"/>
        <v/>
      </c>
      <c r="BM51" s="62" t="str">
        <f t="shared" si="16"/>
        <v/>
      </c>
      <c r="BN51" s="44" t="s">
        <v>38</v>
      </c>
      <c r="BQ51" s="62" t="str">
        <f t="shared" si="17"/>
        <v/>
      </c>
      <c r="BR51" s="44">
        <v>52.25</v>
      </c>
      <c r="BS51" s="44">
        <v>323</v>
      </c>
      <c r="BT51" s="62">
        <f t="shared" si="18"/>
        <v>6.1818181818181817</v>
      </c>
      <c r="BU51" s="44">
        <v>58</v>
      </c>
      <c r="BV51" s="44">
        <v>111</v>
      </c>
      <c r="BW51" s="62">
        <f t="shared" si="19"/>
        <v>1.9137931034482758</v>
      </c>
      <c r="BX51" s="44" t="s">
        <v>38</v>
      </c>
      <c r="BY51" s="44">
        <v>60</v>
      </c>
      <c r="BZ51" s="44">
        <v>84</v>
      </c>
      <c r="CA51" s="62">
        <f t="shared" si="20"/>
        <v>1.4</v>
      </c>
      <c r="CB51" s="44">
        <v>5.5</v>
      </c>
      <c r="CC51" s="44">
        <v>16</v>
      </c>
      <c r="CD51" s="62">
        <f t="shared" si="21"/>
        <v>2.9090909090909092</v>
      </c>
    </row>
    <row r="52" spans="1:82" x14ac:dyDescent="0.3">
      <c r="A52" s="52" t="s">
        <v>17</v>
      </c>
      <c r="B52" s="49" t="s">
        <v>104</v>
      </c>
      <c r="C52" s="44" t="s">
        <v>38</v>
      </c>
      <c r="D52" s="44">
        <v>139448</v>
      </c>
      <c r="E52" s="44">
        <v>44286</v>
      </c>
      <c r="F52" s="62">
        <f t="shared" si="0"/>
        <v>0.3175807469450978</v>
      </c>
      <c r="J52" s="62" t="str">
        <f t="shared" si="1"/>
        <v/>
      </c>
      <c r="K52" s="44" t="s">
        <v>38</v>
      </c>
      <c r="L52" s="44">
        <v>84000</v>
      </c>
      <c r="M52" s="44">
        <v>36615</v>
      </c>
      <c r="N52" s="62">
        <f t="shared" si="2"/>
        <v>0.43589285714285714</v>
      </c>
      <c r="O52" s="44" t="s">
        <v>38</v>
      </c>
      <c r="P52" s="44">
        <v>88875</v>
      </c>
      <c r="Q52" s="44">
        <v>43269</v>
      </c>
      <c r="R52" s="62">
        <f t="shared" si="3"/>
        <v>0.48685232067510548</v>
      </c>
      <c r="S52" s="44" t="s">
        <v>38</v>
      </c>
      <c r="T52" s="44">
        <v>92550</v>
      </c>
      <c r="U52" s="44">
        <v>38321</v>
      </c>
      <c r="V52" s="62">
        <f t="shared" si="4"/>
        <v>0.41405726634251755</v>
      </c>
      <c r="W52" s="44" t="s">
        <v>38</v>
      </c>
      <c r="X52" s="44">
        <v>123000</v>
      </c>
      <c r="Y52" s="44">
        <v>43250</v>
      </c>
      <c r="Z52" s="62">
        <f t="shared" si="5"/>
        <v>0.3516260162601626</v>
      </c>
      <c r="AA52" s="44">
        <v>125850</v>
      </c>
      <c r="AB52" s="44">
        <v>46646</v>
      </c>
      <c r="AC52" s="62">
        <f t="shared" si="6"/>
        <v>0.370647596344855</v>
      </c>
      <c r="AD52" s="44" t="s">
        <v>38</v>
      </c>
      <c r="AE52" s="44">
        <v>119815</v>
      </c>
      <c r="AF52" s="44">
        <v>40258</v>
      </c>
      <c r="AG52" s="62">
        <f t="shared" si="7"/>
        <v>0.33600133539206278</v>
      </c>
      <c r="AH52" s="44">
        <v>104025</v>
      </c>
      <c r="AI52" s="44">
        <v>28028</v>
      </c>
      <c r="AJ52" s="62">
        <f t="shared" si="8"/>
        <v>0.26943523191540497</v>
      </c>
      <c r="AN52" s="62" t="str">
        <f t="shared" si="9"/>
        <v/>
      </c>
      <c r="AR52" s="62" t="str">
        <f t="shared" si="10"/>
        <v/>
      </c>
      <c r="AV52" s="62" t="str">
        <f t="shared" si="11"/>
        <v/>
      </c>
      <c r="AY52" s="62" t="str">
        <f t="shared" si="12"/>
        <v/>
      </c>
      <c r="AZ52" s="44" t="s">
        <v>38</v>
      </c>
      <c r="BA52" s="44">
        <v>115950</v>
      </c>
      <c r="BB52" s="44">
        <v>45907</v>
      </c>
      <c r="BC52" s="62">
        <f t="shared" si="13"/>
        <v>0.39592065545493749</v>
      </c>
      <c r="BD52" s="44">
        <v>108250</v>
      </c>
      <c r="BE52" s="44">
        <v>49037</v>
      </c>
      <c r="BF52" s="62">
        <f t="shared" si="14"/>
        <v>0.45299769053117783</v>
      </c>
      <c r="BJ52" s="62" t="str">
        <f t="shared" si="15"/>
        <v/>
      </c>
      <c r="BM52" s="62" t="str">
        <f t="shared" si="16"/>
        <v/>
      </c>
      <c r="BQ52" s="62" t="str">
        <f t="shared" si="17"/>
        <v/>
      </c>
      <c r="BT52" s="62" t="str">
        <f t="shared" si="18"/>
        <v/>
      </c>
      <c r="BW52" s="62" t="str">
        <f t="shared" si="19"/>
        <v/>
      </c>
      <c r="CA52" s="62" t="str">
        <f t="shared" si="20"/>
        <v/>
      </c>
      <c r="CD52" s="62" t="str">
        <f t="shared" si="21"/>
        <v/>
      </c>
    </row>
    <row r="53" spans="1:82" x14ac:dyDescent="0.3">
      <c r="A53" s="49" t="s">
        <v>159</v>
      </c>
      <c r="B53" s="49" t="s">
        <v>284</v>
      </c>
      <c r="F53" s="62" t="str">
        <f t="shared" si="0"/>
        <v/>
      </c>
      <c r="J53" s="62" t="str">
        <f t="shared" si="1"/>
        <v/>
      </c>
      <c r="N53" s="62" t="str">
        <f t="shared" si="2"/>
        <v/>
      </c>
      <c r="R53" s="62" t="str">
        <f t="shared" si="3"/>
        <v/>
      </c>
      <c r="V53" s="62" t="str">
        <f t="shared" si="4"/>
        <v/>
      </c>
      <c r="Z53" s="62" t="str">
        <f t="shared" si="5"/>
        <v/>
      </c>
      <c r="AC53" s="62" t="str">
        <f t="shared" si="6"/>
        <v/>
      </c>
      <c r="AG53" s="62" t="str">
        <f t="shared" si="7"/>
        <v/>
      </c>
      <c r="AJ53" s="62" t="str">
        <f t="shared" si="8"/>
        <v/>
      </c>
      <c r="AK53" s="44" t="s">
        <v>38</v>
      </c>
      <c r="AL53" s="44">
        <v>13500</v>
      </c>
      <c r="AM53" s="44">
        <v>3971</v>
      </c>
      <c r="AN53" s="62">
        <f t="shared" si="9"/>
        <v>0.29414814814814816</v>
      </c>
      <c r="AO53" s="44" t="s">
        <v>38</v>
      </c>
      <c r="AP53" s="44">
        <v>10500</v>
      </c>
      <c r="AQ53" s="44">
        <v>4594</v>
      </c>
      <c r="AR53" s="62">
        <f t="shared" si="10"/>
        <v>0.43752380952380954</v>
      </c>
      <c r="AS53" s="44" t="s">
        <v>38</v>
      </c>
      <c r="AT53" s="44">
        <v>26300</v>
      </c>
      <c r="AU53" s="44">
        <v>8218</v>
      </c>
      <c r="AV53" s="62">
        <f t="shared" si="11"/>
        <v>0.31247148288973386</v>
      </c>
      <c r="AW53" s="44">
        <v>25503</v>
      </c>
      <c r="AX53" s="44">
        <v>8501</v>
      </c>
      <c r="AY53" s="62">
        <f t="shared" si="12"/>
        <v>0.33333333333333331</v>
      </c>
      <c r="BC53" s="62" t="str">
        <f t="shared" si="13"/>
        <v/>
      </c>
      <c r="BF53" s="62" t="str">
        <f t="shared" si="14"/>
        <v/>
      </c>
      <c r="BG53" s="44" t="s">
        <v>38</v>
      </c>
      <c r="BJ53" s="62" t="str">
        <f t="shared" si="15"/>
        <v/>
      </c>
      <c r="BK53" s="44">
        <v>1869</v>
      </c>
      <c r="BL53" s="44">
        <v>577</v>
      </c>
      <c r="BM53" s="62">
        <f t="shared" si="16"/>
        <v>0.30872124130551098</v>
      </c>
      <c r="BN53" s="44" t="s">
        <v>38</v>
      </c>
      <c r="BO53" s="44">
        <v>1267</v>
      </c>
      <c r="BP53" s="44">
        <v>477</v>
      </c>
      <c r="BQ53" s="62">
        <f t="shared" si="17"/>
        <v>0.37647987371744279</v>
      </c>
      <c r="BT53" s="62" t="str">
        <f t="shared" si="18"/>
        <v/>
      </c>
      <c r="BU53" s="44">
        <v>7104</v>
      </c>
      <c r="BV53" s="44">
        <v>1864</v>
      </c>
      <c r="BW53" s="62">
        <f t="shared" si="19"/>
        <v>0.26238738738738737</v>
      </c>
      <c r="BX53" s="44" t="s">
        <v>38</v>
      </c>
      <c r="BY53" s="44">
        <v>16258</v>
      </c>
      <c r="BZ53" s="44">
        <v>5550</v>
      </c>
      <c r="CA53" s="62">
        <f t="shared" si="20"/>
        <v>0.34137040226350107</v>
      </c>
      <c r="CB53" s="44">
        <v>7753.5</v>
      </c>
      <c r="CC53" s="44">
        <v>2637</v>
      </c>
      <c r="CD53" s="62">
        <f t="shared" si="21"/>
        <v>0.34010446894950669</v>
      </c>
    </row>
    <row r="54" spans="1:82" x14ac:dyDescent="0.3">
      <c r="A54" s="49" t="s">
        <v>136</v>
      </c>
      <c r="B54" s="49" t="s">
        <v>284</v>
      </c>
      <c r="F54" s="62" t="str">
        <f t="shared" si="0"/>
        <v/>
      </c>
      <c r="J54" s="62" t="str">
        <f t="shared" si="1"/>
        <v/>
      </c>
      <c r="N54" s="62" t="str">
        <f t="shared" si="2"/>
        <v/>
      </c>
      <c r="R54" s="62" t="str">
        <f t="shared" si="3"/>
        <v/>
      </c>
      <c r="V54" s="62" t="str">
        <f t="shared" si="4"/>
        <v/>
      </c>
      <c r="Z54" s="62" t="str">
        <f t="shared" si="5"/>
        <v/>
      </c>
      <c r="AC54" s="62" t="str">
        <f t="shared" si="6"/>
        <v/>
      </c>
      <c r="AG54" s="62" t="str">
        <f t="shared" si="7"/>
        <v/>
      </c>
      <c r="AJ54" s="62" t="str">
        <f t="shared" si="8"/>
        <v/>
      </c>
      <c r="AK54" s="44" t="s">
        <v>38</v>
      </c>
      <c r="AL54" s="44">
        <v>7367</v>
      </c>
      <c r="AM54" s="44">
        <v>1300</v>
      </c>
      <c r="AN54" s="62">
        <f t="shared" si="9"/>
        <v>0.17646260350210397</v>
      </c>
      <c r="AO54" s="44" t="s">
        <v>38</v>
      </c>
      <c r="AP54" s="44">
        <v>4500</v>
      </c>
      <c r="AQ54" s="44">
        <v>843</v>
      </c>
      <c r="AR54" s="62">
        <f t="shared" si="10"/>
        <v>0.18733333333333332</v>
      </c>
      <c r="AS54" s="44" t="s">
        <v>38</v>
      </c>
      <c r="AT54" s="44">
        <v>53500</v>
      </c>
      <c r="AU54" s="44">
        <v>10031</v>
      </c>
      <c r="AV54" s="62">
        <f t="shared" si="11"/>
        <v>0.18749532710280373</v>
      </c>
      <c r="AW54" s="44">
        <v>29000</v>
      </c>
      <c r="AX54" s="44">
        <v>5800</v>
      </c>
      <c r="AY54" s="62">
        <f t="shared" si="12"/>
        <v>0.2</v>
      </c>
      <c r="BC54" s="62" t="str">
        <f t="shared" si="13"/>
        <v/>
      </c>
      <c r="BF54" s="62" t="str">
        <f t="shared" si="14"/>
        <v/>
      </c>
      <c r="BJ54" s="62" t="str">
        <f t="shared" si="15"/>
        <v/>
      </c>
      <c r="BM54" s="62" t="str">
        <f t="shared" si="16"/>
        <v/>
      </c>
      <c r="BN54" s="44" t="s">
        <v>38</v>
      </c>
      <c r="BO54" s="44">
        <v>187</v>
      </c>
      <c r="BP54" s="44">
        <v>62</v>
      </c>
      <c r="BQ54" s="62">
        <f t="shared" si="17"/>
        <v>0.33155080213903743</v>
      </c>
      <c r="BT54" s="62" t="str">
        <f t="shared" si="18"/>
        <v/>
      </c>
      <c r="BU54" s="44">
        <v>1372</v>
      </c>
      <c r="BV54" s="44">
        <v>380</v>
      </c>
      <c r="BW54" s="62">
        <f t="shared" si="19"/>
        <v>0.27696793002915454</v>
      </c>
      <c r="BX54" s="44" t="s">
        <v>38</v>
      </c>
      <c r="BY54" s="44">
        <v>4632.5</v>
      </c>
      <c r="BZ54" s="44">
        <v>1012</v>
      </c>
      <c r="CA54" s="62">
        <f t="shared" si="20"/>
        <v>0.21845655693470048</v>
      </c>
      <c r="CB54" s="44">
        <v>3434</v>
      </c>
      <c r="CC54" s="44">
        <v>947</v>
      </c>
      <c r="CD54" s="62">
        <f t="shared" si="21"/>
        <v>0.27577169481654046</v>
      </c>
    </row>
    <row r="55" spans="1:82" x14ac:dyDescent="0.3">
      <c r="A55" s="49" t="s">
        <v>118</v>
      </c>
      <c r="B55" s="49" t="s">
        <v>284</v>
      </c>
      <c r="F55" s="62" t="str">
        <f t="shared" si="0"/>
        <v/>
      </c>
      <c r="J55" s="62" t="str">
        <f t="shared" si="1"/>
        <v/>
      </c>
      <c r="N55" s="62" t="str">
        <f t="shared" si="2"/>
        <v/>
      </c>
      <c r="R55" s="62" t="str">
        <f t="shared" si="3"/>
        <v/>
      </c>
      <c r="V55" s="62" t="str">
        <f t="shared" si="4"/>
        <v/>
      </c>
      <c r="Z55" s="62" t="str">
        <f t="shared" si="5"/>
        <v/>
      </c>
      <c r="AC55" s="62" t="str">
        <f t="shared" si="6"/>
        <v/>
      </c>
      <c r="AG55" s="62" t="str">
        <f t="shared" si="7"/>
        <v/>
      </c>
      <c r="AJ55" s="62" t="str">
        <f t="shared" si="8"/>
        <v/>
      </c>
      <c r="AK55" s="44" t="s">
        <v>38</v>
      </c>
      <c r="AL55" s="44">
        <v>84170</v>
      </c>
      <c r="AM55" s="44">
        <v>29411</v>
      </c>
      <c r="AN55" s="62">
        <f t="shared" si="9"/>
        <v>0.34942378519662587</v>
      </c>
      <c r="AO55" s="44" t="s">
        <v>38</v>
      </c>
      <c r="AP55" s="44">
        <v>76500</v>
      </c>
      <c r="AQ55" s="44">
        <v>41438</v>
      </c>
      <c r="AR55" s="62">
        <f t="shared" si="10"/>
        <v>0.54167320261437912</v>
      </c>
      <c r="AS55" s="44" t="s">
        <v>38</v>
      </c>
      <c r="AT55" s="44">
        <v>190200</v>
      </c>
      <c r="AU55" s="44">
        <v>71325</v>
      </c>
      <c r="AV55" s="62">
        <f t="shared" si="11"/>
        <v>0.375</v>
      </c>
      <c r="AW55" s="44">
        <v>138000</v>
      </c>
      <c r="AX55" s="44">
        <v>55200</v>
      </c>
      <c r="AY55" s="62">
        <f t="shared" si="12"/>
        <v>0.4</v>
      </c>
      <c r="BC55" s="62" t="str">
        <f t="shared" si="13"/>
        <v/>
      </c>
      <c r="BF55" s="62" t="str">
        <f t="shared" si="14"/>
        <v/>
      </c>
      <c r="BJ55" s="62" t="str">
        <f t="shared" si="15"/>
        <v/>
      </c>
      <c r="BM55" s="62" t="str">
        <f t="shared" si="16"/>
        <v/>
      </c>
      <c r="BN55" s="44" t="s">
        <v>38</v>
      </c>
      <c r="BQ55" s="62" t="str">
        <f t="shared" si="17"/>
        <v/>
      </c>
      <c r="BR55" s="44">
        <v>2763</v>
      </c>
      <c r="BS55" s="44">
        <v>1779</v>
      </c>
      <c r="BT55" s="62">
        <f t="shared" si="18"/>
        <v>0.64386536373507053</v>
      </c>
      <c r="BU55" s="44">
        <v>4599</v>
      </c>
      <c r="BV55" s="44">
        <v>2055</v>
      </c>
      <c r="BW55" s="62">
        <f t="shared" si="19"/>
        <v>0.44683626875407695</v>
      </c>
      <c r="BX55" s="44" t="s">
        <v>38</v>
      </c>
      <c r="BY55" s="44">
        <v>5119</v>
      </c>
      <c r="BZ55" s="44">
        <v>2991</v>
      </c>
      <c r="CA55" s="62">
        <f t="shared" si="20"/>
        <v>0.58429380738425474</v>
      </c>
      <c r="CB55" s="44">
        <v>6015</v>
      </c>
      <c r="CC55" s="44">
        <v>3149</v>
      </c>
      <c r="CD55" s="62">
        <f t="shared" si="21"/>
        <v>0.52352452202826272</v>
      </c>
    </row>
    <row r="56" spans="1:82" x14ac:dyDescent="0.3">
      <c r="A56" s="49" t="s">
        <v>245</v>
      </c>
      <c r="B56" s="49" t="s">
        <v>284</v>
      </c>
      <c r="F56" s="62" t="str">
        <f t="shared" si="0"/>
        <v/>
      </c>
      <c r="J56" s="62" t="str">
        <f t="shared" si="1"/>
        <v/>
      </c>
      <c r="N56" s="62" t="str">
        <f t="shared" si="2"/>
        <v/>
      </c>
      <c r="R56" s="62" t="str">
        <f t="shared" si="3"/>
        <v/>
      </c>
      <c r="V56" s="62" t="str">
        <f t="shared" si="4"/>
        <v/>
      </c>
      <c r="Z56" s="62" t="str">
        <f t="shared" si="5"/>
        <v/>
      </c>
      <c r="AC56" s="62" t="str">
        <f t="shared" si="6"/>
        <v/>
      </c>
      <c r="AG56" s="62" t="str">
        <f t="shared" si="7"/>
        <v/>
      </c>
      <c r="AJ56" s="62" t="str">
        <f t="shared" si="8"/>
        <v/>
      </c>
      <c r="AK56" s="44" t="s">
        <v>38</v>
      </c>
      <c r="AL56" s="44">
        <v>716</v>
      </c>
      <c r="AM56" s="44">
        <v>453</v>
      </c>
      <c r="AN56" s="62">
        <f t="shared" si="9"/>
        <v>0.63268156424581001</v>
      </c>
      <c r="AO56" s="44" t="s">
        <v>38</v>
      </c>
      <c r="AP56" s="44">
        <v>1150</v>
      </c>
      <c r="AQ56" s="44">
        <v>719</v>
      </c>
      <c r="AR56" s="62">
        <f t="shared" si="10"/>
        <v>0.62521739130434784</v>
      </c>
      <c r="AS56" s="44" t="s">
        <v>38</v>
      </c>
      <c r="AT56" s="44">
        <v>7700</v>
      </c>
      <c r="AU56" s="44">
        <v>2407</v>
      </c>
      <c r="AV56" s="62">
        <f t="shared" si="11"/>
        <v>0.3125974025974026</v>
      </c>
      <c r="AW56" s="44">
        <v>6050</v>
      </c>
      <c r="AX56" s="44">
        <v>4033</v>
      </c>
      <c r="AY56" s="62">
        <f t="shared" si="12"/>
        <v>0.66661157024793394</v>
      </c>
      <c r="BC56" s="62" t="str">
        <f t="shared" si="13"/>
        <v/>
      </c>
      <c r="BF56" s="62" t="str">
        <f t="shared" si="14"/>
        <v/>
      </c>
      <c r="BG56" s="44" t="s">
        <v>38</v>
      </c>
      <c r="BH56" s="44">
        <v>5400</v>
      </c>
      <c r="BI56" s="44">
        <v>1509</v>
      </c>
      <c r="BJ56" s="62">
        <f t="shared" si="15"/>
        <v>0.27944444444444444</v>
      </c>
      <c r="BM56" s="62" t="str">
        <f t="shared" si="16"/>
        <v/>
      </c>
      <c r="BN56" s="44" t="s">
        <v>38</v>
      </c>
      <c r="BQ56" s="62" t="str">
        <f t="shared" si="17"/>
        <v/>
      </c>
      <c r="BR56" s="44">
        <v>435</v>
      </c>
      <c r="BS56" s="44">
        <v>280</v>
      </c>
      <c r="BT56" s="62">
        <f t="shared" si="18"/>
        <v>0.64367816091954022</v>
      </c>
      <c r="BU56" s="44">
        <v>812</v>
      </c>
      <c r="BV56" s="44">
        <v>534</v>
      </c>
      <c r="BW56" s="62">
        <f t="shared" si="19"/>
        <v>0.6576354679802956</v>
      </c>
      <c r="BX56" s="44" t="s">
        <v>38</v>
      </c>
      <c r="BY56" s="44">
        <v>453.5</v>
      </c>
      <c r="BZ56" s="44">
        <v>285</v>
      </c>
      <c r="CA56" s="62">
        <f t="shared" si="20"/>
        <v>0.62844542447629548</v>
      </c>
      <c r="CB56" s="44">
        <v>680</v>
      </c>
      <c r="CC56" s="44">
        <v>636</v>
      </c>
      <c r="CD56" s="62">
        <f t="shared" si="21"/>
        <v>0.93529411764705883</v>
      </c>
    </row>
    <row r="57" spans="1:82" x14ac:dyDescent="0.3">
      <c r="A57" s="53" t="s">
        <v>70</v>
      </c>
      <c r="B57" s="49" t="s">
        <v>284</v>
      </c>
      <c r="F57" s="62" t="str">
        <f t="shared" si="0"/>
        <v/>
      </c>
      <c r="J57" s="62" t="str">
        <f t="shared" si="1"/>
        <v/>
      </c>
      <c r="N57" s="62" t="str">
        <f t="shared" si="2"/>
        <v/>
      </c>
      <c r="R57" s="62" t="str">
        <f t="shared" si="3"/>
        <v/>
      </c>
      <c r="V57" s="62" t="str">
        <f t="shared" si="4"/>
        <v/>
      </c>
      <c r="Z57" s="62" t="str">
        <f t="shared" si="5"/>
        <v/>
      </c>
      <c r="AC57" s="62" t="str">
        <f t="shared" si="6"/>
        <v/>
      </c>
      <c r="AG57" s="62" t="str">
        <f t="shared" si="7"/>
        <v/>
      </c>
      <c r="AJ57" s="62" t="str">
        <f t="shared" si="8"/>
        <v/>
      </c>
      <c r="AN57" s="62" t="str">
        <f t="shared" si="9"/>
        <v/>
      </c>
      <c r="AO57" s="44" t="s">
        <v>38</v>
      </c>
      <c r="AP57" s="44">
        <v>300</v>
      </c>
      <c r="AQ57" s="44">
        <v>281</v>
      </c>
      <c r="AR57" s="62">
        <f t="shared" si="10"/>
        <v>0.93666666666666665</v>
      </c>
      <c r="AV57" s="62" t="str">
        <f t="shared" si="11"/>
        <v/>
      </c>
      <c r="AY57" s="62" t="str">
        <f t="shared" si="12"/>
        <v/>
      </c>
      <c r="AZ57" s="44" t="s">
        <v>38</v>
      </c>
      <c r="BC57" s="62" t="str">
        <f t="shared" si="13"/>
        <v/>
      </c>
      <c r="BD57" s="44">
        <v>170</v>
      </c>
      <c r="BE57" s="44">
        <v>142</v>
      </c>
      <c r="BF57" s="62">
        <f t="shared" si="14"/>
        <v>0.83529411764705885</v>
      </c>
      <c r="BG57" s="44" t="s">
        <v>38</v>
      </c>
      <c r="BJ57" s="62" t="str">
        <f t="shared" si="15"/>
        <v/>
      </c>
      <c r="BK57" s="44">
        <v>26</v>
      </c>
      <c r="BL57" s="44">
        <v>67</v>
      </c>
      <c r="BM57" s="62">
        <f t="shared" si="16"/>
        <v>2.5769230769230771</v>
      </c>
      <c r="BN57" s="44" t="s">
        <v>38</v>
      </c>
      <c r="BO57" s="44">
        <v>30</v>
      </c>
      <c r="BP57" s="44">
        <v>109</v>
      </c>
      <c r="BQ57" s="62">
        <f t="shared" si="17"/>
        <v>3.6333333333333333</v>
      </c>
      <c r="BR57" s="44">
        <v>31</v>
      </c>
      <c r="BS57" s="44">
        <v>25</v>
      </c>
      <c r="BT57" s="62">
        <f t="shared" si="18"/>
        <v>0.80645161290322576</v>
      </c>
      <c r="BW57" s="62" t="str">
        <f t="shared" si="19"/>
        <v/>
      </c>
      <c r="BX57" s="44" t="s">
        <v>38</v>
      </c>
      <c r="CA57" s="62" t="str">
        <f t="shared" si="20"/>
        <v/>
      </c>
      <c r="CB57" s="44">
        <v>4.5</v>
      </c>
      <c r="CC57" s="44">
        <v>16</v>
      </c>
      <c r="CD57" s="62">
        <f t="shared" si="21"/>
        <v>3.5555555555555554</v>
      </c>
    </row>
    <row r="58" spans="1:82" x14ac:dyDescent="0.3">
      <c r="A58" s="49" t="s">
        <v>44</v>
      </c>
      <c r="B58" s="49" t="s">
        <v>284</v>
      </c>
      <c r="F58" s="62" t="str">
        <f t="shared" si="0"/>
        <v/>
      </c>
      <c r="J58" s="62" t="str">
        <f t="shared" si="1"/>
        <v/>
      </c>
      <c r="N58" s="62" t="str">
        <f t="shared" si="2"/>
        <v/>
      </c>
      <c r="R58" s="62" t="str">
        <f t="shared" si="3"/>
        <v/>
      </c>
      <c r="V58" s="62" t="str">
        <f t="shared" si="4"/>
        <v/>
      </c>
      <c r="Z58" s="62" t="str">
        <f t="shared" si="5"/>
        <v/>
      </c>
      <c r="AC58" s="62" t="str">
        <f t="shared" si="6"/>
        <v/>
      </c>
      <c r="AG58" s="62" t="str">
        <f t="shared" si="7"/>
        <v/>
      </c>
      <c r="AJ58" s="62" t="str">
        <f t="shared" si="8"/>
        <v/>
      </c>
      <c r="AN58" s="62" t="str">
        <f t="shared" si="9"/>
        <v/>
      </c>
      <c r="AR58" s="62" t="str">
        <f t="shared" si="10"/>
        <v/>
      </c>
      <c r="AV58" s="62" t="str">
        <f t="shared" si="11"/>
        <v/>
      </c>
      <c r="AY58" s="62" t="str">
        <f t="shared" si="12"/>
        <v/>
      </c>
      <c r="BC58" s="62" t="str">
        <f t="shared" si="13"/>
        <v/>
      </c>
      <c r="BF58" s="62" t="str">
        <f t="shared" si="14"/>
        <v/>
      </c>
      <c r="BJ58" s="62" t="str">
        <f t="shared" si="15"/>
        <v/>
      </c>
      <c r="BM58" s="62" t="str">
        <f t="shared" si="16"/>
        <v/>
      </c>
      <c r="BN58" s="44" t="s">
        <v>38</v>
      </c>
      <c r="BQ58" s="62" t="str">
        <f t="shared" si="17"/>
        <v/>
      </c>
      <c r="BT58" s="62" t="str">
        <f t="shared" si="18"/>
        <v/>
      </c>
      <c r="BU58" s="44">
        <v>255</v>
      </c>
      <c r="BV58" s="44">
        <v>658</v>
      </c>
      <c r="BW58" s="62">
        <f t="shared" si="19"/>
        <v>2.5803921568627453</v>
      </c>
      <c r="BX58" s="44" t="s">
        <v>38</v>
      </c>
      <c r="BY58" s="44">
        <v>105</v>
      </c>
      <c r="BZ58" s="44">
        <v>124</v>
      </c>
      <c r="CA58" s="62">
        <f t="shared" si="20"/>
        <v>1.180952380952381</v>
      </c>
      <c r="CB58" s="44">
        <v>120</v>
      </c>
      <c r="CC58" s="44">
        <v>320</v>
      </c>
      <c r="CD58" s="62">
        <f t="shared" si="21"/>
        <v>2.6666666666666665</v>
      </c>
    </row>
    <row r="59" spans="1:82" x14ac:dyDescent="0.3">
      <c r="A59" s="49" t="s">
        <v>18</v>
      </c>
      <c r="B59" s="49" t="s">
        <v>293</v>
      </c>
      <c r="C59" s="44" t="s">
        <v>37</v>
      </c>
      <c r="D59" s="44">
        <v>35</v>
      </c>
      <c r="E59" s="44">
        <v>500</v>
      </c>
      <c r="F59" s="62">
        <f t="shared" si="0"/>
        <v>14.285714285714286</v>
      </c>
      <c r="G59" s="44" t="s">
        <v>37</v>
      </c>
      <c r="H59" s="44">
        <v>40</v>
      </c>
      <c r="I59" s="44">
        <v>675</v>
      </c>
      <c r="J59" s="62">
        <f t="shared" si="1"/>
        <v>16.875</v>
      </c>
      <c r="K59" s="44" t="s">
        <v>37</v>
      </c>
      <c r="L59" s="44">
        <v>50</v>
      </c>
      <c r="M59" s="44">
        <v>855</v>
      </c>
      <c r="N59" s="62">
        <f t="shared" si="2"/>
        <v>17.100000000000001</v>
      </c>
      <c r="O59" s="44" t="s">
        <v>37</v>
      </c>
      <c r="P59" s="44">
        <v>58</v>
      </c>
      <c r="Q59" s="44">
        <v>1115</v>
      </c>
      <c r="R59" s="62">
        <f t="shared" si="3"/>
        <v>19.224137931034484</v>
      </c>
      <c r="S59" s="44" t="s">
        <v>37</v>
      </c>
      <c r="T59" s="44">
        <v>63</v>
      </c>
      <c r="U59" s="44">
        <v>1108</v>
      </c>
      <c r="V59" s="62">
        <f t="shared" si="4"/>
        <v>17.587301587301589</v>
      </c>
      <c r="W59" s="44" t="s">
        <v>37</v>
      </c>
      <c r="X59" s="44">
        <v>54</v>
      </c>
      <c r="Y59" s="44">
        <v>843</v>
      </c>
      <c r="Z59" s="62">
        <f t="shared" si="5"/>
        <v>15.611111111111111</v>
      </c>
      <c r="AA59" s="44">
        <v>50</v>
      </c>
      <c r="AB59" s="44">
        <v>769</v>
      </c>
      <c r="AC59" s="62">
        <f t="shared" si="6"/>
        <v>15.38</v>
      </c>
      <c r="AD59" s="44" t="s">
        <v>37</v>
      </c>
      <c r="AE59" s="44">
        <v>50</v>
      </c>
      <c r="AF59" s="44">
        <v>694</v>
      </c>
      <c r="AG59" s="62">
        <f t="shared" si="7"/>
        <v>13.88</v>
      </c>
      <c r="AH59" s="44">
        <v>40</v>
      </c>
      <c r="AI59" s="44">
        <v>556</v>
      </c>
      <c r="AJ59" s="62">
        <f t="shared" si="8"/>
        <v>13.9</v>
      </c>
      <c r="AK59" s="44" t="s">
        <v>37</v>
      </c>
      <c r="AN59" s="62" t="str">
        <f t="shared" si="9"/>
        <v/>
      </c>
      <c r="AR59" s="62" t="str">
        <f t="shared" si="10"/>
        <v/>
      </c>
      <c r="AV59" s="62" t="str">
        <f t="shared" si="11"/>
        <v/>
      </c>
      <c r="AY59" s="62" t="str">
        <f t="shared" si="12"/>
        <v/>
      </c>
      <c r="BC59" s="62" t="str">
        <f t="shared" si="13"/>
        <v/>
      </c>
      <c r="BF59" s="62" t="str">
        <f t="shared" si="14"/>
        <v/>
      </c>
      <c r="BG59" s="44" t="s">
        <v>38</v>
      </c>
      <c r="BJ59" s="62" t="str">
        <f t="shared" si="15"/>
        <v/>
      </c>
      <c r="BK59" s="44">
        <v>105</v>
      </c>
      <c r="BL59" s="44">
        <v>167</v>
      </c>
      <c r="BM59" s="62">
        <f t="shared" si="16"/>
        <v>1.5904761904761904</v>
      </c>
      <c r="BN59" s="44" t="s">
        <v>38</v>
      </c>
      <c r="BO59" s="44">
        <v>90</v>
      </c>
      <c r="BP59" s="44">
        <v>93</v>
      </c>
      <c r="BQ59" s="62">
        <f t="shared" si="17"/>
        <v>1.0333333333333334</v>
      </c>
      <c r="BR59" s="44">
        <v>243.5</v>
      </c>
      <c r="BS59" s="44">
        <v>471</v>
      </c>
      <c r="BT59" s="62">
        <f t="shared" si="18"/>
        <v>1.9342915811088295</v>
      </c>
      <c r="BW59" s="62" t="str">
        <f t="shared" si="19"/>
        <v/>
      </c>
      <c r="CA59" s="62" t="str">
        <f t="shared" si="20"/>
        <v/>
      </c>
      <c r="CD59" s="62" t="str">
        <f t="shared" si="21"/>
        <v/>
      </c>
    </row>
    <row r="60" spans="1:82" x14ac:dyDescent="0.3">
      <c r="A60" s="49" t="s">
        <v>127</v>
      </c>
      <c r="B60" s="49" t="s">
        <v>284</v>
      </c>
      <c r="F60" s="62" t="str">
        <f t="shared" si="0"/>
        <v/>
      </c>
      <c r="J60" s="62" t="str">
        <f t="shared" si="1"/>
        <v/>
      </c>
      <c r="N60" s="62" t="str">
        <f t="shared" si="2"/>
        <v/>
      </c>
      <c r="R60" s="62" t="str">
        <f t="shared" si="3"/>
        <v/>
      </c>
      <c r="V60" s="62" t="str">
        <f t="shared" si="4"/>
        <v/>
      </c>
      <c r="Z60" s="62" t="str">
        <f t="shared" si="5"/>
        <v/>
      </c>
      <c r="AC60" s="62" t="str">
        <f t="shared" si="6"/>
        <v/>
      </c>
      <c r="AG60" s="62" t="str">
        <f t="shared" si="7"/>
        <v/>
      </c>
      <c r="AJ60" s="62" t="str">
        <f t="shared" si="8"/>
        <v/>
      </c>
      <c r="AN60" s="62" t="str">
        <f t="shared" si="9"/>
        <v/>
      </c>
      <c r="AO60" s="44" t="s">
        <v>38</v>
      </c>
      <c r="AP60" s="54">
        <v>1050</v>
      </c>
      <c r="AQ60" s="44">
        <v>1312</v>
      </c>
      <c r="AR60" s="62">
        <f t="shared" si="10"/>
        <v>1.2495238095238095</v>
      </c>
      <c r="AV60" s="62" t="str">
        <f t="shared" si="11"/>
        <v/>
      </c>
      <c r="AY60" s="62" t="str">
        <f t="shared" si="12"/>
        <v/>
      </c>
      <c r="BC60" s="62" t="str">
        <f t="shared" si="13"/>
        <v/>
      </c>
      <c r="BF60" s="62" t="str">
        <f t="shared" si="14"/>
        <v/>
      </c>
      <c r="BJ60" s="62" t="str">
        <f t="shared" si="15"/>
        <v/>
      </c>
      <c r="BM60" s="62" t="str">
        <f t="shared" si="16"/>
        <v/>
      </c>
      <c r="BQ60" s="62" t="str">
        <f t="shared" si="17"/>
        <v/>
      </c>
      <c r="BT60" s="62" t="str">
        <f t="shared" si="18"/>
        <v/>
      </c>
      <c r="BW60" s="62" t="str">
        <f t="shared" si="19"/>
        <v/>
      </c>
      <c r="CA60" s="62" t="str">
        <f t="shared" si="20"/>
        <v/>
      </c>
      <c r="CD60" s="62" t="str">
        <f t="shared" si="21"/>
        <v/>
      </c>
    </row>
    <row r="61" spans="1:82" x14ac:dyDescent="0.3">
      <c r="A61" s="49" t="s">
        <v>280</v>
      </c>
      <c r="B61" s="49" t="s">
        <v>284</v>
      </c>
      <c r="F61" s="62" t="str">
        <f t="shared" si="0"/>
        <v/>
      </c>
      <c r="J61" s="62" t="str">
        <f t="shared" si="1"/>
        <v/>
      </c>
      <c r="N61" s="62" t="str">
        <f t="shared" si="2"/>
        <v/>
      </c>
      <c r="R61" s="62" t="str">
        <f t="shared" si="3"/>
        <v/>
      </c>
      <c r="V61" s="62" t="str">
        <f t="shared" si="4"/>
        <v/>
      </c>
      <c r="Z61" s="62" t="str">
        <f t="shared" si="5"/>
        <v/>
      </c>
      <c r="AC61" s="62" t="str">
        <f t="shared" si="6"/>
        <v/>
      </c>
      <c r="AG61" s="62" t="str">
        <f t="shared" si="7"/>
        <v/>
      </c>
      <c r="AJ61" s="62" t="str">
        <f t="shared" si="8"/>
        <v/>
      </c>
      <c r="AK61" s="44" t="s">
        <v>38</v>
      </c>
      <c r="AL61" s="44">
        <v>900</v>
      </c>
      <c r="AM61" s="44">
        <v>435</v>
      </c>
      <c r="AN61" s="62">
        <f t="shared" si="9"/>
        <v>0.48333333333333334</v>
      </c>
      <c r="AR61" s="62" t="str">
        <f t="shared" si="10"/>
        <v/>
      </c>
      <c r="AV61" s="62" t="str">
        <f t="shared" si="11"/>
        <v/>
      </c>
      <c r="AY61" s="62" t="str">
        <f t="shared" si="12"/>
        <v/>
      </c>
      <c r="BC61" s="62" t="str">
        <f t="shared" si="13"/>
        <v/>
      </c>
      <c r="BF61" s="62" t="str">
        <f t="shared" si="14"/>
        <v/>
      </c>
      <c r="BJ61" s="62" t="str">
        <f t="shared" si="15"/>
        <v/>
      </c>
      <c r="BM61" s="62" t="str">
        <f t="shared" si="16"/>
        <v/>
      </c>
      <c r="BQ61" s="62" t="str">
        <f t="shared" si="17"/>
        <v/>
      </c>
      <c r="BT61" s="62" t="str">
        <f t="shared" si="18"/>
        <v/>
      </c>
      <c r="BW61" s="62" t="str">
        <f t="shared" si="19"/>
        <v/>
      </c>
      <c r="CA61" s="62" t="str">
        <f t="shared" si="20"/>
        <v/>
      </c>
      <c r="CD61" s="62" t="str">
        <f t="shared" si="21"/>
        <v/>
      </c>
    </row>
    <row r="62" spans="1:82" x14ac:dyDescent="0.3">
      <c r="A62" s="49" t="s">
        <v>246</v>
      </c>
      <c r="B62" s="49" t="s">
        <v>284</v>
      </c>
      <c r="F62" s="62" t="str">
        <f t="shared" si="0"/>
        <v/>
      </c>
      <c r="J62" s="62" t="str">
        <f t="shared" si="1"/>
        <v/>
      </c>
      <c r="N62" s="62" t="str">
        <f t="shared" si="2"/>
        <v/>
      </c>
      <c r="R62" s="62" t="str">
        <f t="shared" si="3"/>
        <v/>
      </c>
      <c r="V62" s="62" t="str">
        <f t="shared" si="4"/>
        <v/>
      </c>
      <c r="Z62" s="62" t="str">
        <f t="shared" si="5"/>
        <v/>
      </c>
      <c r="AC62" s="62" t="str">
        <f t="shared" si="6"/>
        <v/>
      </c>
      <c r="AG62" s="62" t="str">
        <f t="shared" si="7"/>
        <v/>
      </c>
      <c r="AJ62" s="62" t="str">
        <f t="shared" si="8"/>
        <v/>
      </c>
      <c r="AK62" s="44" t="s">
        <v>37</v>
      </c>
      <c r="AL62" s="44">
        <v>16</v>
      </c>
      <c r="AM62" s="44">
        <v>235</v>
      </c>
      <c r="AN62" s="62">
        <f t="shared" si="9"/>
        <v>14.6875</v>
      </c>
      <c r="AO62" s="44" t="s">
        <v>37</v>
      </c>
      <c r="AP62" s="54">
        <v>9</v>
      </c>
      <c r="AQ62" s="44">
        <v>141</v>
      </c>
      <c r="AR62" s="62">
        <f t="shared" si="10"/>
        <v>15.666666666666666</v>
      </c>
      <c r="AV62" s="62" t="str">
        <f t="shared" si="11"/>
        <v/>
      </c>
      <c r="AY62" s="62" t="str">
        <f t="shared" si="12"/>
        <v/>
      </c>
      <c r="BC62" s="62" t="str">
        <f t="shared" si="13"/>
        <v/>
      </c>
      <c r="BF62" s="62" t="str">
        <f t="shared" si="14"/>
        <v/>
      </c>
      <c r="BJ62" s="62" t="str">
        <f t="shared" si="15"/>
        <v/>
      </c>
      <c r="BM62" s="62" t="str">
        <f t="shared" si="16"/>
        <v/>
      </c>
      <c r="BQ62" s="62" t="str">
        <f t="shared" si="17"/>
        <v/>
      </c>
      <c r="BT62" s="62" t="str">
        <f t="shared" si="18"/>
        <v/>
      </c>
      <c r="BW62" s="62" t="str">
        <f t="shared" si="19"/>
        <v/>
      </c>
      <c r="CA62" s="62" t="str">
        <f t="shared" si="20"/>
        <v/>
      </c>
      <c r="CD62" s="62" t="str">
        <f t="shared" si="21"/>
        <v/>
      </c>
    </row>
    <row r="63" spans="1:82" x14ac:dyDescent="0.3">
      <c r="A63" s="49" t="s">
        <v>341</v>
      </c>
      <c r="B63" s="49" t="s">
        <v>292</v>
      </c>
      <c r="C63" s="44" t="s">
        <v>35</v>
      </c>
      <c r="D63" s="44">
        <v>6600</v>
      </c>
      <c r="E63" s="44">
        <v>414</v>
      </c>
      <c r="F63" s="62">
        <f t="shared" si="0"/>
        <v>6.2727272727272729E-2</v>
      </c>
      <c r="G63" s="44" t="s">
        <v>35</v>
      </c>
      <c r="H63" s="44">
        <v>4800</v>
      </c>
      <c r="I63" s="44">
        <v>379</v>
      </c>
      <c r="J63" s="62">
        <f t="shared" si="1"/>
        <v>7.8958333333333339E-2</v>
      </c>
      <c r="N63" s="62" t="str">
        <f t="shared" si="2"/>
        <v/>
      </c>
      <c r="R63" s="62" t="str">
        <f t="shared" si="3"/>
        <v/>
      </c>
      <c r="V63" s="62" t="str">
        <f t="shared" si="4"/>
        <v/>
      </c>
      <c r="Z63" s="62" t="str">
        <f t="shared" si="5"/>
        <v/>
      </c>
      <c r="AC63" s="62" t="str">
        <f t="shared" si="6"/>
        <v/>
      </c>
      <c r="AG63" s="62" t="str">
        <f t="shared" si="7"/>
        <v/>
      </c>
      <c r="AJ63" s="62" t="str">
        <f t="shared" si="8"/>
        <v/>
      </c>
      <c r="AK63" s="44" t="s">
        <v>43</v>
      </c>
      <c r="AL63" s="44">
        <v>309</v>
      </c>
      <c r="AM63" s="44">
        <v>2176</v>
      </c>
      <c r="AN63" s="62">
        <f t="shared" si="9"/>
        <v>7.0420711974110031</v>
      </c>
      <c r="AO63" s="44" t="s">
        <v>43</v>
      </c>
      <c r="AP63" s="54">
        <v>100</v>
      </c>
      <c r="AQ63" s="44">
        <v>750</v>
      </c>
      <c r="AR63" s="62">
        <f t="shared" si="10"/>
        <v>7.5</v>
      </c>
      <c r="AV63" s="62" t="str">
        <f t="shared" si="11"/>
        <v/>
      </c>
      <c r="AY63" s="62" t="str">
        <f t="shared" si="12"/>
        <v/>
      </c>
      <c r="BC63" s="62" t="str">
        <f t="shared" si="13"/>
        <v/>
      </c>
      <c r="BF63" s="62" t="str">
        <f t="shared" si="14"/>
        <v/>
      </c>
      <c r="BG63" s="44" t="s">
        <v>38</v>
      </c>
      <c r="BH63" s="44">
        <v>177</v>
      </c>
      <c r="BI63" s="44">
        <v>254</v>
      </c>
      <c r="BJ63" s="62">
        <f t="shared" si="15"/>
        <v>1.4350282485875707</v>
      </c>
      <c r="BK63" s="44">
        <v>69</v>
      </c>
      <c r="BL63" s="44">
        <v>159</v>
      </c>
      <c r="BM63" s="62">
        <f t="shared" si="16"/>
        <v>2.3043478260869565</v>
      </c>
      <c r="BN63" s="44" t="s">
        <v>38</v>
      </c>
      <c r="BO63" s="44">
        <v>78</v>
      </c>
      <c r="BP63" s="44">
        <v>119</v>
      </c>
      <c r="BQ63" s="62">
        <f t="shared" si="17"/>
        <v>1.5256410256410255</v>
      </c>
      <c r="BR63" s="44">
        <v>104.5</v>
      </c>
      <c r="BS63" s="44">
        <v>262</v>
      </c>
      <c r="BT63" s="62">
        <f t="shared" si="18"/>
        <v>2.5071770334928232</v>
      </c>
      <c r="BU63" s="44">
        <v>164</v>
      </c>
      <c r="BV63" s="44">
        <v>436</v>
      </c>
      <c r="BW63" s="62">
        <f t="shared" si="19"/>
        <v>2.6585365853658538</v>
      </c>
      <c r="BX63" s="44" t="s">
        <v>38</v>
      </c>
      <c r="BY63" s="44">
        <v>50.25</v>
      </c>
      <c r="BZ63" s="44">
        <v>108</v>
      </c>
      <c r="CA63" s="62">
        <f t="shared" si="20"/>
        <v>2.1492537313432836</v>
      </c>
      <c r="CB63" s="44">
        <v>87.5</v>
      </c>
      <c r="CC63" s="44">
        <v>290</v>
      </c>
      <c r="CD63" s="62">
        <f t="shared" si="21"/>
        <v>3.3142857142857145</v>
      </c>
    </row>
    <row r="64" spans="1:82" x14ac:dyDescent="0.3">
      <c r="A64" s="49" t="s">
        <v>344</v>
      </c>
      <c r="B64" s="49" t="s">
        <v>284</v>
      </c>
      <c r="F64" s="62" t="str">
        <f t="shared" si="0"/>
        <v/>
      </c>
      <c r="J64" s="62" t="str">
        <f t="shared" si="1"/>
        <v/>
      </c>
      <c r="N64" s="62" t="str">
        <f t="shared" si="2"/>
        <v/>
      </c>
      <c r="R64" s="62" t="str">
        <f t="shared" si="3"/>
        <v/>
      </c>
      <c r="V64" s="62" t="str">
        <f t="shared" si="4"/>
        <v/>
      </c>
      <c r="Z64" s="62" t="str">
        <f t="shared" si="5"/>
        <v/>
      </c>
      <c r="AC64" s="62" t="str">
        <f t="shared" si="6"/>
        <v/>
      </c>
      <c r="AG64" s="62" t="str">
        <f t="shared" si="7"/>
        <v/>
      </c>
      <c r="AJ64" s="62" t="str">
        <f t="shared" si="8"/>
        <v/>
      </c>
      <c r="AN64" s="62" t="str">
        <f t="shared" si="9"/>
        <v/>
      </c>
      <c r="AP64" s="32"/>
      <c r="AR64" s="62" t="str">
        <f t="shared" si="10"/>
        <v/>
      </c>
      <c r="AV64" s="62" t="str">
        <f t="shared" si="11"/>
        <v/>
      </c>
      <c r="AY64" s="62" t="str">
        <f t="shared" si="12"/>
        <v/>
      </c>
      <c r="BC64" s="62" t="str">
        <f t="shared" si="13"/>
        <v/>
      </c>
      <c r="BF64" s="62" t="str">
        <f t="shared" si="14"/>
        <v/>
      </c>
      <c r="BJ64" s="62" t="str">
        <f t="shared" si="15"/>
        <v/>
      </c>
      <c r="BM64" s="62" t="str">
        <f t="shared" si="16"/>
        <v/>
      </c>
      <c r="BN64" s="44" t="s">
        <v>38</v>
      </c>
      <c r="BQ64" s="62" t="str">
        <f t="shared" si="17"/>
        <v/>
      </c>
      <c r="BT64" s="62" t="str">
        <f t="shared" si="18"/>
        <v/>
      </c>
      <c r="BU64" s="44">
        <v>3.25</v>
      </c>
      <c r="BV64" s="44">
        <v>10</v>
      </c>
      <c r="BW64" s="62">
        <f t="shared" si="19"/>
        <v>3.0769230769230771</v>
      </c>
      <c r="BX64" s="44" t="s">
        <v>38</v>
      </c>
      <c r="CA64" s="62" t="str">
        <f t="shared" si="20"/>
        <v/>
      </c>
      <c r="CB64" s="44">
        <v>2</v>
      </c>
      <c r="CC64" s="44">
        <v>13</v>
      </c>
      <c r="CD64" s="62">
        <f t="shared" si="21"/>
        <v>6.5</v>
      </c>
    </row>
    <row r="65" spans="1:82" x14ac:dyDescent="0.3">
      <c r="A65" s="53" t="s">
        <v>351</v>
      </c>
      <c r="B65" s="49" t="s">
        <v>284</v>
      </c>
      <c r="F65" s="62" t="str">
        <f t="shared" si="0"/>
        <v/>
      </c>
      <c r="J65" s="62" t="str">
        <f t="shared" si="1"/>
        <v/>
      </c>
      <c r="N65" s="62" t="str">
        <f t="shared" si="2"/>
        <v/>
      </c>
      <c r="O65" s="44" t="s">
        <v>38</v>
      </c>
      <c r="R65" s="62" t="str">
        <f t="shared" si="3"/>
        <v/>
      </c>
      <c r="S65" s="44" t="s">
        <v>38</v>
      </c>
      <c r="T65" s="44">
        <v>833</v>
      </c>
      <c r="U65" s="44">
        <v>714</v>
      </c>
      <c r="V65" s="62">
        <f t="shared" si="4"/>
        <v>0.8571428571428571</v>
      </c>
      <c r="Z65" s="62" t="str">
        <f t="shared" si="5"/>
        <v/>
      </c>
      <c r="AC65" s="62" t="str">
        <f t="shared" si="6"/>
        <v/>
      </c>
      <c r="AG65" s="62" t="str">
        <f t="shared" si="7"/>
        <v/>
      </c>
      <c r="AJ65" s="62" t="str">
        <f t="shared" si="8"/>
        <v/>
      </c>
      <c r="AN65" s="62" t="str">
        <f t="shared" si="9"/>
        <v/>
      </c>
      <c r="AR65" s="62" t="str">
        <f t="shared" si="10"/>
        <v/>
      </c>
      <c r="AV65" s="62" t="str">
        <f t="shared" si="11"/>
        <v/>
      </c>
      <c r="AY65" s="62" t="str">
        <f t="shared" si="12"/>
        <v/>
      </c>
      <c r="BC65" s="62" t="str">
        <f t="shared" si="13"/>
        <v/>
      </c>
      <c r="BF65" s="62" t="str">
        <f t="shared" si="14"/>
        <v/>
      </c>
      <c r="BJ65" s="62" t="str">
        <f t="shared" si="15"/>
        <v/>
      </c>
      <c r="BM65" s="62" t="str">
        <f t="shared" si="16"/>
        <v/>
      </c>
      <c r="BQ65" s="62" t="str">
        <f t="shared" si="17"/>
        <v/>
      </c>
      <c r="BT65" s="62" t="str">
        <f t="shared" si="18"/>
        <v/>
      </c>
      <c r="BW65" s="62" t="str">
        <f t="shared" si="19"/>
        <v/>
      </c>
      <c r="CA65" s="62" t="str">
        <f t="shared" si="20"/>
        <v/>
      </c>
      <c r="CD65" s="62" t="str">
        <f t="shared" si="21"/>
        <v/>
      </c>
    </row>
    <row r="66" spans="1:82" x14ac:dyDescent="0.3">
      <c r="A66" s="53" t="s">
        <v>247</v>
      </c>
      <c r="B66" s="49" t="s">
        <v>284</v>
      </c>
      <c r="F66" s="62" t="str">
        <f t="shared" si="0"/>
        <v/>
      </c>
      <c r="J66" s="62" t="str">
        <f t="shared" si="1"/>
        <v/>
      </c>
      <c r="N66" s="62" t="str">
        <f t="shared" si="2"/>
        <v/>
      </c>
      <c r="R66" s="62" t="str">
        <f t="shared" si="3"/>
        <v/>
      </c>
      <c r="V66" s="62" t="str">
        <f t="shared" si="4"/>
        <v/>
      </c>
      <c r="Z66" s="62" t="str">
        <f t="shared" si="5"/>
        <v/>
      </c>
      <c r="AC66" s="62" t="str">
        <f t="shared" si="6"/>
        <v/>
      </c>
      <c r="AG66" s="62" t="str">
        <f t="shared" si="7"/>
        <v/>
      </c>
      <c r="AJ66" s="62" t="str">
        <f t="shared" si="8"/>
        <v/>
      </c>
      <c r="AN66" s="62" t="str">
        <f t="shared" si="9"/>
        <v/>
      </c>
      <c r="AO66" s="44" t="s">
        <v>43</v>
      </c>
      <c r="AP66" s="54">
        <v>20</v>
      </c>
      <c r="AQ66" s="44">
        <v>12</v>
      </c>
      <c r="AR66" s="62">
        <f t="shared" si="10"/>
        <v>0.6</v>
      </c>
      <c r="AS66" s="44" t="s">
        <v>43</v>
      </c>
      <c r="AT66" s="44">
        <v>5</v>
      </c>
      <c r="AU66" s="44">
        <v>19</v>
      </c>
      <c r="AV66" s="62">
        <f t="shared" si="11"/>
        <v>3.8</v>
      </c>
      <c r="AW66" s="44">
        <v>10</v>
      </c>
      <c r="AX66" s="44">
        <v>40</v>
      </c>
      <c r="AY66" s="62">
        <f t="shared" si="12"/>
        <v>4</v>
      </c>
      <c r="AZ66" s="44" t="s">
        <v>43</v>
      </c>
      <c r="BA66" s="44">
        <v>20</v>
      </c>
      <c r="BB66" s="44">
        <v>80</v>
      </c>
      <c r="BC66" s="62">
        <f t="shared" si="13"/>
        <v>4</v>
      </c>
      <c r="BF66" s="62" t="str">
        <f t="shared" si="14"/>
        <v/>
      </c>
      <c r="BJ66" s="62" t="str">
        <f t="shared" si="15"/>
        <v/>
      </c>
      <c r="BM66" s="62" t="str">
        <f t="shared" si="16"/>
        <v/>
      </c>
      <c r="BQ66" s="62" t="str">
        <f t="shared" si="17"/>
        <v/>
      </c>
      <c r="BT66" s="62" t="str">
        <f t="shared" si="18"/>
        <v/>
      </c>
      <c r="BW66" s="62" t="str">
        <f t="shared" si="19"/>
        <v/>
      </c>
      <c r="CA66" s="62" t="str">
        <f t="shared" si="20"/>
        <v/>
      </c>
      <c r="CD66" s="62" t="str">
        <f t="shared" si="21"/>
        <v/>
      </c>
    </row>
    <row r="67" spans="1:82" x14ac:dyDescent="0.3">
      <c r="A67" s="53" t="s">
        <v>343</v>
      </c>
      <c r="B67" s="49" t="s">
        <v>284</v>
      </c>
      <c r="F67" s="62" t="str">
        <f t="shared" si="0"/>
        <v/>
      </c>
      <c r="J67" s="62" t="str">
        <f t="shared" si="1"/>
        <v/>
      </c>
      <c r="N67" s="62" t="str">
        <f t="shared" si="2"/>
        <v/>
      </c>
      <c r="R67" s="62" t="str">
        <f t="shared" si="3"/>
        <v/>
      </c>
      <c r="V67" s="62" t="str">
        <f t="shared" si="4"/>
        <v/>
      </c>
      <c r="Z67" s="62" t="str">
        <f t="shared" si="5"/>
        <v/>
      </c>
      <c r="AC67" s="62" t="str">
        <f t="shared" si="6"/>
        <v/>
      </c>
      <c r="AG67" s="62" t="str">
        <f t="shared" si="7"/>
        <v/>
      </c>
      <c r="AJ67" s="62" t="str">
        <f t="shared" si="8"/>
        <v/>
      </c>
      <c r="AN67" s="62" t="str">
        <f t="shared" si="9"/>
        <v/>
      </c>
      <c r="AO67" s="44" t="s">
        <v>38</v>
      </c>
      <c r="AP67" s="44">
        <v>367</v>
      </c>
      <c r="AQ67" s="44">
        <v>344</v>
      </c>
      <c r="AR67" s="62">
        <f t="shared" si="10"/>
        <v>0.93732970027247953</v>
      </c>
      <c r="AS67" s="44" t="s">
        <v>38</v>
      </c>
      <c r="AT67" s="44">
        <v>350</v>
      </c>
      <c r="AU67" s="44">
        <v>218</v>
      </c>
      <c r="AV67" s="62">
        <f t="shared" si="11"/>
        <v>0.62285714285714289</v>
      </c>
      <c r="AW67" s="44">
        <v>399</v>
      </c>
      <c r="AX67" s="44">
        <v>266</v>
      </c>
      <c r="AY67" s="62">
        <f t="shared" si="12"/>
        <v>0.66666666666666663</v>
      </c>
      <c r="AZ67" s="44" t="s">
        <v>38</v>
      </c>
      <c r="BA67" s="44">
        <v>325</v>
      </c>
      <c r="BB67" s="44">
        <v>216</v>
      </c>
      <c r="BC67" s="62">
        <f t="shared" si="13"/>
        <v>0.66461538461538461</v>
      </c>
      <c r="BD67" s="44">
        <v>150</v>
      </c>
      <c r="BE67" s="44">
        <v>120</v>
      </c>
      <c r="BF67" s="62">
        <f t="shared" si="14"/>
        <v>0.8</v>
      </c>
      <c r="BJ67" s="62" t="str">
        <f t="shared" si="15"/>
        <v/>
      </c>
      <c r="BM67" s="62" t="str">
        <f t="shared" si="16"/>
        <v/>
      </c>
      <c r="BQ67" s="62" t="str">
        <f t="shared" si="17"/>
        <v/>
      </c>
      <c r="BT67" s="62" t="str">
        <f t="shared" si="18"/>
        <v/>
      </c>
      <c r="BW67" s="62" t="str">
        <f t="shared" si="19"/>
        <v/>
      </c>
      <c r="CA67" s="62" t="str">
        <f t="shared" si="20"/>
        <v/>
      </c>
      <c r="CD67" s="62" t="str">
        <f t="shared" si="21"/>
        <v/>
      </c>
    </row>
    <row r="68" spans="1:82" x14ac:dyDescent="0.3">
      <c r="A68" s="53" t="s">
        <v>45</v>
      </c>
      <c r="B68" s="49" t="s">
        <v>284</v>
      </c>
      <c r="F68" s="62" t="str">
        <f t="shared" si="0"/>
        <v/>
      </c>
      <c r="J68" s="62" t="str">
        <f t="shared" si="1"/>
        <v/>
      </c>
      <c r="N68" s="62" t="str">
        <f t="shared" si="2"/>
        <v/>
      </c>
      <c r="R68" s="62" t="str">
        <f t="shared" si="3"/>
        <v/>
      </c>
      <c r="V68" s="62" t="str">
        <f t="shared" si="4"/>
        <v/>
      </c>
      <c r="Z68" s="62" t="str">
        <f t="shared" si="5"/>
        <v/>
      </c>
      <c r="AC68" s="62" t="str">
        <f t="shared" si="6"/>
        <v/>
      </c>
      <c r="AG68" s="62" t="str">
        <f t="shared" si="7"/>
        <v/>
      </c>
      <c r="AJ68" s="62" t="str">
        <f t="shared" si="8"/>
        <v/>
      </c>
      <c r="AN68" s="62" t="str">
        <f t="shared" si="9"/>
        <v/>
      </c>
      <c r="AR68" s="62" t="str">
        <f t="shared" si="10"/>
        <v/>
      </c>
      <c r="AV68" s="62" t="str">
        <f t="shared" si="11"/>
        <v/>
      </c>
      <c r="AY68" s="62" t="str">
        <f t="shared" si="12"/>
        <v/>
      </c>
      <c r="BC68" s="62" t="str">
        <f t="shared" si="13"/>
        <v/>
      </c>
      <c r="BF68" s="62" t="str">
        <f t="shared" si="14"/>
        <v/>
      </c>
      <c r="BG68" s="44" t="s">
        <v>38</v>
      </c>
      <c r="BJ68" s="62" t="str">
        <f t="shared" si="15"/>
        <v/>
      </c>
      <c r="BK68" s="44">
        <v>113</v>
      </c>
      <c r="BL68" s="44">
        <v>28</v>
      </c>
      <c r="BM68" s="62">
        <f t="shared" si="16"/>
        <v>0.24778761061946902</v>
      </c>
      <c r="BN68" s="44" t="s">
        <v>38</v>
      </c>
      <c r="BQ68" s="62" t="str">
        <f t="shared" si="17"/>
        <v/>
      </c>
      <c r="BR68" s="44">
        <v>19.5</v>
      </c>
      <c r="BS68" s="44">
        <v>20</v>
      </c>
      <c r="BT68" s="62">
        <f t="shared" si="18"/>
        <v>1.0256410256410255</v>
      </c>
      <c r="BW68" s="62" t="str">
        <f t="shared" si="19"/>
        <v/>
      </c>
      <c r="BX68" s="44" t="s">
        <v>38</v>
      </c>
      <c r="BY68" s="44">
        <v>54.5</v>
      </c>
      <c r="BZ68" s="44">
        <v>13</v>
      </c>
      <c r="CA68" s="62">
        <f t="shared" si="20"/>
        <v>0.23853211009174313</v>
      </c>
      <c r="CB68" s="44">
        <v>1.5</v>
      </c>
      <c r="CC68" s="44">
        <v>2</v>
      </c>
      <c r="CD68" s="62">
        <f t="shared" si="21"/>
        <v>1.3333333333333333</v>
      </c>
    </row>
    <row r="69" spans="1:82" x14ac:dyDescent="0.3">
      <c r="A69" s="52" t="s">
        <v>48</v>
      </c>
      <c r="B69" s="49" t="s">
        <v>292</v>
      </c>
      <c r="C69" s="44" t="s">
        <v>35</v>
      </c>
      <c r="D69" s="44">
        <v>19000</v>
      </c>
      <c r="E69" s="44">
        <v>579</v>
      </c>
      <c r="F69" s="62">
        <f t="shared" ref="F69:F127" si="22">IFERROR(E69/D69,"")</f>
        <v>3.0473684210526316E-2</v>
      </c>
      <c r="G69" s="44" t="s">
        <v>43</v>
      </c>
      <c r="H69" s="44">
        <v>32800</v>
      </c>
      <c r="I69" s="44">
        <v>432</v>
      </c>
      <c r="J69" s="62">
        <f t="shared" ref="J69:J127" si="23">IFERROR(I69/H69,"")</f>
        <v>1.3170731707317073E-2</v>
      </c>
      <c r="K69" s="44" t="s">
        <v>35</v>
      </c>
      <c r="L69" s="44">
        <v>20750</v>
      </c>
      <c r="M69" s="44">
        <v>568</v>
      </c>
      <c r="N69" s="62">
        <f t="shared" ref="N69:N127" si="24">IFERROR(M69/L69,"")</f>
        <v>2.7373493975903614E-2</v>
      </c>
      <c r="O69" s="44" t="s">
        <v>35</v>
      </c>
      <c r="P69" s="44">
        <v>25500</v>
      </c>
      <c r="Q69" s="44">
        <v>785</v>
      </c>
      <c r="R69" s="62">
        <f t="shared" ref="R69:R127" si="25">IFERROR(Q69/P69,"")</f>
        <v>3.0784313725490196E-2</v>
      </c>
      <c r="S69" s="44" t="s">
        <v>35</v>
      </c>
      <c r="T69" s="44">
        <v>28000</v>
      </c>
      <c r="U69" s="44">
        <v>800</v>
      </c>
      <c r="V69" s="62">
        <f t="shared" ref="V69:V127" si="26">IFERROR(U69/T69,"")</f>
        <v>2.8571428571428571E-2</v>
      </c>
      <c r="Z69" s="62" t="str">
        <f t="shared" ref="Z69:Z127" si="27">IFERROR(Y69/X69,"")</f>
        <v/>
      </c>
      <c r="AC69" s="62" t="str">
        <f t="shared" ref="AC69:AC127" si="28">IFERROR(AB69/AA69,"")</f>
        <v/>
      </c>
      <c r="AG69" s="62" t="str">
        <f t="shared" ref="AG69:AG127" si="29">IFERROR(AF69/AE69,"")</f>
        <v/>
      </c>
      <c r="AJ69" s="62" t="str">
        <f t="shared" ref="AJ69:AJ127" si="30">IFERROR(AI69/AH69,"")</f>
        <v/>
      </c>
      <c r="AN69" s="62" t="str">
        <f t="shared" ref="AN69:AN127" si="31">IFERROR(AM69/AL69,"")</f>
        <v/>
      </c>
      <c r="AR69" s="62" t="str">
        <f t="shared" ref="AR69:AR127" si="32">IFERROR(AQ69/AP69,"")</f>
        <v/>
      </c>
      <c r="AS69" s="44" t="s">
        <v>35</v>
      </c>
      <c r="AV69" s="62" t="str">
        <f t="shared" ref="AV69:AV127" si="33">IFERROR(AU69/AT69,"")</f>
        <v/>
      </c>
      <c r="AW69" s="44">
        <v>3000</v>
      </c>
      <c r="AX69" s="44">
        <v>80</v>
      </c>
      <c r="AY69" s="62">
        <f t="shared" ref="AY69:AY127" si="34">IFERROR(AX69/AW69,"")</f>
        <v>2.6666666666666668E-2</v>
      </c>
      <c r="AZ69" s="44" t="s">
        <v>35</v>
      </c>
      <c r="BA69" s="44">
        <v>2300</v>
      </c>
      <c r="BB69" s="44">
        <v>51</v>
      </c>
      <c r="BC69" s="62">
        <f t="shared" ref="BC69:BC127" si="35">IFERROR(BB69/BA69,"")</f>
        <v>2.2173913043478259E-2</v>
      </c>
      <c r="BD69" s="44">
        <v>2100</v>
      </c>
      <c r="BE69" s="44">
        <v>70</v>
      </c>
      <c r="BF69" s="62">
        <f t="shared" ref="BF69:BF127" si="36">IFERROR(BE69/BD69,"")</f>
        <v>3.3333333333333333E-2</v>
      </c>
      <c r="BJ69" s="62" t="str">
        <f t="shared" ref="BJ69:BJ127" si="37">IFERROR(BI69/BH69,"")</f>
        <v/>
      </c>
      <c r="BM69" s="62" t="str">
        <f t="shared" ref="BM69:BM127" si="38">IFERROR(BL69/BK69,"")</f>
        <v/>
      </c>
      <c r="BQ69" s="62" t="str">
        <f t="shared" ref="BQ69:BQ127" si="39">IFERROR(BP69/BO69,"")</f>
        <v/>
      </c>
      <c r="BT69" s="62" t="str">
        <f t="shared" ref="BT69:BT127" si="40">IFERROR(BS69/BR69,"")</f>
        <v/>
      </c>
      <c r="BW69" s="62" t="str">
        <f t="shared" ref="BW69:BW127" si="41">IFERROR(BV69/BU69,"")</f>
        <v/>
      </c>
      <c r="CA69" s="62" t="str">
        <f t="shared" ref="CA69:CA127" si="42">IFERROR(BZ69/BY69,"")</f>
        <v/>
      </c>
      <c r="CD69" s="62" t="str">
        <f t="shared" ref="CD69:CD127" si="43">IFERROR(CC69/CB69,"")</f>
        <v/>
      </c>
    </row>
    <row r="70" spans="1:82" x14ac:dyDescent="0.3">
      <c r="A70" s="53" t="s">
        <v>20</v>
      </c>
      <c r="B70" s="49" t="s">
        <v>104</v>
      </c>
      <c r="C70" s="44" t="s">
        <v>38</v>
      </c>
      <c r="D70" s="44">
        <v>1286</v>
      </c>
      <c r="E70" s="44">
        <v>1507</v>
      </c>
      <c r="F70" s="62">
        <f t="shared" si="22"/>
        <v>1.1718506998444791</v>
      </c>
      <c r="G70" s="44" t="s">
        <v>38</v>
      </c>
      <c r="H70" s="44">
        <v>9643</v>
      </c>
      <c r="I70" s="44">
        <v>1114</v>
      </c>
      <c r="J70" s="62">
        <f t="shared" si="23"/>
        <v>0.11552421445608213</v>
      </c>
      <c r="K70" s="44" t="s">
        <v>38</v>
      </c>
      <c r="L70" s="44">
        <v>2563</v>
      </c>
      <c r="M70" s="44">
        <v>2222</v>
      </c>
      <c r="N70" s="62">
        <f t="shared" si="24"/>
        <v>0.86695278969957079</v>
      </c>
      <c r="O70" s="44" t="s">
        <v>38</v>
      </c>
      <c r="P70" s="44">
        <v>1575</v>
      </c>
      <c r="Q70" s="44">
        <v>1885</v>
      </c>
      <c r="R70" s="62">
        <f t="shared" si="25"/>
        <v>1.1968253968253968</v>
      </c>
      <c r="S70" s="44" t="s">
        <v>38</v>
      </c>
      <c r="T70" s="44">
        <v>2550</v>
      </c>
      <c r="U70" s="44">
        <v>3186</v>
      </c>
      <c r="V70" s="62">
        <f t="shared" si="26"/>
        <v>1.2494117647058824</v>
      </c>
      <c r="W70" s="44" t="s">
        <v>38</v>
      </c>
      <c r="X70" s="44">
        <v>1960</v>
      </c>
      <c r="Y70" s="44">
        <v>2100</v>
      </c>
      <c r="Z70" s="62">
        <f t="shared" si="27"/>
        <v>1.0714285714285714</v>
      </c>
      <c r="AA70" s="44">
        <v>1820</v>
      </c>
      <c r="AB70" s="44">
        <v>1723</v>
      </c>
      <c r="AC70" s="62">
        <f t="shared" si="28"/>
        <v>0.94670329670329667</v>
      </c>
      <c r="AD70" s="44" t="s">
        <v>38</v>
      </c>
      <c r="AE70" s="44">
        <v>2102.5</v>
      </c>
      <c r="AF70" s="44">
        <v>2028</v>
      </c>
      <c r="AG70" s="62">
        <f t="shared" si="29"/>
        <v>0.96456599286563616</v>
      </c>
      <c r="AH70" s="44">
        <v>1368</v>
      </c>
      <c r="AI70" s="44">
        <v>1583</v>
      </c>
      <c r="AJ70" s="62">
        <f t="shared" si="30"/>
        <v>1.1571637426900585</v>
      </c>
      <c r="AN70" s="62" t="str">
        <f t="shared" si="31"/>
        <v/>
      </c>
      <c r="AR70" s="62" t="str">
        <f t="shared" si="32"/>
        <v/>
      </c>
      <c r="AV70" s="62" t="str">
        <f t="shared" si="33"/>
        <v/>
      </c>
      <c r="AY70" s="62" t="str">
        <f t="shared" si="34"/>
        <v/>
      </c>
      <c r="BC70" s="62" t="str">
        <f t="shared" si="35"/>
        <v/>
      </c>
      <c r="BF70" s="62" t="str">
        <f t="shared" si="36"/>
        <v/>
      </c>
      <c r="BG70" s="44" t="s">
        <v>38</v>
      </c>
      <c r="BH70" s="44">
        <v>4685</v>
      </c>
      <c r="BI70" s="44">
        <v>484</v>
      </c>
      <c r="BJ70" s="62">
        <f t="shared" si="37"/>
        <v>0.10330843116328708</v>
      </c>
      <c r="BK70" s="44">
        <v>7912</v>
      </c>
      <c r="BL70" s="44">
        <v>1043</v>
      </c>
      <c r="BM70" s="62">
        <f t="shared" si="38"/>
        <v>0.13182507583417594</v>
      </c>
      <c r="BQ70" s="62" t="str">
        <f t="shared" si="39"/>
        <v/>
      </c>
      <c r="BT70" s="62" t="str">
        <f t="shared" si="40"/>
        <v/>
      </c>
      <c r="BW70" s="62" t="str">
        <f t="shared" si="41"/>
        <v/>
      </c>
      <c r="CA70" s="62" t="str">
        <f t="shared" si="42"/>
        <v/>
      </c>
      <c r="CD70" s="62" t="str">
        <f t="shared" si="43"/>
        <v/>
      </c>
    </row>
    <row r="71" spans="1:82" x14ac:dyDescent="0.3">
      <c r="A71" s="53" t="s">
        <v>123</v>
      </c>
      <c r="B71" s="49" t="s">
        <v>284</v>
      </c>
      <c r="F71" s="62" t="str">
        <f t="shared" si="22"/>
        <v/>
      </c>
      <c r="J71" s="62" t="str">
        <f t="shared" si="23"/>
        <v/>
      </c>
      <c r="N71" s="62" t="str">
        <f t="shared" si="24"/>
        <v/>
      </c>
      <c r="R71" s="62" t="str">
        <f t="shared" si="25"/>
        <v/>
      </c>
      <c r="V71" s="62" t="str">
        <f t="shared" si="26"/>
        <v/>
      </c>
      <c r="Z71" s="62" t="str">
        <f t="shared" si="27"/>
        <v/>
      </c>
      <c r="AC71" s="62" t="str">
        <f t="shared" si="28"/>
        <v/>
      </c>
      <c r="AG71" s="62" t="str">
        <f t="shared" si="29"/>
        <v/>
      </c>
      <c r="AJ71" s="62" t="str">
        <f t="shared" si="30"/>
        <v/>
      </c>
      <c r="AK71" s="44" t="s">
        <v>38</v>
      </c>
      <c r="AL71" s="44">
        <v>309</v>
      </c>
      <c r="AM71" s="44">
        <v>756</v>
      </c>
      <c r="AN71" s="62">
        <f t="shared" si="31"/>
        <v>2.4466019417475726</v>
      </c>
      <c r="AO71" s="44" t="s">
        <v>38</v>
      </c>
      <c r="AP71" s="44">
        <v>280</v>
      </c>
      <c r="AQ71" s="44">
        <v>700</v>
      </c>
      <c r="AR71" s="62">
        <f t="shared" si="32"/>
        <v>2.5</v>
      </c>
      <c r="AS71" s="44" t="s">
        <v>38</v>
      </c>
      <c r="AT71" s="44">
        <v>150</v>
      </c>
      <c r="AU71" s="44">
        <v>468</v>
      </c>
      <c r="AV71" s="62">
        <f t="shared" si="33"/>
        <v>3.12</v>
      </c>
      <c r="AW71" s="44">
        <v>100</v>
      </c>
      <c r="AX71" s="44">
        <v>334</v>
      </c>
      <c r="AY71" s="62">
        <f t="shared" si="34"/>
        <v>3.34</v>
      </c>
      <c r="AZ71" s="44" t="s">
        <v>38</v>
      </c>
      <c r="BA71" s="44">
        <v>70</v>
      </c>
      <c r="BB71" s="44">
        <v>234</v>
      </c>
      <c r="BC71" s="62">
        <f t="shared" si="35"/>
        <v>3.342857142857143</v>
      </c>
      <c r="BD71" s="44">
        <v>50</v>
      </c>
      <c r="BE71" s="44">
        <v>166</v>
      </c>
      <c r="BF71" s="62">
        <f t="shared" si="36"/>
        <v>3.32</v>
      </c>
      <c r="BJ71" s="62" t="str">
        <f t="shared" si="37"/>
        <v/>
      </c>
      <c r="BM71" s="62" t="str">
        <f t="shared" si="38"/>
        <v/>
      </c>
      <c r="BN71" s="44" t="s">
        <v>38</v>
      </c>
      <c r="BQ71" s="62" t="str">
        <f t="shared" si="39"/>
        <v/>
      </c>
      <c r="BR71" s="44">
        <v>50.5</v>
      </c>
      <c r="BS71" s="44">
        <v>173</v>
      </c>
      <c r="BT71" s="62">
        <f t="shared" si="40"/>
        <v>3.4257425742574257</v>
      </c>
      <c r="BU71" s="44">
        <v>43</v>
      </c>
      <c r="BV71" s="44">
        <v>62</v>
      </c>
      <c r="BW71" s="62">
        <f t="shared" si="41"/>
        <v>1.441860465116279</v>
      </c>
      <c r="BX71" s="44" t="s">
        <v>38</v>
      </c>
      <c r="BY71" s="44">
        <v>4</v>
      </c>
      <c r="BZ71" s="44">
        <v>20</v>
      </c>
      <c r="CA71" s="62">
        <f t="shared" si="42"/>
        <v>5</v>
      </c>
      <c r="CB71" s="44">
        <v>3</v>
      </c>
      <c r="CC71" s="44">
        <v>30</v>
      </c>
      <c r="CD71" s="62">
        <f t="shared" si="43"/>
        <v>10</v>
      </c>
    </row>
    <row r="72" spans="1:82" x14ac:dyDescent="0.3">
      <c r="A72" s="53" t="s">
        <v>122</v>
      </c>
      <c r="B72" s="49" t="s">
        <v>284</v>
      </c>
      <c r="F72" s="62" t="str">
        <f t="shared" si="22"/>
        <v/>
      </c>
      <c r="J72" s="62" t="str">
        <f t="shared" si="23"/>
        <v/>
      </c>
      <c r="N72" s="62" t="str">
        <f t="shared" si="24"/>
        <v/>
      </c>
      <c r="R72" s="62" t="str">
        <f t="shared" si="25"/>
        <v/>
      </c>
      <c r="V72" s="62" t="str">
        <f t="shared" si="26"/>
        <v/>
      </c>
      <c r="Z72" s="62" t="str">
        <f t="shared" si="27"/>
        <v/>
      </c>
      <c r="AC72" s="62" t="str">
        <f t="shared" si="28"/>
        <v/>
      </c>
      <c r="AG72" s="62" t="str">
        <f t="shared" si="29"/>
        <v/>
      </c>
      <c r="AJ72" s="62" t="str">
        <f t="shared" si="30"/>
        <v/>
      </c>
      <c r="AN72" s="62" t="str">
        <f t="shared" si="31"/>
        <v/>
      </c>
      <c r="AR72" s="62" t="str">
        <f t="shared" si="32"/>
        <v/>
      </c>
      <c r="AV72" s="62" t="str">
        <f t="shared" si="33"/>
        <v/>
      </c>
      <c r="AY72" s="62" t="str">
        <f t="shared" si="34"/>
        <v/>
      </c>
      <c r="BC72" s="62" t="str">
        <f t="shared" si="35"/>
        <v/>
      </c>
      <c r="BF72" s="62" t="str">
        <f t="shared" si="36"/>
        <v/>
      </c>
      <c r="BJ72" s="62" t="str">
        <f t="shared" si="37"/>
        <v/>
      </c>
      <c r="BM72" s="62" t="str">
        <f t="shared" si="38"/>
        <v/>
      </c>
      <c r="BQ72" s="62" t="str">
        <f t="shared" si="39"/>
        <v/>
      </c>
      <c r="BT72" s="62" t="str">
        <f t="shared" si="40"/>
        <v/>
      </c>
      <c r="BW72" s="62" t="str">
        <f t="shared" si="41"/>
        <v/>
      </c>
      <c r="BX72" s="44" t="s">
        <v>38</v>
      </c>
      <c r="BY72" s="44">
        <v>49.5</v>
      </c>
      <c r="BZ72" s="44">
        <v>83</v>
      </c>
      <c r="CA72" s="62">
        <f t="shared" si="42"/>
        <v>1.6767676767676767</v>
      </c>
      <c r="CB72" s="44">
        <v>36</v>
      </c>
      <c r="CC72" s="44">
        <v>63</v>
      </c>
      <c r="CD72" s="62">
        <f t="shared" si="43"/>
        <v>1.75</v>
      </c>
    </row>
    <row r="73" spans="1:82" x14ac:dyDescent="0.3">
      <c r="A73" s="53" t="s">
        <v>250</v>
      </c>
      <c r="B73" s="49" t="s">
        <v>284</v>
      </c>
      <c r="F73" s="62" t="str">
        <f t="shared" si="22"/>
        <v/>
      </c>
      <c r="J73" s="62" t="str">
        <f t="shared" si="23"/>
        <v/>
      </c>
      <c r="N73" s="62" t="str">
        <f t="shared" si="24"/>
        <v/>
      </c>
      <c r="R73" s="62" t="str">
        <f t="shared" si="25"/>
        <v/>
      </c>
      <c r="V73" s="62" t="str">
        <f t="shared" si="26"/>
        <v/>
      </c>
      <c r="Z73" s="62" t="str">
        <f t="shared" si="27"/>
        <v/>
      </c>
      <c r="AC73" s="62" t="str">
        <f t="shared" si="28"/>
        <v/>
      </c>
      <c r="AG73" s="62" t="str">
        <f t="shared" si="29"/>
        <v/>
      </c>
      <c r="AJ73" s="62" t="str">
        <f t="shared" si="30"/>
        <v/>
      </c>
      <c r="AK73" s="44" t="s">
        <v>38</v>
      </c>
      <c r="AL73" s="44">
        <v>1740</v>
      </c>
      <c r="AM73" s="44">
        <v>1294</v>
      </c>
      <c r="AN73" s="62">
        <f t="shared" si="31"/>
        <v>0.7436781609195402</v>
      </c>
      <c r="AR73" s="62" t="str">
        <f t="shared" si="32"/>
        <v/>
      </c>
      <c r="AS73" s="44" t="s">
        <v>38</v>
      </c>
      <c r="AT73" s="44">
        <v>280</v>
      </c>
      <c r="AU73" s="44">
        <v>176</v>
      </c>
      <c r="AV73" s="62">
        <f t="shared" si="33"/>
        <v>0.62857142857142856</v>
      </c>
      <c r="AW73" s="44">
        <v>2232</v>
      </c>
      <c r="AX73" s="44">
        <v>1488</v>
      </c>
      <c r="AY73" s="62">
        <f t="shared" si="34"/>
        <v>0.66666666666666663</v>
      </c>
      <c r="AZ73" s="44" t="s">
        <v>38</v>
      </c>
      <c r="BA73" s="44">
        <v>1450</v>
      </c>
      <c r="BB73" s="44">
        <v>966</v>
      </c>
      <c r="BC73" s="62">
        <f t="shared" si="35"/>
        <v>0.66620689655172416</v>
      </c>
      <c r="BD73" s="44">
        <v>1050</v>
      </c>
      <c r="BE73" s="44">
        <v>701</v>
      </c>
      <c r="BF73" s="62">
        <f t="shared" si="36"/>
        <v>0.66761904761904767</v>
      </c>
      <c r="BJ73" s="62" t="str">
        <f t="shared" si="37"/>
        <v/>
      </c>
      <c r="BM73" s="62" t="str">
        <f t="shared" si="38"/>
        <v/>
      </c>
      <c r="BN73" s="44" t="s">
        <v>38</v>
      </c>
      <c r="BO73" s="44">
        <v>4190</v>
      </c>
      <c r="BP73" s="44">
        <v>116</v>
      </c>
      <c r="BQ73" s="62">
        <f t="shared" si="39"/>
        <v>2.7684964200477329E-2</v>
      </c>
      <c r="BR73" s="44">
        <v>1594</v>
      </c>
      <c r="BS73" s="44">
        <v>1129</v>
      </c>
      <c r="BT73" s="62">
        <f t="shared" si="40"/>
        <v>0.70828105395232122</v>
      </c>
      <c r="BU73" s="44">
        <v>3133</v>
      </c>
      <c r="BV73" s="44">
        <v>2379</v>
      </c>
      <c r="BW73" s="62">
        <f t="shared" si="41"/>
        <v>0.75933609958506221</v>
      </c>
      <c r="BX73" s="44" t="s">
        <v>38</v>
      </c>
      <c r="BY73" s="44">
        <v>1485.75</v>
      </c>
      <c r="BZ73" s="44">
        <v>164</v>
      </c>
      <c r="CA73" s="62">
        <f t="shared" si="42"/>
        <v>0.11038196197206798</v>
      </c>
      <c r="CD73" s="62" t="str">
        <f t="shared" si="43"/>
        <v/>
      </c>
    </row>
    <row r="74" spans="1:82" x14ac:dyDescent="0.3">
      <c r="A74" s="49" t="s">
        <v>251</v>
      </c>
      <c r="B74" s="49" t="s">
        <v>104</v>
      </c>
      <c r="C74" s="44" t="s">
        <v>38</v>
      </c>
      <c r="D74" s="44">
        <v>429</v>
      </c>
      <c r="E74" s="44">
        <v>593</v>
      </c>
      <c r="F74" s="62">
        <f t="shared" si="22"/>
        <v>1.3822843822843822</v>
      </c>
      <c r="G74" s="44" t="s">
        <v>38</v>
      </c>
      <c r="H74" s="44">
        <v>217</v>
      </c>
      <c r="I74" s="44">
        <v>641</v>
      </c>
      <c r="J74" s="62">
        <f t="shared" si="23"/>
        <v>2.9539170506912442</v>
      </c>
      <c r="K74" s="44" t="s">
        <v>38</v>
      </c>
      <c r="L74" s="44">
        <v>550</v>
      </c>
      <c r="M74" s="44">
        <v>718</v>
      </c>
      <c r="N74" s="62">
        <f t="shared" si="24"/>
        <v>1.3054545454545454</v>
      </c>
      <c r="O74" s="44" t="s">
        <v>38</v>
      </c>
      <c r="P74" s="44">
        <v>593</v>
      </c>
      <c r="Q74" s="44">
        <v>923</v>
      </c>
      <c r="R74" s="62">
        <f t="shared" si="25"/>
        <v>1.5564924114671164</v>
      </c>
      <c r="S74" s="44" t="s">
        <v>38</v>
      </c>
      <c r="T74" s="44">
        <v>430</v>
      </c>
      <c r="U74" s="44">
        <v>1036</v>
      </c>
      <c r="V74" s="62">
        <f t="shared" si="26"/>
        <v>2.4093023255813955</v>
      </c>
      <c r="W74" s="44" t="s">
        <v>38</v>
      </c>
      <c r="X74" s="44">
        <v>350</v>
      </c>
      <c r="Y74" s="44">
        <v>787</v>
      </c>
      <c r="Z74" s="62">
        <f t="shared" si="27"/>
        <v>2.2485714285714287</v>
      </c>
      <c r="AA74" s="44">
        <v>475</v>
      </c>
      <c r="AB74" s="44">
        <v>708</v>
      </c>
      <c r="AC74" s="62">
        <f t="shared" si="28"/>
        <v>1.4905263157894737</v>
      </c>
      <c r="AD74" s="44" t="s">
        <v>38</v>
      </c>
      <c r="AE74" s="44">
        <v>338</v>
      </c>
      <c r="AF74" s="44">
        <v>594</v>
      </c>
      <c r="AG74" s="62">
        <f t="shared" si="29"/>
        <v>1.7573964497041421</v>
      </c>
      <c r="AJ74" s="62" t="str">
        <f t="shared" si="30"/>
        <v/>
      </c>
      <c r="AN74" s="62" t="str">
        <f t="shared" si="31"/>
        <v/>
      </c>
      <c r="AR74" s="62" t="str">
        <f t="shared" si="32"/>
        <v/>
      </c>
      <c r="AV74" s="62" t="str">
        <f t="shared" si="33"/>
        <v/>
      </c>
      <c r="AY74" s="62" t="str">
        <f t="shared" si="34"/>
        <v/>
      </c>
      <c r="BC74" s="62" t="str">
        <f t="shared" si="35"/>
        <v/>
      </c>
      <c r="BF74" s="62" t="str">
        <f t="shared" si="36"/>
        <v/>
      </c>
      <c r="BJ74" s="62" t="str">
        <f t="shared" si="37"/>
        <v/>
      </c>
      <c r="BM74" s="62" t="str">
        <f t="shared" si="38"/>
        <v/>
      </c>
      <c r="BQ74" s="62" t="str">
        <f t="shared" si="39"/>
        <v/>
      </c>
      <c r="BT74" s="62" t="str">
        <f t="shared" si="40"/>
        <v/>
      </c>
      <c r="BW74" s="62" t="str">
        <f t="shared" si="41"/>
        <v/>
      </c>
      <c r="CA74" s="62" t="str">
        <f t="shared" si="42"/>
        <v/>
      </c>
      <c r="CD74" s="62" t="str">
        <f t="shared" si="43"/>
        <v/>
      </c>
    </row>
    <row r="75" spans="1:82" x14ac:dyDescent="0.3">
      <c r="A75" s="52" t="s">
        <v>21</v>
      </c>
      <c r="B75" s="49" t="s">
        <v>104</v>
      </c>
      <c r="C75" s="44" t="s">
        <v>38</v>
      </c>
      <c r="D75" s="44">
        <v>3571</v>
      </c>
      <c r="E75" s="44">
        <v>2214</v>
      </c>
      <c r="F75" s="62">
        <f t="shared" si="22"/>
        <v>0.61999439932791933</v>
      </c>
      <c r="J75" s="62" t="str">
        <f t="shared" si="23"/>
        <v/>
      </c>
      <c r="K75" s="44" t="s">
        <v>38</v>
      </c>
      <c r="L75" s="44">
        <v>5625</v>
      </c>
      <c r="M75" s="44">
        <v>3077</v>
      </c>
      <c r="N75" s="62">
        <f t="shared" si="24"/>
        <v>0.54702222222222219</v>
      </c>
      <c r="O75" s="44" t="s">
        <v>38</v>
      </c>
      <c r="P75" s="44">
        <v>7500</v>
      </c>
      <c r="Q75" s="44">
        <v>4769</v>
      </c>
      <c r="R75" s="62">
        <f t="shared" si="25"/>
        <v>0.63586666666666669</v>
      </c>
      <c r="S75" s="44" t="s">
        <v>38</v>
      </c>
      <c r="T75" s="44">
        <v>6700</v>
      </c>
      <c r="U75" s="44">
        <v>4214</v>
      </c>
      <c r="V75" s="62">
        <f t="shared" si="26"/>
        <v>0.62895522388059699</v>
      </c>
      <c r="W75" s="44" t="s">
        <v>38</v>
      </c>
      <c r="X75" s="44">
        <v>4298</v>
      </c>
      <c r="Y75" s="44">
        <v>2562</v>
      </c>
      <c r="Z75" s="62">
        <f t="shared" si="27"/>
        <v>0.59609120521172643</v>
      </c>
      <c r="AA75" s="44">
        <v>3520</v>
      </c>
      <c r="AB75" s="44">
        <v>2123</v>
      </c>
      <c r="AC75" s="62">
        <f t="shared" si="28"/>
        <v>0.60312500000000002</v>
      </c>
      <c r="AD75" s="44" t="s">
        <v>38</v>
      </c>
      <c r="AE75" s="44">
        <v>3335</v>
      </c>
      <c r="AF75" s="44">
        <v>2167</v>
      </c>
      <c r="AG75" s="62">
        <f t="shared" si="29"/>
        <v>0.64977511244377806</v>
      </c>
      <c r="AH75" s="44">
        <v>3256</v>
      </c>
      <c r="AI75" s="44">
        <v>1950</v>
      </c>
      <c r="AJ75" s="62">
        <f t="shared" si="30"/>
        <v>0.59889434889434889</v>
      </c>
      <c r="AN75" s="62" t="str">
        <f t="shared" si="31"/>
        <v/>
      </c>
      <c r="AR75" s="62" t="str">
        <f t="shared" si="32"/>
        <v/>
      </c>
      <c r="AV75" s="62" t="str">
        <f t="shared" si="33"/>
        <v/>
      </c>
      <c r="AY75" s="62" t="str">
        <f t="shared" si="34"/>
        <v/>
      </c>
      <c r="BC75" s="62" t="str">
        <f t="shared" si="35"/>
        <v/>
      </c>
      <c r="BF75" s="62" t="str">
        <f t="shared" si="36"/>
        <v/>
      </c>
      <c r="BJ75" s="62" t="str">
        <f t="shared" si="37"/>
        <v/>
      </c>
      <c r="BM75" s="62" t="str">
        <f t="shared" si="38"/>
        <v/>
      </c>
      <c r="BQ75" s="62" t="str">
        <f t="shared" si="39"/>
        <v/>
      </c>
      <c r="BT75" s="62" t="str">
        <f t="shared" si="40"/>
        <v/>
      </c>
      <c r="BW75" s="62" t="str">
        <f t="shared" si="41"/>
        <v/>
      </c>
      <c r="CA75" s="62" t="str">
        <f t="shared" si="42"/>
        <v/>
      </c>
      <c r="CD75" s="62" t="str">
        <f t="shared" si="43"/>
        <v/>
      </c>
    </row>
    <row r="76" spans="1:82" x14ac:dyDescent="0.3">
      <c r="A76" s="49" t="s">
        <v>347</v>
      </c>
      <c r="B76" s="49" t="s">
        <v>284</v>
      </c>
      <c r="F76" s="62" t="str">
        <f t="shared" si="22"/>
        <v/>
      </c>
      <c r="J76" s="62" t="str">
        <f t="shared" si="23"/>
        <v/>
      </c>
      <c r="N76" s="62" t="str">
        <f t="shared" si="24"/>
        <v/>
      </c>
      <c r="R76" s="62" t="str">
        <f t="shared" si="25"/>
        <v/>
      </c>
      <c r="V76" s="62" t="str">
        <f t="shared" si="26"/>
        <v/>
      </c>
      <c r="Z76" s="62" t="str">
        <f t="shared" si="27"/>
        <v/>
      </c>
      <c r="AC76" s="62" t="str">
        <f t="shared" si="28"/>
        <v/>
      </c>
      <c r="AG76" s="62" t="str">
        <f t="shared" si="29"/>
        <v/>
      </c>
      <c r="AJ76" s="62" t="str">
        <f t="shared" si="30"/>
        <v/>
      </c>
      <c r="AK76" s="44" t="s">
        <v>38</v>
      </c>
      <c r="AL76" s="44">
        <v>1250</v>
      </c>
      <c r="AM76" s="44">
        <v>765</v>
      </c>
      <c r="AN76" s="62">
        <f t="shared" si="31"/>
        <v>0.61199999999999999</v>
      </c>
      <c r="AO76" s="44" t="s">
        <v>38</v>
      </c>
      <c r="AP76" s="44">
        <v>4495</v>
      </c>
      <c r="AQ76" s="44">
        <v>1688</v>
      </c>
      <c r="AR76" s="62">
        <f t="shared" si="32"/>
        <v>0.37552836484983315</v>
      </c>
      <c r="AS76" s="44" t="s">
        <v>38</v>
      </c>
      <c r="AT76" s="44">
        <v>7500</v>
      </c>
      <c r="AU76" s="44">
        <v>1875</v>
      </c>
      <c r="AV76" s="62">
        <f t="shared" si="33"/>
        <v>0.25</v>
      </c>
      <c r="AW76" s="44">
        <v>5000</v>
      </c>
      <c r="AX76" s="44">
        <v>1332</v>
      </c>
      <c r="AY76" s="62">
        <f t="shared" si="34"/>
        <v>0.26640000000000003</v>
      </c>
      <c r="AZ76" s="44" t="s">
        <v>38</v>
      </c>
      <c r="BA76" s="44">
        <v>3000</v>
      </c>
      <c r="BB76" s="44">
        <v>1099</v>
      </c>
      <c r="BC76" s="62">
        <f t="shared" si="35"/>
        <v>0.36633333333333334</v>
      </c>
      <c r="BD76" s="44">
        <v>3300</v>
      </c>
      <c r="BE76" s="44">
        <v>1017</v>
      </c>
      <c r="BF76" s="62">
        <f t="shared" si="36"/>
        <v>0.30818181818181817</v>
      </c>
      <c r="BG76" s="44" t="s">
        <v>38</v>
      </c>
      <c r="BJ76" s="62" t="str">
        <f t="shared" si="37"/>
        <v/>
      </c>
      <c r="BK76" s="44">
        <v>78</v>
      </c>
      <c r="BL76" s="44">
        <v>101</v>
      </c>
      <c r="BM76" s="62">
        <f t="shared" si="38"/>
        <v>1.2948717948717949</v>
      </c>
      <c r="BN76" s="44" t="s">
        <v>38</v>
      </c>
      <c r="BQ76" s="62" t="str">
        <f t="shared" si="39"/>
        <v/>
      </c>
      <c r="BR76" s="44">
        <v>712</v>
      </c>
      <c r="BS76" s="44">
        <v>322</v>
      </c>
      <c r="BT76" s="62">
        <f t="shared" si="40"/>
        <v>0.45224719101123595</v>
      </c>
      <c r="BU76" s="44">
        <v>1486</v>
      </c>
      <c r="BV76" s="44">
        <v>643</v>
      </c>
      <c r="BW76" s="62">
        <f t="shared" si="41"/>
        <v>0.43270524899057872</v>
      </c>
      <c r="BX76" s="44" t="s">
        <v>38</v>
      </c>
      <c r="BY76" s="44">
        <v>615.5</v>
      </c>
      <c r="BZ76" s="44">
        <v>230</v>
      </c>
      <c r="CA76" s="62">
        <f t="shared" si="42"/>
        <v>0.37367993501218522</v>
      </c>
      <c r="CB76" s="44">
        <v>645</v>
      </c>
      <c r="CC76" s="44">
        <v>305</v>
      </c>
      <c r="CD76" s="62">
        <f t="shared" si="43"/>
        <v>0.47286821705426357</v>
      </c>
    </row>
    <row r="77" spans="1:82" x14ac:dyDescent="0.3">
      <c r="A77" s="49" t="s">
        <v>259</v>
      </c>
      <c r="B77" s="49" t="s">
        <v>284</v>
      </c>
      <c r="F77" s="62" t="str">
        <f t="shared" si="22"/>
        <v/>
      </c>
      <c r="J77" s="62" t="str">
        <f t="shared" si="23"/>
        <v/>
      </c>
      <c r="N77" s="62" t="str">
        <f t="shared" si="24"/>
        <v/>
      </c>
      <c r="R77" s="62" t="str">
        <f t="shared" si="25"/>
        <v/>
      </c>
      <c r="V77" s="62" t="str">
        <f t="shared" si="26"/>
        <v/>
      </c>
      <c r="Z77" s="62" t="str">
        <f t="shared" si="27"/>
        <v/>
      </c>
      <c r="AC77" s="62" t="str">
        <f t="shared" si="28"/>
        <v/>
      </c>
      <c r="AG77" s="62" t="str">
        <f t="shared" si="29"/>
        <v/>
      </c>
      <c r="AJ77" s="62" t="str">
        <f t="shared" si="30"/>
        <v/>
      </c>
      <c r="AK77" s="44" t="s">
        <v>38</v>
      </c>
      <c r="AL77" s="44">
        <v>467</v>
      </c>
      <c r="AM77" s="44">
        <v>412</v>
      </c>
      <c r="AN77" s="62">
        <f t="shared" si="31"/>
        <v>0.88222698072805139</v>
      </c>
      <c r="AO77" s="44" t="s">
        <v>38</v>
      </c>
      <c r="AP77" s="44">
        <v>800</v>
      </c>
      <c r="AQ77" s="44">
        <v>1000</v>
      </c>
      <c r="AR77" s="62">
        <f t="shared" si="32"/>
        <v>1.25</v>
      </c>
      <c r="AS77" s="44" t="s">
        <v>38</v>
      </c>
      <c r="AT77" s="44">
        <v>440</v>
      </c>
      <c r="AU77" s="44">
        <v>440</v>
      </c>
      <c r="AV77" s="62">
        <f t="shared" si="33"/>
        <v>1</v>
      </c>
      <c r="AW77" s="44">
        <v>800</v>
      </c>
      <c r="AX77" s="44">
        <v>907</v>
      </c>
      <c r="AY77" s="62">
        <f t="shared" si="34"/>
        <v>1.13375</v>
      </c>
      <c r="AZ77" s="44" t="s">
        <v>38</v>
      </c>
      <c r="BA77" s="44">
        <v>500</v>
      </c>
      <c r="BB77" s="44">
        <v>567</v>
      </c>
      <c r="BC77" s="62">
        <f t="shared" si="35"/>
        <v>1.1339999999999999</v>
      </c>
      <c r="BD77" s="44">
        <v>520</v>
      </c>
      <c r="BE77" s="44">
        <v>590</v>
      </c>
      <c r="BF77" s="62">
        <f t="shared" si="36"/>
        <v>1.1346153846153846</v>
      </c>
      <c r="BG77" s="44" t="s">
        <v>38</v>
      </c>
      <c r="BH77" s="44">
        <v>1669</v>
      </c>
      <c r="BI77" s="44">
        <v>2661</v>
      </c>
      <c r="BJ77" s="62">
        <f t="shared" si="37"/>
        <v>1.5943678849610545</v>
      </c>
      <c r="BK77" s="44">
        <v>2299</v>
      </c>
      <c r="BL77" s="44">
        <v>2988</v>
      </c>
      <c r="BM77" s="62">
        <f t="shared" si="38"/>
        <v>1.2996955197912137</v>
      </c>
      <c r="BN77" s="44" t="s">
        <v>38</v>
      </c>
      <c r="BO77" s="44">
        <v>572</v>
      </c>
      <c r="BP77" s="44">
        <v>903</v>
      </c>
      <c r="BQ77" s="62">
        <f t="shared" si="39"/>
        <v>1.5786713286713288</v>
      </c>
      <c r="BR77" s="44">
        <v>528</v>
      </c>
      <c r="BS77" s="44">
        <v>438</v>
      </c>
      <c r="BT77" s="62">
        <f t="shared" si="40"/>
        <v>0.82954545454545459</v>
      </c>
      <c r="BU77" s="44">
        <v>1231</v>
      </c>
      <c r="BV77" s="44">
        <v>328</v>
      </c>
      <c r="BW77" s="62">
        <f t="shared" si="41"/>
        <v>0.26645004061738425</v>
      </c>
      <c r="BX77" s="44" t="s">
        <v>38</v>
      </c>
      <c r="BY77" s="44">
        <v>650</v>
      </c>
      <c r="BZ77" s="44">
        <v>760</v>
      </c>
      <c r="CA77" s="62">
        <f t="shared" si="42"/>
        <v>1.1692307692307693</v>
      </c>
      <c r="CB77" s="44">
        <v>1501</v>
      </c>
      <c r="CC77" s="44">
        <v>2729</v>
      </c>
      <c r="CD77" s="62">
        <f t="shared" si="43"/>
        <v>1.8181212524983343</v>
      </c>
    </row>
    <row r="78" spans="1:82" x14ac:dyDescent="0.3">
      <c r="A78" s="44" t="s">
        <v>345</v>
      </c>
      <c r="B78" s="49" t="s">
        <v>284</v>
      </c>
      <c r="F78" s="62" t="str">
        <f t="shared" si="22"/>
        <v/>
      </c>
      <c r="J78" s="62" t="str">
        <f t="shared" si="23"/>
        <v/>
      </c>
      <c r="N78" s="62" t="str">
        <f t="shared" si="24"/>
        <v/>
      </c>
      <c r="R78" s="62" t="str">
        <f t="shared" si="25"/>
        <v/>
      </c>
      <c r="V78" s="62" t="str">
        <f t="shared" si="26"/>
        <v/>
      </c>
      <c r="Z78" s="62" t="str">
        <f t="shared" si="27"/>
        <v/>
      </c>
      <c r="AC78" s="62" t="str">
        <f t="shared" si="28"/>
        <v/>
      </c>
      <c r="AG78" s="62" t="str">
        <f t="shared" si="29"/>
        <v/>
      </c>
      <c r="AJ78" s="62" t="str">
        <f t="shared" si="30"/>
        <v/>
      </c>
      <c r="AN78" s="62" t="str">
        <f t="shared" si="31"/>
        <v/>
      </c>
      <c r="AR78" s="62" t="str">
        <f t="shared" si="32"/>
        <v/>
      </c>
      <c r="AV78" s="62" t="str">
        <f t="shared" si="33"/>
        <v/>
      </c>
      <c r="AY78" s="62" t="str">
        <f t="shared" si="34"/>
        <v/>
      </c>
      <c r="BC78" s="62" t="str">
        <f t="shared" si="35"/>
        <v/>
      </c>
      <c r="BF78" s="62" t="str">
        <f t="shared" si="36"/>
        <v/>
      </c>
      <c r="BG78" s="44" t="s">
        <v>38</v>
      </c>
      <c r="BH78" s="44">
        <v>43</v>
      </c>
      <c r="BI78" s="44">
        <v>27</v>
      </c>
      <c r="BJ78" s="62">
        <f t="shared" si="37"/>
        <v>0.62790697674418605</v>
      </c>
      <c r="BK78" s="44">
        <v>36</v>
      </c>
      <c r="BL78" s="44">
        <v>30</v>
      </c>
      <c r="BM78" s="62">
        <f t="shared" si="38"/>
        <v>0.83333333333333337</v>
      </c>
      <c r="BQ78" s="62" t="str">
        <f t="shared" si="39"/>
        <v/>
      </c>
      <c r="BT78" s="62" t="str">
        <f t="shared" si="40"/>
        <v/>
      </c>
      <c r="BW78" s="62" t="str">
        <f t="shared" si="41"/>
        <v/>
      </c>
      <c r="CA78" s="62" t="str">
        <f t="shared" si="42"/>
        <v/>
      </c>
      <c r="CD78" s="62" t="str">
        <f t="shared" si="43"/>
        <v/>
      </c>
    </row>
    <row r="79" spans="1:82" x14ac:dyDescent="0.3">
      <c r="A79" s="44" t="s">
        <v>22</v>
      </c>
      <c r="B79" s="49" t="s">
        <v>284</v>
      </c>
      <c r="F79" s="62" t="str">
        <f t="shared" si="22"/>
        <v/>
      </c>
      <c r="J79" s="62" t="str">
        <f t="shared" si="23"/>
        <v/>
      </c>
      <c r="N79" s="62" t="str">
        <f t="shared" si="24"/>
        <v/>
      </c>
      <c r="R79" s="62" t="str">
        <f t="shared" si="25"/>
        <v/>
      </c>
      <c r="V79" s="62" t="str">
        <f t="shared" si="26"/>
        <v/>
      </c>
      <c r="Z79" s="62" t="str">
        <f t="shared" si="27"/>
        <v/>
      </c>
      <c r="AC79" s="62" t="str">
        <f t="shared" si="28"/>
        <v/>
      </c>
      <c r="AG79" s="62" t="str">
        <f t="shared" si="29"/>
        <v/>
      </c>
      <c r="AJ79" s="62" t="str">
        <f t="shared" si="30"/>
        <v/>
      </c>
      <c r="AN79" s="62" t="str">
        <f t="shared" si="31"/>
        <v/>
      </c>
      <c r="AR79" s="62" t="str">
        <f t="shared" si="32"/>
        <v/>
      </c>
      <c r="AV79" s="62" t="str">
        <f t="shared" si="33"/>
        <v/>
      </c>
      <c r="AY79" s="62" t="str">
        <f t="shared" si="34"/>
        <v/>
      </c>
      <c r="BC79" s="62" t="str">
        <f t="shared" si="35"/>
        <v/>
      </c>
      <c r="BF79" s="62" t="str">
        <f t="shared" si="36"/>
        <v/>
      </c>
      <c r="BJ79" s="62" t="str">
        <f t="shared" si="37"/>
        <v/>
      </c>
      <c r="BM79" s="62" t="str">
        <f t="shared" si="38"/>
        <v/>
      </c>
      <c r="BQ79" s="62" t="str">
        <f t="shared" si="39"/>
        <v/>
      </c>
      <c r="BT79" s="62" t="str">
        <f t="shared" si="40"/>
        <v/>
      </c>
      <c r="BW79" s="62" t="str">
        <f t="shared" si="41"/>
        <v/>
      </c>
      <c r="CA79" s="62" t="str">
        <f t="shared" si="42"/>
        <v/>
      </c>
      <c r="CD79" s="62" t="str">
        <f t="shared" si="43"/>
        <v/>
      </c>
    </row>
    <row r="80" spans="1:82" x14ac:dyDescent="0.3">
      <c r="A80" s="49" t="s">
        <v>23</v>
      </c>
      <c r="B80" s="49" t="s">
        <v>284</v>
      </c>
      <c r="F80" s="62" t="str">
        <f t="shared" si="22"/>
        <v/>
      </c>
      <c r="J80" s="62" t="str">
        <f t="shared" si="23"/>
        <v/>
      </c>
      <c r="N80" s="62" t="str">
        <f t="shared" si="24"/>
        <v/>
      </c>
      <c r="R80" s="62" t="str">
        <f t="shared" si="25"/>
        <v/>
      </c>
      <c r="V80" s="62" t="str">
        <f t="shared" si="26"/>
        <v/>
      </c>
      <c r="Z80" s="62" t="str">
        <f t="shared" si="27"/>
        <v/>
      </c>
      <c r="AC80" s="62" t="str">
        <f t="shared" si="28"/>
        <v/>
      </c>
      <c r="AG80" s="62" t="str">
        <f t="shared" si="29"/>
        <v/>
      </c>
      <c r="AJ80" s="62" t="str">
        <f t="shared" si="30"/>
        <v/>
      </c>
      <c r="AN80" s="62" t="str">
        <f t="shared" si="31"/>
        <v/>
      </c>
      <c r="AR80" s="62" t="str">
        <f t="shared" si="32"/>
        <v/>
      </c>
      <c r="AV80" s="62" t="str">
        <f t="shared" si="33"/>
        <v/>
      </c>
      <c r="AY80" s="62" t="str">
        <f t="shared" si="34"/>
        <v/>
      </c>
      <c r="BC80" s="62" t="str">
        <f t="shared" si="35"/>
        <v/>
      </c>
      <c r="BF80" s="62" t="str">
        <f t="shared" si="36"/>
        <v/>
      </c>
      <c r="BJ80" s="62" t="str">
        <f t="shared" si="37"/>
        <v/>
      </c>
      <c r="BM80" s="62" t="str">
        <f t="shared" si="38"/>
        <v/>
      </c>
      <c r="BQ80" s="62" t="str">
        <f t="shared" si="39"/>
        <v/>
      </c>
      <c r="BT80" s="62" t="str">
        <f t="shared" si="40"/>
        <v/>
      </c>
      <c r="BW80" s="62" t="str">
        <f t="shared" si="41"/>
        <v/>
      </c>
      <c r="CA80" s="62" t="str">
        <f t="shared" si="42"/>
        <v/>
      </c>
      <c r="CD80" s="62" t="str">
        <f t="shared" si="43"/>
        <v/>
      </c>
    </row>
    <row r="81" spans="1:82" x14ac:dyDescent="0.3">
      <c r="A81" s="49" t="s">
        <v>252</v>
      </c>
      <c r="B81" s="49" t="s">
        <v>284</v>
      </c>
      <c r="F81" s="62" t="str">
        <f t="shared" si="22"/>
        <v/>
      </c>
      <c r="J81" s="62" t="str">
        <f t="shared" si="23"/>
        <v/>
      </c>
      <c r="N81" s="62" t="str">
        <f t="shared" si="24"/>
        <v/>
      </c>
      <c r="R81" s="62" t="str">
        <f t="shared" si="25"/>
        <v/>
      </c>
      <c r="V81" s="62" t="str">
        <f t="shared" si="26"/>
        <v/>
      </c>
      <c r="Z81" s="62" t="str">
        <f t="shared" si="27"/>
        <v/>
      </c>
      <c r="AC81" s="62" t="str">
        <f t="shared" si="28"/>
        <v/>
      </c>
      <c r="AG81" s="62" t="str">
        <f t="shared" si="29"/>
        <v/>
      </c>
      <c r="AJ81" s="62" t="str">
        <f t="shared" si="30"/>
        <v/>
      </c>
      <c r="AN81" s="62" t="str">
        <f t="shared" si="31"/>
        <v/>
      </c>
      <c r="AR81" s="62" t="str">
        <f t="shared" si="32"/>
        <v/>
      </c>
      <c r="AS81" s="44" t="s">
        <v>38</v>
      </c>
      <c r="AV81" s="62" t="str">
        <f t="shared" si="33"/>
        <v/>
      </c>
      <c r="AW81" s="44">
        <v>60</v>
      </c>
      <c r="AX81" s="44">
        <v>101</v>
      </c>
      <c r="AY81" s="62">
        <f t="shared" si="34"/>
        <v>1.6833333333333333</v>
      </c>
      <c r="AZ81" s="44" t="s">
        <v>38</v>
      </c>
      <c r="BA81" s="44">
        <v>50</v>
      </c>
      <c r="BB81" s="44">
        <v>84</v>
      </c>
      <c r="BC81" s="62">
        <f t="shared" si="35"/>
        <v>1.68</v>
      </c>
      <c r="BD81" s="44">
        <v>50</v>
      </c>
      <c r="BE81" s="44">
        <v>83</v>
      </c>
      <c r="BF81" s="62">
        <f t="shared" si="36"/>
        <v>1.66</v>
      </c>
      <c r="BG81" s="44" t="s">
        <v>38</v>
      </c>
      <c r="BJ81" s="62" t="str">
        <f t="shared" si="37"/>
        <v/>
      </c>
      <c r="BK81" s="44">
        <v>306</v>
      </c>
      <c r="BL81" s="44">
        <v>201</v>
      </c>
      <c r="BM81" s="62">
        <f t="shared" si="38"/>
        <v>0.65686274509803921</v>
      </c>
      <c r="BN81" s="44" t="s">
        <v>38</v>
      </c>
      <c r="BO81" s="44">
        <v>771</v>
      </c>
      <c r="BP81" s="44">
        <v>612</v>
      </c>
      <c r="BQ81" s="62">
        <f t="shared" si="39"/>
        <v>0.79377431906614782</v>
      </c>
      <c r="BR81" s="44">
        <v>827.25</v>
      </c>
      <c r="BS81" s="44">
        <v>332</v>
      </c>
      <c r="BT81" s="62">
        <f t="shared" si="40"/>
        <v>0.40132970686007857</v>
      </c>
      <c r="BW81" s="62" t="str">
        <f t="shared" si="41"/>
        <v/>
      </c>
      <c r="CA81" s="62" t="str">
        <f t="shared" si="42"/>
        <v/>
      </c>
      <c r="CD81" s="62" t="str">
        <f t="shared" si="43"/>
        <v/>
      </c>
    </row>
    <row r="82" spans="1:82" x14ac:dyDescent="0.3">
      <c r="A82" s="44" t="s">
        <v>281</v>
      </c>
      <c r="B82" s="49" t="s">
        <v>284</v>
      </c>
      <c r="F82" s="62" t="str">
        <f t="shared" si="22"/>
        <v/>
      </c>
      <c r="J82" s="62" t="str">
        <f t="shared" si="23"/>
        <v/>
      </c>
      <c r="N82" s="62" t="str">
        <f t="shared" si="24"/>
        <v/>
      </c>
      <c r="R82" s="62" t="str">
        <f t="shared" si="25"/>
        <v/>
      </c>
      <c r="V82" s="62" t="str">
        <f t="shared" si="26"/>
        <v/>
      </c>
      <c r="Z82" s="62" t="str">
        <f t="shared" si="27"/>
        <v/>
      </c>
      <c r="AC82" s="62" t="str">
        <f t="shared" si="28"/>
        <v/>
      </c>
      <c r="AG82" s="62" t="str">
        <f t="shared" si="29"/>
        <v/>
      </c>
      <c r="AJ82" s="62" t="str">
        <f t="shared" si="30"/>
        <v/>
      </c>
      <c r="AN82" s="62" t="str">
        <f t="shared" si="31"/>
        <v/>
      </c>
      <c r="AR82" s="62" t="str">
        <f t="shared" si="32"/>
        <v/>
      </c>
      <c r="AV82" s="62" t="str">
        <f t="shared" si="33"/>
        <v/>
      </c>
      <c r="AY82" s="62" t="str">
        <f t="shared" si="34"/>
        <v/>
      </c>
      <c r="BC82" s="62" t="str">
        <f t="shared" si="35"/>
        <v/>
      </c>
      <c r="BF82" s="62" t="str">
        <f t="shared" si="36"/>
        <v/>
      </c>
      <c r="BJ82" s="62" t="str">
        <f t="shared" si="37"/>
        <v/>
      </c>
      <c r="BM82" s="62" t="str">
        <f t="shared" si="38"/>
        <v/>
      </c>
      <c r="BN82" s="44" t="s">
        <v>38</v>
      </c>
      <c r="BQ82" s="62" t="str">
        <f t="shared" si="39"/>
        <v/>
      </c>
      <c r="BT82" s="62" t="str">
        <f t="shared" si="40"/>
        <v/>
      </c>
      <c r="BU82" s="44">
        <v>1595</v>
      </c>
      <c r="BV82" s="44">
        <v>2148</v>
      </c>
      <c r="BW82" s="62">
        <f t="shared" si="41"/>
        <v>1.3467084639498432</v>
      </c>
      <c r="BX82" s="44" t="s">
        <v>38</v>
      </c>
      <c r="BY82" s="44">
        <v>1160.75</v>
      </c>
      <c r="BZ82" s="44">
        <v>1572</v>
      </c>
      <c r="CA82" s="62">
        <f t="shared" si="42"/>
        <v>1.3542967908679733</v>
      </c>
      <c r="CB82" s="44">
        <v>1544.5</v>
      </c>
      <c r="CC82" s="44">
        <v>1887</v>
      </c>
      <c r="CD82" s="62">
        <f t="shared" si="43"/>
        <v>1.221754613143412</v>
      </c>
    </row>
    <row r="83" spans="1:82" x14ac:dyDescent="0.3">
      <c r="A83" s="49" t="s">
        <v>253</v>
      </c>
      <c r="B83" s="49" t="s">
        <v>284</v>
      </c>
      <c r="F83" s="62" t="str">
        <f t="shared" si="22"/>
        <v/>
      </c>
      <c r="J83" s="62" t="str">
        <f t="shared" si="23"/>
        <v/>
      </c>
      <c r="N83" s="62" t="str">
        <f t="shared" si="24"/>
        <v/>
      </c>
      <c r="R83" s="62" t="str">
        <f t="shared" si="25"/>
        <v/>
      </c>
      <c r="V83" s="62" t="str">
        <f t="shared" si="26"/>
        <v/>
      </c>
      <c r="Z83" s="62" t="str">
        <f t="shared" si="27"/>
        <v/>
      </c>
      <c r="AC83" s="62" t="str">
        <f t="shared" si="28"/>
        <v/>
      </c>
      <c r="AG83" s="62" t="str">
        <f t="shared" si="29"/>
        <v/>
      </c>
      <c r="AJ83" s="62" t="str">
        <f t="shared" si="30"/>
        <v/>
      </c>
      <c r="AN83" s="62" t="str">
        <f t="shared" si="31"/>
        <v/>
      </c>
      <c r="AR83" s="62" t="str">
        <f t="shared" si="32"/>
        <v/>
      </c>
      <c r="AS83" s="44" t="s">
        <v>71</v>
      </c>
      <c r="AV83" s="62" t="str">
        <f t="shared" si="33"/>
        <v/>
      </c>
      <c r="AW83" s="44">
        <v>220</v>
      </c>
      <c r="AX83" s="44">
        <v>220</v>
      </c>
      <c r="AY83" s="62">
        <f t="shared" si="34"/>
        <v>1</v>
      </c>
      <c r="AZ83" s="44" t="s">
        <v>71</v>
      </c>
      <c r="BA83" s="44">
        <v>75</v>
      </c>
      <c r="BB83" s="44">
        <v>75</v>
      </c>
      <c r="BC83" s="62">
        <f t="shared" si="35"/>
        <v>1</v>
      </c>
      <c r="BD83" s="44">
        <v>25</v>
      </c>
      <c r="BE83" s="44">
        <v>25</v>
      </c>
      <c r="BF83" s="62">
        <f t="shared" si="36"/>
        <v>1</v>
      </c>
      <c r="BJ83" s="62" t="str">
        <f t="shared" si="37"/>
        <v/>
      </c>
      <c r="BM83" s="62" t="str">
        <f t="shared" si="38"/>
        <v/>
      </c>
      <c r="BQ83" s="62" t="str">
        <f t="shared" si="39"/>
        <v/>
      </c>
      <c r="BT83" s="62" t="str">
        <f t="shared" si="40"/>
        <v/>
      </c>
      <c r="BW83" s="62" t="str">
        <f t="shared" si="41"/>
        <v/>
      </c>
      <c r="CA83" s="62" t="str">
        <f t="shared" si="42"/>
        <v/>
      </c>
      <c r="CD83" s="62" t="str">
        <f t="shared" si="43"/>
        <v/>
      </c>
    </row>
    <row r="84" spans="1:82" x14ac:dyDescent="0.3">
      <c r="A84" s="49" t="s">
        <v>24</v>
      </c>
      <c r="B84" s="49" t="s">
        <v>293</v>
      </c>
      <c r="C84" s="44" t="s">
        <v>37</v>
      </c>
      <c r="D84" s="44">
        <v>251</v>
      </c>
      <c r="E84" s="44">
        <v>643</v>
      </c>
      <c r="F84" s="62">
        <f t="shared" si="22"/>
        <v>2.5617529880478087</v>
      </c>
      <c r="G84" s="44" t="s">
        <v>37</v>
      </c>
      <c r="H84" s="44">
        <v>250</v>
      </c>
      <c r="I84" s="44">
        <v>668</v>
      </c>
      <c r="J84" s="62">
        <f t="shared" si="23"/>
        <v>2.6720000000000002</v>
      </c>
      <c r="K84" s="44" t="s">
        <v>37</v>
      </c>
      <c r="L84" s="44">
        <v>258</v>
      </c>
      <c r="M84" s="44">
        <v>706</v>
      </c>
      <c r="N84" s="62">
        <f t="shared" si="24"/>
        <v>2.7364341085271318</v>
      </c>
      <c r="O84" s="44" t="s">
        <v>37</v>
      </c>
      <c r="P84" s="44">
        <v>250</v>
      </c>
      <c r="Q84" s="44">
        <v>769</v>
      </c>
      <c r="R84" s="62">
        <f t="shared" si="25"/>
        <v>3.0760000000000001</v>
      </c>
      <c r="S84" s="44" t="s">
        <v>37</v>
      </c>
      <c r="T84" s="44">
        <v>280</v>
      </c>
      <c r="U84" s="44">
        <v>1000</v>
      </c>
      <c r="V84" s="62">
        <f t="shared" si="26"/>
        <v>3.5714285714285716</v>
      </c>
      <c r="W84" s="44" t="s">
        <v>37</v>
      </c>
      <c r="X84" s="44">
        <v>220</v>
      </c>
      <c r="Y84" s="44">
        <v>687</v>
      </c>
      <c r="Z84" s="62">
        <f t="shared" si="27"/>
        <v>3.1227272727272726</v>
      </c>
      <c r="AC84" s="62" t="str">
        <f t="shared" si="28"/>
        <v/>
      </c>
      <c r="AG84" s="62" t="str">
        <f t="shared" si="29"/>
        <v/>
      </c>
      <c r="AJ84" s="62" t="str">
        <f t="shared" si="30"/>
        <v/>
      </c>
      <c r="AN84" s="62" t="str">
        <f t="shared" si="31"/>
        <v/>
      </c>
      <c r="AR84" s="62" t="str">
        <f t="shared" si="32"/>
        <v/>
      </c>
      <c r="AV84" s="62" t="str">
        <f t="shared" si="33"/>
        <v/>
      </c>
      <c r="AY84" s="62" t="str">
        <f t="shared" si="34"/>
        <v/>
      </c>
      <c r="BC84" s="62" t="str">
        <f t="shared" si="35"/>
        <v/>
      </c>
      <c r="BF84" s="62" t="str">
        <f t="shared" si="36"/>
        <v/>
      </c>
      <c r="BG84" s="44" t="s">
        <v>38</v>
      </c>
      <c r="BJ84" s="62" t="str">
        <f t="shared" si="37"/>
        <v/>
      </c>
      <c r="BK84" s="44">
        <v>43</v>
      </c>
      <c r="BL84" s="44">
        <v>4</v>
      </c>
      <c r="BM84" s="62">
        <f t="shared" si="38"/>
        <v>9.3023255813953487E-2</v>
      </c>
      <c r="BN84" s="44" t="s">
        <v>38</v>
      </c>
      <c r="BO84" s="44">
        <v>32</v>
      </c>
      <c r="BP84" s="44">
        <v>11</v>
      </c>
      <c r="BQ84" s="62">
        <f t="shared" si="39"/>
        <v>0.34375</v>
      </c>
      <c r="BR84" s="44">
        <v>62</v>
      </c>
      <c r="BS84" s="44">
        <v>33</v>
      </c>
      <c r="BT84" s="62">
        <f t="shared" si="40"/>
        <v>0.532258064516129</v>
      </c>
      <c r="BU84" s="44">
        <v>9</v>
      </c>
      <c r="BV84" s="44">
        <v>14</v>
      </c>
      <c r="BW84" s="62">
        <f t="shared" si="41"/>
        <v>1.5555555555555556</v>
      </c>
      <c r="CA84" s="62" t="str">
        <f t="shared" si="42"/>
        <v/>
      </c>
      <c r="CD84" s="62" t="str">
        <f t="shared" si="43"/>
        <v/>
      </c>
    </row>
    <row r="85" spans="1:82" x14ac:dyDescent="0.3">
      <c r="A85" s="53" t="s">
        <v>25</v>
      </c>
      <c r="B85" s="49" t="s">
        <v>284</v>
      </c>
      <c r="F85" s="62" t="str">
        <f t="shared" si="22"/>
        <v/>
      </c>
      <c r="J85" s="62" t="str">
        <f t="shared" si="23"/>
        <v/>
      </c>
      <c r="N85" s="62" t="str">
        <f t="shared" si="24"/>
        <v/>
      </c>
      <c r="R85" s="62" t="str">
        <f t="shared" si="25"/>
        <v/>
      </c>
      <c r="V85" s="62" t="str">
        <f t="shared" si="26"/>
        <v/>
      </c>
      <c r="Z85" s="62" t="str">
        <f t="shared" si="27"/>
        <v/>
      </c>
      <c r="AC85" s="62" t="str">
        <f t="shared" si="28"/>
        <v/>
      </c>
      <c r="AG85" s="62" t="str">
        <f t="shared" si="29"/>
        <v/>
      </c>
      <c r="AJ85" s="62" t="str">
        <f t="shared" si="30"/>
        <v/>
      </c>
      <c r="AN85" s="62" t="str">
        <f t="shared" si="31"/>
        <v/>
      </c>
      <c r="AR85" s="62" t="str">
        <f t="shared" si="32"/>
        <v/>
      </c>
      <c r="AV85" s="62" t="str">
        <f t="shared" si="33"/>
        <v/>
      </c>
      <c r="AY85" s="62" t="str">
        <f t="shared" si="34"/>
        <v/>
      </c>
      <c r="BC85" s="62" t="str">
        <f t="shared" si="35"/>
        <v/>
      </c>
      <c r="BF85" s="62" t="str">
        <f t="shared" si="36"/>
        <v/>
      </c>
      <c r="BJ85" s="62" t="str">
        <f t="shared" si="37"/>
        <v/>
      </c>
      <c r="BM85" s="62" t="str">
        <f t="shared" si="38"/>
        <v/>
      </c>
      <c r="BQ85" s="62" t="str">
        <f t="shared" si="39"/>
        <v/>
      </c>
      <c r="BT85" s="62" t="str">
        <f t="shared" si="40"/>
        <v/>
      </c>
      <c r="BW85" s="62" t="str">
        <f t="shared" si="41"/>
        <v/>
      </c>
      <c r="CA85" s="62" t="str">
        <f t="shared" si="42"/>
        <v/>
      </c>
      <c r="CD85" s="62" t="str">
        <f t="shared" si="43"/>
        <v/>
      </c>
    </row>
    <row r="86" spans="1:82" x14ac:dyDescent="0.3">
      <c r="A86" s="53" t="s">
        <v>121</v>
      </c>
      <c r="B86" s="49" t="s">
        <v>284</v>
      </c>
      <c r="F86" s="62" t="str">
        <f t="shared" si="22"/>
        <v/>
      </c>
      <c r="J86" s="62" t="str">
        <f t="shared" si="23"/>
        <v/>
      </c>
      <c r="N86" s="62" t="str">
        <f t="shared" si="24"/>
        <v/>
      </c>
      <c r="R86" s="62" t="str">
        <f t="shared" si="25"/>
        <v/>
      </c>
      <c r="V86" s="62" t="str">
        <f t="shared" si="26"/>
        <v/>
      </c>
      <c r="Z86" s="62" t="str">
        <f t="shared" si="27"/>
        <v/>
      </c>
      <c r="AC86" s="62" t="str">
        <f t="shared" si="28"/>
        <v/>
      </c>
      <c r="AG86" s="62" t="str">
        <f t="shared" si="29"/>
        <v/>
      </c>
      <c r="AJ86" s="62" t="str">
        <f t="shared" si="30"/>
        <v/>
      </c>
      <c r="AN86" s="62" t="str">
        <f t="shared" si="31"/>
        <v/>
      </c>
      <c r="AR86" s="62" t="str">
        <f t="shared" si="32"/>
        <v/>
      </c>
      <c r="AV86" s="62" t="str">
        <f t="shared" si="33"/>
        <v/>
      </c>
      <c r="AY86" s="62" t="str">
        <f t="shared" si="34"/>
        <v/>
      </c>
      <c r="BC86" s="62" t="str">
        <f t="shared" si="35"/>
        <v/>
      </c>
      <c r="BF86" s="62" t="str">
        <f t="shared" si="36"/>
        <v/>
      </c>
      <c r="BJ86" s="62" t="str">
        <f t="shared" si="37"/>
        <v/>
      </c>
      <c r="BM86" s="62" t="str">
        <f t="shared" si="38"/>
        <v/>
      </c>
      <c r="BN86" s="44" t="s">
        <v>38</v>
      </c>
      <c r="BQ86" s="62" t="str">
        <f t="shared" si="39"/>
        <v/>
      </c>
      <c r="BT86" s="62" t="str">
        <f t="shared" si="40"/>
        <v/>
      </c>
      <c r="BU86" s="44">
        <v>4.5</v>
      </c>
      <c r="BV86" s="44">
        <v>3</v>
      </c>
      <c r="BW86" s="62">
        <f t="shared" si="41"/>
        <v>0.66666666666666663</v>
      </c>
      <c r="BX86" s="44" t="s">
        <v>38</v>
      </c>
      <c r="BY86" s="44">
        <v>56</v>
      </c>
      <c r="BZ86" s="44">
        <v>43</v>
      </c>
      <c r="CA86" s="62">
        <f t="shared" si="42"/>
        <v>0.7678571428571429</v>
      </c>
      <c r="CB86" s="44">
        <v>13</v>
      </c>
      <c r="CC86" s="44">
        <v>11</v>
      </c>
      <c r="CD86" s="62">
        <f t="shared" si="43"/>
        <v>0.84615384615384615</v>
      </c>
    </row>
    <row r="87" spans="1:82" x14ac:dyDescent="0.3">
      <c r="A87" s="53" t="s">
        <v>137</v>
      </c>
      <c r="B87" s="49" t="s">
        <v>284</v>
      </c>
      <c r="F87" s="62" t="str">
        <f t="shared" si="22"/>
        <v/>
      </c>
      <c r="J87" s="62" t="str">
        <f t="shared" si="23"/>
        <v/>
      </c>
      <c r="N87" s="62" t="str">
        <f t="shared" si="24"/>
        <v/>
      </c>
      <c r="R87" s="62" t="str">
        <f t="shared" si="25"/>
        <v/>
      </c>
      <c r="V87" s="62" t="str">
        <f t="shared" si="26"/>
        <v/>
      </c>
      <c r="Z87" s="62" t="str">
        <f t="shared" si="27"/>
        <v/>
      </c>
      <c r="AC87" s="62" t="str">
        <f t="shared" si="28"/>
        <v/>
      </c>
      <c r="AG87" s="62" t="str">
        <f t="shared" si="29"/>
        <v/>
      </c>
      <c r="AJ87" s="62" t="str">
        <f t="shared" si="30"/>
        <v/>
      </c>
      <c r="AK87" s="44" t="s">
        <v>38</v>
      </c>
      <c r="AL87" s="44">
        <v>1550</v>
      </c>
      <c r="AM87" s="44">
        <v>3647</v>
      </c>
      <c r="AN87" s="62">
        <f t="shared" si="31"/>
        <v>2.3529032258064517</v>
      </c>
      <c r="AO87" s="44" t="s">
        <v>38</v>
      </c>
      <c r="AP87" s="44">
        <v>1000</v>
      </c>
      <c r="AQ87" s="44">
        <v>2500</v>
      </c>
      <c r="AR87" s="62">
        <f t="shared" si="32"/>
        <v>2.5</v>
      </c>
      <c r="AS87" s="44" t="s">
        <v>38</v>
      </c>
      <c r="AT87" s="44">
        <v>1000</v>
      </c>
      <c r="AU87" s="44">
        <v>3125</v>
      </c>
      <c r="AV87" s="62">
        <f t="shared" si="33"/>
        <v>3.125</v>
      </c>
      <c r="AW87" s="44">
        <v>800</v>
      </c>
      <c r="AX87" s="44">
        <v>2667</v>
      </c>
      <c r="AY87" s="62">
        <f t="shared" si="34"/>
        <v>3.3337500000000002</v>
      </c>
      <c r="AZ87" s="44" t="s">
        <v>38</v>
      </c>
      <c r="BA87" s="44">
        <v>1850</v>
      </c>
      <c r="BB87" s="44">
        <v>4625</v>
      </c>
      <c r="BC87" s="62">
        <f t="shared" si="35"/>
        <v>2.5</v>
      </c>
      <c r="BD87" s="44">
        <v>1300</v>
      </c>
      <c r="BE87" s="44">
        <v>4333</v>
      </c>
      <c r="BF87" s="62">
        <f t="shared" si="36"/>
        <v>3.333076923076923</v>
      </c>
      <c r="BG87" s="44" t="s">
        <v>38</v>
      </c>
      <c r="BH87" s="44">
        <v>2694</v>
      </c>
      <c r="BI87" s="44">
        <v>7572</v>
      </c>
      <c r="BJ87" s="62">
        <f t="shared" si="37"/>
        <v>2.8106904231625833</v>
      </c>
      <c r="BK87" s="44">
        <v>215</v>
      </c>
      <c r="BL87" s="44">
        <v>727</v>
      </c>
      <c r="BM87" s="62">
        <f t="shared" si="38"/>
        <v>3.3813953488372093</v>
      </c>
      <c r="BN87" s="44" t="s">
        <v>38</v>
      </c>
      <c r="BO87" s="44">
        <v>145</v>
      </c>
      <c r="BP87" s="44">
        <v>589</v>
      </c>
      <c r="BQ87" s="62">
        <f t="shared" si="39"/>
        <v>4.0620689655172413</v>
      </c>
      <c r="BR87" s="44">
        <v>258.25</v>
      </c>
      <c r="BS87" s="44">
        <v>1208</v>
      </c>
      <c r="BT87" s="62">
        <f t="shared" si="40"/>
        <v>4.6776379477250725</v>
      </c>
      <c r="BU87" s="44">
        <v>529</v>
      </c>
      <c r="BV87" s="44">
        <v>2066</v>
      </c>
      <c r="BW87" s="62">
        <f t="shared" si="41"/>
        <v>3.9054820415879017</v>
      </c>
      <c r="BX87" s="44" t="s">
        <v>38</v>
      </c>
      <c r="BY87" s="44">
        <v>671</v>
      </c>
      <c r="BZ87" s="44">
        <v>2457</v>
      </c>
      <c r="CA87" s="62">
        <f t="shared" si="42"/>
        <v>3.6616989567809242</v>
      </c>
      <c r="CB87" s="44">
        <v>566</v>
      </c>
      <c r="CC87" s="44">
        <v>2459</v>
      </c>
      <c r="CD87" s="62">
        <f t="shared" si="43"/>
        <v>4.3445229681978796</v>
      </c>
    </row>
    <row r="88" spans="1:82" x14ac:dyDescent="0.3">
      <c r="A88" s="53" t="s">
        <v>255</v>
      </c>
      <c r="B88" s="49" t="s">
        <v>284</v>
      </c>
      <c r="F88" s="62" t="str">
        <f t="shared" si="22"/>
        <v/>
      </c>
      <c r="J88" s="62" t="str">
        <f t="shared" si="23"/>
        <v/>
      </c>
      <c r="N88" s="62" t="str">
        <f t="shared" si="24"/>
        <v/>
      </c>
      <c r="R88" s="62" t="str">
        <f t="shared" si="25"/>
        <v/>
      </c>
      <c r="V88" s="62" t="str">
        <f t="shared" si="26"/>
        <v/>
      </c>
      <c r="Z88" s="62" t="str">
        <f t="shared" si="27"/>
        <v/>
      </c>
      <c r="AC88" s="62" t="str">
        <f t="shared" si="28"/>
        <v/>
      </c>
      <c r="AG88" s="62" t="str">
        <f t="shared" si="29"/>
        <v/>
      </c>
      <c r="AJ88" s="62" t="str">
        <f t="shared" si="30"/>
        <v/>
      </c>
      <c r="AN88" s="62" t="str">
        <f t="shared" si="31"/>
        <v/>
      </c>
      <c r="AR88" s="62" t="str">
        <f t="shared" si="32"/>
        <v/>
      </c>
      <c r="AV88" s="62" t="str">
        <f t="shared" si="33"/>
        <v/>
      </c>
      <c r="AY88" s="62" t="str">
        <f t="shared" si="34"/>
        <v/>
      </c>
      <c r="BC88" s="62" t="str">
        <f t="shared" si="35"/>
        <v/>
      </c>
      <c r="BF88" s="62" t="str">
        <f t="shared" si="36"/>
        <v/>
      </c>
      <c r="BG88" s="44" t="s">
        <v>38</v>
      </c>
      <c r="BJ88" s="62" t="str">
        <f t="shared" si="37"/>
        <v/>
      </c>
      <c r="BK88" s="44">
        <v>1838</v>
      </c>
      <c r="BL88" s="44">
        <v>747</v>
      </c>
      <c r="BM88" s="62">
        <f t="shared" si="38"/>
        <v>0.40642002176278563</v>
      </c>
      <c r="BN88" s="44" t="s">
        <v>38</v>
      </c>
      <c r="BO88" s="44">
        <v>2743</v>
      </c>
      <c r="BP88" s="44">
        <v>894</v>
      </c>
      <c r="BQ88" s="62">
        <f t="shared" si="39"/>
        <v>0.32592052497265767</v>
      </c>
      <c r="BR88" s="44">
        <v>296</v>
      </c>
      <c r="BS88" s="44">
        <v>157</v>
      </c>
      <c r="BT88" s="62">
        <f t="shared" si="40"/>
        <v>0.53040540540540537</v>
      </c>
      <c r="BU88" s="44">
        <v>2463</v>
      </c>
      <c r="BV88" s="44">
        <v>1322</v>
      </c>
      <c r="BW88" s="62">
        <f t="shared" si="41"/>
        <v>0.53674380836378399</v>
      </c>
      <c r="BX88" s="44" t="s">
        <v>38</v>
      </c>
      <c r="BY88" s="44">
        <v>3263</v>
      </c>
      <c r="BZ88" s="44">
        <v>1175.5</v>
      </c>
      <c r="CA88" s="62">
        <f t="shared" si="42"/>
        <v>0.36025130248237819</v>
      </c>
      <c r="CB88" s="44">
        <v>2730</v>
      </c>
      <c r="CC88" s="44">
        <v>1131</v>
      </c>
      <c r="CD88" s="62">
        <f t="shared" si="43"/>
        <v>0.41428571428571431</v>
      </c>
    </row>
    <row r="89" spans="1:82" x14ac:dyDescent="0.3">
      <c r="A89" s="53" t="s">
        <v>135</v>
      </c>
      <c r="B89" s="49" t="s">
        <v>284</v>
      </c>
      <c r="F89" s="62" t="str">
        <f t="shared" si="22"/>
        <v/>
      </c>
      <c r="J89" s="62" t="str">
        <f t="shared" si="23"/>
        <v/>
      </c>
      <c r="N89" s="62" t="str">
        <f t="shared" si="24"/>
        <v/>
      </c>
      <c r="R89" s="62" t="str">
        <f t="shared" si="25"/>
        <v/>
      </c>
      <c r="V89" s="62" t="str">
        <f t="shared" si="26"/>
        <v/>
      </c>
      <c r="Z89" s="62" t="str">
        <f t="shared" si="27"/>
        <v/>
      </c>
      <c r="AC89" s="62" t="str">
        <f t="shared" si="28"/>
        <v/>
      </c>
      <c r="AG89" s="62" t="str">
        <f t="shared" si="29"/>
        <v/>
      </c>
      <c r="AJ89" s="62" t="str">
        <f t="shared" si="30"/>
        <v/>
      </c>
      <c r="AN89" s="62" t="str">
        <f t="shared" si="31"/>
        <v/>
      </c>
      <c r="AR89" s="62" t="str">
        <f t="shared" si="32"/>
        <v/>
      </c>
      <c r="AV89" s="62" t="str">
        <f t="shared" si="33"/>
        <v/>
      </c>
      <c r="AY89" s="62" t="str">
        <f t="shared" si="34"/>
        <v/>
      </c>
      <c r="BC89" s="62" t="str">
        <f t="shared" si="35"/>
        <v/>
      </c>
      <c r="BF89" s="62" t="str">
        <f t="shared" si="36"/>
        <v/>
      </c>
      <c r="BG89" s="44" t="s">
        <v>38</v>
      </c>
      <c r="BH89" s="44">
        <v>448</v>
      </c>
      <c r="BI89" s="44">
        <v>284</v>
      </c>
      <c r="BJ89" s="62">
        <f t="shared" si="37"/>
        <v>0.6339285714285714</v>
      </c>
      <c r="BK89" s="44">
        <v>324</v>
      </c>
      <c r="BL89" s="44">
        <v>194</v>
      </c>
      <c r="BM89" s="62">
        <f t="shared" si="38"/>
        <v>0.59876543209876543</v>
      </c>
      <c r="BN89" s="44" t="s">
        <v>38</v>
      </c>
      <c r="BO89" s="44">
        <v>314</v>
      </c>
      <c r="BP89" s="44">
        <v>187</v>
      </c>
      <c r="BQ89" s="62">
        <f t="shared" si="39"/>
        <v>0.59554140127388533</v>
      </c>
      <c r="BR89" s="44">
        <v>632.75</v>
      </c>
      <c r="BS89" s="44">
        <v>462</v>
      </c>
      <c r="BT89" s="62">
        <f t="shared" si="40"/>
        <v>0.73014618727775582</v>
      </c>
      <c r="BU89" s="44">
        <v>821</v>
      </c>
      <c r="BV89" s="44">
        <v>680</v>
      </c>
      <c r="BW89" s="62">
        <f t="shared" si="41"/>
        <v>0.82825822168087693</v>
      </c>
      <c r="BX89" s="44" t="s">
        <v>38</v>
      </c>
      <c r="BY89" s="44">
        <v>1161.25</v>
      </c>
      <c r="BZ89" s="44">
        <v>735</v>
      </c>
      <c r="CA89" s="62">
        <f t="shared" si="42"/>
        <v>0.63293864370290631</v>
      </c>
      <c r="CB89" s="44">
        <v>1465</v>
      </c>
      <c r="CC89" s="44">
        <v>832</v>
      </c>
      <c r="CD89" s="62">
        <f t="shared" si="43"/>
        <v>0.5679180887372014</v>
      </c>
    </row>
    <row r="90" spans="1:82" x14ac:dyDescent="0.3">
      <c r="A90" s="49" t="s">
        <v>52</v>
      </c>
      <c r="B90" s="49" t="s">
        <v>284</v>
      </c>
      <c r="F90" s="62" t="str">
        <f t="shared" si="22"/>
        <v/>
      </c>
      <c r="J90" s="62" t="str">
        <f t="shared" si="23"/>
        <v/>
      </c>
      <c r="N90" s="62" t="str">
        <f t="shared" si="24"/>
        <v/>
      </c>
      <c r="R90" s="62" t="str">
        <f t="shared" si="25"/>
        <v/>
      </c>
      <c r="V90" s="62" t="str">
        <f t="shared" si="26"/>
        <v/>
      </c>
      <c r="Z90" s="62" t="str">
        <f t="shared" si="27"/>
        <v/>
      </c>
      <c r="AC90" s="62" t="str">
        <f t="shared" si="28"/>
        <v/>
      </c>
      <c r="AG90" s="62" t="str">
        <f t="shared" si="29"/>
        <v/>
      </c>
      <c r="AJ90" s="62" t="str">
        <f t="shared" si="30"/>
        <v/>
      </c>
      <c r="AN90" s="62" t="str">
        <f t="shared" si="31"/>
        <v/>
      </c>
      <c r="AR90" s="62" t="str">
        <f t="shared" si="32"/>
        <v/>
      </c>
      <c r="AV90" s="62" t="str">
        <f t="shared" si="33"/>
        <v/>
      </c>
      <c r="AY90" s="62" t="str">
        <f t="shared" si="34"/>
        <v/>
      </c>
      <c r="BC90" s="62" t="str">
        <f t="shared" si="35"/>
        <v/>
      </c>
      <c r="BF90" s="62" t="str">
        <f t="shared" si="36"/>
        <v/>
      </c>
      <c r="BG90" s="44" t="s">
        <v>38</v>
      </c>
      <c r="BJ90" s="62" t="str">
        <f t="shared" si="37"/>
        <v/>
      </c>
      <c r="BK90" s="44">
        <v>34</v>
      </c>
      <c r="BL90" s="44">
        <v>49</v>
      </c>
      <c r="BM90" s="62">
        <f t="shared" si="38"/>
        <v>1.4411764705882353</v>
      </c>
      <c r="BQ90" s="62" t="str">
        <f t="shared" si="39"/>
        <v/>
      </c>
      <c r="BT90" s="62" t="str">
        <f t="shared" si="40"/>
        <v/>
      </c>
      <c r="BW90" s="62" t="str">
        <f t="shared" si="41"/>
        <v/>
      </c>
      <c r="CA90" s="62" t="str">
        <f t="shared" si="42"/>
        <v/>
      </c>
      <c r="CD90" s="62" t="str">
        <f t="shared" si="43"/>
        <v/>
      </c>
    </row>
    <row r="91" spans="1:82" x14ac:dyDescent="0.3">
      <c r="A91" s="49" t="s">
        <v>32</v>
      </c>
      <c r="B91" s="49" t="s">
        <v>104</v>
      </c>
      <c r="C91" s="44" t="s">
        <v>38</v>
      </c>
      <c r="D91" s="44">
        <v>107</v>
      </c>
      <c r="E91" s="44">
        <v>714</v>
      </c>
      <c r="F91" s="62">
        <f t="shared" si="22"/>
        <v>6.6728971962616823</v>
      </c>
      <c r="G91" s="44" t="s">
        <v>41</v>
      </c>
      <c r="H91" s="44">
        <v>170</v>
      </c>
      <c r="I91" s="44">
        <v>581</v>
      </c>
      <c r="J91" s="62">
        <f t="shared" si="23"/>
        <v>3.4176470588235293</v>
      </c>
      <c r="K91" s="44" t="s">
        <v>41</v>
      </c>
      <c r="L91" s="44">
        <v>286</v>
      </c>
      <c r="M91" s="44">
        <v>684</v>
      </c>
      <c r="N91" s="62">
        <f t="shared" si="24"/>
        <v>2.3916083916083917</v>
      </c>
      <c r="O91" s="44" t="s">
        <v>37</v>
      </c>
      <c r="P91" s="44">
        <v>488</v>
      </c>
      <c r="Q91" s="44">
        <v>1269</v>
      </c>
      <c r="R91" s="62">
        <f t="shared" si="25"/>
        <v>2.6004098360655736</v>
      </c>
      <c r="S91" s="44" t="s">
        <v>37</v>
      </c>
      <c r="T91" s="44">
        <v>240</v>
      </c>
      <c r="U91" s="44">
        <v>857</v>
      </c>
      <c r="V91" s="62">
        <f t="shared" si="26"/>
        <v>3.5708333333333333</v>
      </c>
      <c r="W91" s="44" t="s">
        <v>37</v>
      </c>
      <c r="X91" s="44">
        <v>149</v>
      </c>
      <c r="Y91" s="44">
        <v>625</v>
      </c>
      <c r="Z91" s="62">
        <f t="shared" si="27"/>
        <v>4.1946308724832218</v>
      </c>
      <c r="AA91" s="44">
        <v>150</v>
      </c>
      <c r="AB91" s="44">
        <v>615</v>
      </c>
      <c r="AC91" s="62">
        <f t="shared" si="28"/>
        <v>4.0999999999999996</v>
      </c>
      <c r="AD91" s="44" t="s">
        <v>37</v>
      </c>
      <c r="AE91" s="44">
        <v>185</v>
      </c>
      <c r="AF91" s="44">
        <v>556</v>
      </c>
      <c r="AG91" s="62">
        <f t="shared" si="29"/>
        <v>3.0054054054054054</v>
      </c>
      <c r="AH91" s="44">
        <v>170</v>
      </c>
      <c r="AI91" s="44">
        <v>556</v>
      </c>
      <c r="AJ91" s="62">
        <f t="shared" si="30"/>
        <v>3.2705882352941176</v>
      </c>
      <c r="AK91" s="44" t="s">
        <v>37</v>
      </c>
      <c r="AL91" s="44">
        <v>70</v>
      </c>
      <c r="AM91" s="44">
        <v>224</v>
      </c>
      <c r="AN91" s="62">
        <f t="shared" si="31"/>
        <v>3.2</v>
      </c>
      <c r="AO91" s="44" t="s">
        <v>37</v>
      </c>
      <c r="AP91" s="44">
        <v>94</v>
      </c>
      <c r="AQ91" s="44">
        <v>353</v>
      </c>
      <c r="AR91" s="62">
        <f t="shared" si="32"/>
        <v>3.7553191489361701</v>
      </c>
      <c r="AS91" s="44" t="s">
        <v>37</v>
      </c>
      <c r="AT91" s="44">
        <v>145</v>
      </c>
      <c r="AU91" s="44">
        <v>544</v>
      </c>
      <c r="AV91" s="62">
        <f t="shared" si="33"/>
        <v>3.7517241379310344</v>
      </c>
      <c r="AW91" s="44">
        <v>59</v>
      </c>
      <c r="AX91" s="44">
        <v>240</v>
      </c>
      <c r="AY91" s="62">
        <f t="shared" si="34"/>
        <v>4.0677966101694913</v>
      </c>
      <c r="AZ91" s="44" t="s">
        <v>37</v>
      </c>
      <c r="BA91" s="44">
        <v>34</v>
      </c>
      <c r="BB91" s="44">
        <v>136</v>
      </c>
      <c r="BC91" s="62">
        <f t="shared" si="35"/>
        <v>4</v>
      </c>
      <c r="BD91" s="44">
        <v>72</v>
      </c>
      <c r="BE91" s="44">
        <v>288</v>
      </c>
      <c r="BF91" s="62">
        <f t="shared" si="36"/>
        <v>4</v>
      </c>
      <c r="BJ91" s="62" t="str">
        <f t="shared" si="37"/>
        <v/>
      </c>
      <c r="BM91" s="62" t="str">
        <f t="shared" si="38"/>
        <v/>
      </c>
      <c r="BQ91" s="62" t="str">
        <f t="shared" si="39"/>
        <v/>
      </c>
      <c r="BT91" s="62" t="str">
        <f t="shared" si="40"/>
        <v/>
      </c>
      <c r="BW91" s="62" t="str">
        <f t="shared" si="41"/>
        <v/>
      </c>
      <c r="CA91" s="62" t="str">
        <f t="shared" si="42"/>
        <v/>
      </c>
      <c r="CD91" s="62" t="str">
        <f t="shared" si="43"/>
        <v/>
      </c>
    </row>
    <row r="92" spans="1:82" x14ac:dyDescent="0.3">
      <c r="A92" s="53" t="s">
        <v>256</v>
      </c>
      <c r="B92" s="49" t="s">
        <v>104</v>
      </c>
      <c r="C92" s="44" t="s">
        <v>38</v>
      </c>
      <c r="D92" s="44">
        <v>621</v>
      </c>
      <c r="E92" s="44">
        <v>429</v>
      </c>
      <c r="F92" s="62">
        <f t="shared" si="22"/>
        <v>0.6908212560386473</v>
      </c>
      <c r="G92" s="44" t="s">
        <v>38</v>
      </c>
      <c r="H92" s="44">
        <v>433</v>
      </c>
      <c r="I92" s="44">
        <v>358</v>
      </c>
      <c r="J92" s="62">
        <f t="shared" si="23"/>
        <v>0.82678983833718245</v>
      </c>
      <c r="K92" s="44" t="s">
        <v>38</v>
      </c>
      <c r="L92" s="44">
        <v>978</v>
      </c>
      <c r="M92" s="44">
        <v>602</v>
      </c>
      <c r="N92" s="62">
        <f t="shared" si="24"/>
        <v>0.61554192229038851</v>
      </c>
      <c r="O92" s="44" t="s">
        <v>38</v>
      </c>
      <c r="P92" s="44">
        <v>1300</v>
      </c>
      <c r="Q92" s="44">
        <v>1000</v>
      </c>
      <c r="R92" s="62">
        <f t="shared" si="25"/>
        <v>0.76923076923076927</v>
      </c>
      <c r="S92" s="44" t="s">
        <v>38</v>
      </c>
      <c r="T92" s="44">
        <v>1170</v>
      </c>
      <c r="U92" s="44">
        <v>1003</v>
      </c>
      <c r="V92" s="62">
        <f t="shared" si="26"/>
        <v>0.85726495726495722</v>
      </c>
      <c r="W92" s="44" t="s">
        <v>38</v>
      </c>
      <c r="X92" s="44">
        <v>1200</v>
      </c>
      <c r="Y92" s="44">
        <v>1350</v>
      </c>
      <c r="Z92" s="62">
        <f t="shared" si="27"/>
        <v>1.125</v>
      </c>
      <c r="AA92" s="44">
        <v>1222</v>
      </c>
      <c r="AB92" s="44">
        <v>1354</v>
      </c>
      <c r="AC92" s="62">
        <f t="shared" si="28"/>
        <v>1.1080196399345335</v>
      </c>
      <c r="AD92" s="44" t="s">
        <v>38</v>
      </c>
      <c r="AE92" s="44">
        <v>1444.5</v>
      </c>
      <c r="AF92" s="44">
        <v>1444</v>
      </c>
      <c r="AG92" s="62">
        <f t="shared" si="29"/>
        <v>0.99965385946694363</v>
      </c>
      <c r="AH92" s="44">
        <v>1286</v>
      </c>
      <c r="AI92" s="44">
        <v>1000</v>
      </c>
      <c r="AJ92" s="62">
        <f t="shared" si="30"/>
        <v>0.77760497667185069</v>
      </c>
      <c r="AK92" s="44" t="s">
        <v>38</v>
      </c>
      <c r="AL92" s="44">
        <v>1366</v>
      </c>
      <c r="AM92" s="44">
        <v>1177</v>
      </c>
      <c r="AN92" s="62">
        <f t="shared" si="31"/>
        <v>0.86163982430453878</v>
      </c>
      <c r="AO92" s="44" t="s">
        <v>38</v>
      </c>
      <c r="AP92" s="44">
        <v>1600</v>
      </c>
      <c r="AQ92" s="44">
        <v>1200</v>
      </c>
      <c r="AR92" s="62">
        <f t="shared" si="32"/>
        <v>0.75</v>
      </c>
      <c r="AS92" s="44" t="s">
        <v>38</v>
      </c>
      <c r="AT92" s="44">
        <v>900</v>
      </c>
      <c r="AU92" s="44">
        <v>675</v>
      </c>
      <c r="AV92" s="62">
        <f t="shared" si="33"/>
        <v>0.75</v>
      </c>
      <c r="AW92" s="44">
        <v>550</v>
      </c>
      <c r="AX92" s="44">
        <v>660</v>
      </c>
      <c r="AY92" s="62">
        <f t="shared" si="34"/>
        <v>1.2</v>
      </c>
      <c r="AZ92" s="44" t="s">
        <v>38</v>
      </c>
      <c r="BA92" s="44">
        <v>525</v>
      </c>
      <c r="BB92" s="44">
        <v>630</v>
      </c>
      <c r="BC92" s="62">
        <f t="shared" si="35"/>
        <v>1.2</v>
      </c>
      <c r="BD92" s="44">
        <v>700</v>
      </c>
      <c r="BE92" s="44">
        <v>934</v>
      </c>
      <c r="BF92" s="62">
        <f t="shared" si="36"/>
        <v>1.3342857142857143</v>
      </c>
      <c r="BJ92" s="62" t="str">
        <f t="shared" si="37"/>
        <v/>
      </c>
      <c r="BM92" s="62" t="str">
        <f t="shared" si="38"/>
        <v/>
      </c>
      <c r="BQ92" s="62" t="str">
        <f t="shared" si="39"/>
        <v/>
      </c>
      <c r="BT92" s="62" t="str">
        <f t="shared" si="40"/>
        <v/>
      </c>
      <c r="BW92" s="62" t="str">
        <f t="shared" si="41"/>
        <v/>
      </c>
      <c r="CA92" s="62" t="str">
        <f t="shared" si="42"/>
        <v/>
      </c>
      <c r="CD92" s="62" t="str">
        <f t="shared" si="43"/>
        <v/>
      </c>
    </row>
    <row r="93" spans="1:82" x14ac:dyDescent="0.3">
      <c r="A93" s="53" t="s">
        <v>258</v>
      </c>
      <c r="B93" s="49" t="s">
        <v>284</v>
      </c>
      <c r="F93" s="62" t="str">
        <f t="shared" si="22"/>
        <v/>
      </c>
      <c r="J93" s="62" t="str">
        <f t="shared" si="23"/>
        <v/>
      </c>
      <c r="N93" s="62" t="str">
        <f t="shared" si="24"/>
        <v/>
      </c>
      <c r="R93" s="62" t="str">
        <f t="shared" si="25"/>
        <v/>
      </c>
      <c r="V93" s="62" t="str">
        <f t="shared" si="26"/>
        <v/>
      </c>
      <c r="Z93" s="62" t="str">
        <f t="shared" si="27"/>
        <v/>
      </c>
      <c r="AC93" s="62" t="str">
        <f t="shared" si="28"/>
        <v/>
      </c>
      <c r="AG93" s="62" t="str">
        <f t="shared" si="29"/>
        <v/>
      </c>
      <c r="AJ93" s="62" t="str">
        <f t="shared" si="30"/>
        <v/>
      </c>
      <c r="AK93" s="44" t="s">
        <v>38</v>
      </c>
      <c r="AL93" s="44">
        <v>1500</v>
      </c>
      <c r="AM93" s="44">
        <v>882</v>
      </c>
      <c r="AN93" s="62">
        <f t="shared" si="31"/>
        <v>0.58799999999999997</v>
      </c>
      <c r="AO93" s="44" t="s">
        <v>38</v>
      </c>
      <c r="AP93" s="44">
        <v>2050</v>
      </c>
      <c r="AQ93" s="44">
        <v>1280</v>
      </c>
      <c r="AR93" s="62">
        <f t="shared" si="32"/>
        <v>0.62439024390243902</v>
      </c>
      <c r="AS93" s="44" t="s">
        <v>38</v>
      </c>
      <c r="AT93" s="44">
        <v>1500</v>
      </c>
      <c r="AU93" s="44">
        <v>938</v>
      </c>
      <c r="AV93" s="62">
        <f t="shared" si="33"/>
        <v>0.6253333333333333</v>
      </c>
      <c r="AW93" s="44">
        <v>2880</v>
      </c>
      <c r="AX93" s="44">
        <v>960</v>
      </c>
      <c r="AY93" s="62">
        <f t="shared" si="34"/>
        <v>0.33333333333333331</v>
      </c>
      <c r="AZ93" s="44" t="s">
        <v>38</v>
      </c>
      <c r="BA93" s="44">
        <v>2680</v>
      </c>
      <c r="BB93" s="44">
        <v>894</v>
      </c>
      <c r="BC93" s="62">
        <f t="shared" si="35"/>
        <v>0.33358208955223878</v>
      </c>
      <c r="BD93" s="44">
        <v>1974</v>
      </c>
      <c r="BE93" s="44">
        <v>658</v>
      </c>
      <c r="BF93" s="62">
        <f t="shared" si="36"/>
        <v>0.33333333333333331</v>
      </c>
      <c r="BG93" s="44" t="s">
        <v>38</v>
      </c>
      <c r="BJ93" s="62" t="str">
        <f t="shared" si="37"/>
        <v/>
      </c>
      <c r="BK93" s="44">
        <v>2341</v>
      </c>
      <c r="BL93" s="44">
        <v>1105</v>
      </c>
      <c r="BM93" s="62">
        <f t="shared" si="38"/>
        <v>0.47202050405809481</v>
      </c>
      <c r="BN93" s="44" t="s">
        <v>38</v>
      </c>
      <c r="BO93" s="44">
        <v>11</v>
      </c>
      <c r="BP93" s="44">
        <v>9</v>
      </c>
      <c r="BQ93" s="62">
        <f t="shared" si="39"/>
        <v>0.81818181818181823</v>
      </c>
      <c r="BR93" s="44">
        <v>435</v>
      </c>
      <c r="BS93" s="44">
        <v>280</v>
      </c>
      <c r="BT93" s="62">
        <f t="shared" si="40"/>
        <v>0.64367816091954022</v>
      </c>
      <c r="BU93" s="44">
        <v>72</v>
      </c>
      <c r="BV93" s="44">
        <v>64</v>
      </c>
      <c r="BW93" s="62">
        <f t="shared" si="41"/>
        <v>0.88888888888888884</v>
      </c>
      <c r="BX93" s="44" t="s">
        <v>38</v>
      </c>
      <c r="BY93" s="44">
        <v>62</v>
      </c>
      <c r="BZ93" s="44">
        <v>35.5</v>
      </c>
      <c r="CA93" s="62">
        <f t="shared" si="42"/>
        <v>0.57258064516129037</v>
      </c>
      <c r="CD93" s="62" t="str">
        <f t="shared" si="43"/>
        <v/>
      </c>
    </row>
    <row r="94" spans="1:82" x14ac:dyDescent="0.3">
      <c r="A94" s="53" t="s">
        <v>62</v>
      </c>
      <c r="B94" s="49" t="s">
        <v>284</v>
      </c>
      <c r="F94" s="62" t="str">
        <f t="shared" si="22"/>
        <v/>
      </c>
      <c r="J94" s="62" t="str">
        <f t="shared" si="23"/>
        <v/>
      </c>
      <c r="N94" s="62" t="str">
        <f t="shared" si="24"/>
        <v/>
      </c>
      <c r="R94" s="62" t="str">
        <f t="shared" si="25"/>
        <v/>
      </c>
      <c r="V94" s="62" t="str">
        <f t="shared" si="26"/>
        <v/>
      </c>
      <c r="Z94" s="62" t="str">
        <f t="shared" si="27"/>
        <v/>
      </c>
      <c r="AC94" s="62" t="str">
        <f t="shared" si="28"/>
        <v/>
      </c>
      <c r="AG94" s="62" t="str">
        <f t="shared" si="29"/>
        <v/>
      </c>
      <c r="AJ94" s="62" t="str">
        <f t="shared" si="30"/>
        <v/>
      </c>
      <c r="AN94" s="62" t="str">
        <f t="shared" si="31"/>
        <v/>
      </c>
      <c r="AR94" s="62" t="str">
        <f t="shared" si="32"/>
        <v/>
      </c>
      <c r="AV94" s="62" t="str">
        <f t="shared" si="33"/>
        <v/>
      </c>
      <c r="AY94" s="62" t="str">
        <f t="shared" si="34"/>
        <v/>
      </c>
      <c r="BC94" s="62" t="str">
        <f t="shared" si="35"/>
        <v/>
      </c>
      <c r="BF94" s="62" t="str">
        <f t="shared" si="36"/>
        <v/>
      </c>
      <c r="BJ94" s="62" t="str">
        <f t="shared" si="37"/>
        <v/>
      </c>
      <c r="BM94" s="62" t="str">
        <f t="shared" si="38"/>
        <v/>
      </c>
      <c r="BN94" s="44" t="s">
        <v>38</v>
      </c>
      <c r="BQ94" s="62" t="str">
        <f t="shared" si="39"/>
        <v/>
      </c>
      <c r="BT94" s="62" t="str">
        <f t="shared" si="40"/>
        <v/>
      </c>
      <c r="BU94" s="44">
        <v>19</v>
      </c>
      <c r="BV94" s="44">
        <v>16</v>
      </c>
      <c r="BW94" s="62">
        <f t="shared" si="41"/>
        <v>0.84210526315789469</v>
      </c>
      <c r="BX94" s="44" t="s">
        <v>38</v>
      </c>
      <c r="CA94" s="62" t="str">
        <f t="shared" si="42"/>
        <v/>
      </c>
      <c r="CB94" s="44">
        <v>9</v>
      </c>
      <c r="CC94" s="44">
        <v>7</v>
      </c>
      <c r="CD94" s="62">
        <f t="shared" si="43"/>
        <v>0.77777777777777779</v>
      </c>
    </row>
    <row r="95" spans="1:82" x14ac:dyDescent="0.3">
      <c r="A95" s="49" t="s">
        <v>26</v>
      </c>
      <c r="B95" s="49" t="s">
        <v>134</v>
      </c>
      <c r="C95" s="44" t="s">
        <v>36</v>
      </c>
      <c r="D95" s="44">
        <v>5571</v>
      </c>
      <c r="E95" s="44">
        <v>1857</v>
      </c>
      <c r="F95" s="62">
        <f t="shared" si="22"/>
        <v>0.33333333333333331</v>
      </c>
      <c r="G95" s="44" t="s">
        <v>36</v>
      </c>
      <c r="H95" s="44">
        <v>1500</v>
      </c>
      <c r="I95" s="44">
        <v>540</v>
      </c>
      <c r="J95" s="62">
        <f t="shared" si="23"/>
        <v>0.36</v>
      </c>
      <c r="K95" s="44" t="s">
        <v>36</v>
      </c>
      <c r="L95" s="44">
        <v>1900</v>
      </c>
      <c r="M95" s="44">
        <v>650</v>
      </c>
      <c r="N95" s="62">
        <f t="shared" si="24"/>
        <v>0.34210526315789475</v>
      </c>
      <c r="O95" s="44" t="s">
        <v>36</v>
      </c>
      <c r="P95" s="44">
        <v>3200</v>
      </c>
      <c r="Q95" s="44">
        <v>1231</v>
      </c>
      <c r="R95" s="62">
        <f t="shared" si="25"/>
        <v>0.38468750000000002</v>
      </c>
      <c r="S95" s="44" t="s">
        <v>36</v>
      </c>
      <c r="T95" s="44">
        <v>2000</v>
      </c>
      <c r="U95" s="44">
        <v>857</v>
      </c>
      <c r="V95" s="62">
        <f t="shared" si="26"/>
        <v>0.42849999999999999</v>
      </c>
      <c r="W95" s="44" t="s">
        <v>36</v>
      </c>
      <c r="X95" s="44">
        <v>2700</v>
      </c>
      <c r="Y95" s="44">
        <v>843</v>
      </c>
      <c r="Z95" s="62">
        <f t="shared" si="27"/>
        <v>0.31222222222222223</v>
      </c>
      <c r="AA95" s="44">
        <v>3600</v>
      </c>
      <c r="AB95" s="44">
        <v>1108</v>
      </c>
      <c r="AC95" s="62">
        <f t="shared" si="28"/>
        <v>0.30777777777777776</v>
      </c>
      <c r="AD95" s="44" t="s">
        <v>36</v>
      </c>
      <c r="AE95" s="44">
        <v>5000</v>
      </c>
      <c r="AF95" s="44">
        <v>1389</v>
      </c>
      <c r="AG95" s="62">
        <f t="shared" si="29"/>
        <v>0.27779999999999999</v>
      </c>
      <c r="AH95" s="44">
        <v>5600</v>
      </c>
      <c r="AI95" s="44">
        <v>1556</v>
      </c>
      <c r="AJ95" s="62">
        <f t="shared" si="30"/>
        <v>0.27785714285714286</v>
      </c>
      <c r="AK95" s="44" t="s">
        <v>36</v>
      </c>
      <c r="AL95" s="44">
        <v>5400</v>
      </c>
      <c r="AM95" s="44">
        <v>1588</v>
      </c>
      <c r="AN95" s="62">
        <f t="shared" si="31"/>
        <v>0.2940740740740741</v>
      </c>
      <c r="AO95" s="44" t="s">
        <v>36</v>
      </c>
      <c r="AP95" s="44">
        <v>5000</v>
      </c>
      <c r="AQ95" s="44">
        <v>1562</v>
      </c>
      <c r="AR95" s="62">
        <f t="shared" si="32"/>
        <v>0.31240000000000001</v>
      </c>
      <c r="AS95" s="44" t="s">
        <v>36</v>
      </c>
      <c r="AT95" s="44">
        <v>3000</v>
      </c>
      <c r="AU95" s="44">
        <v>937</v>
      </c>
      <c r="AV95" s="62">
        <f t="shared" si="33"/>
        <v>0.31233333333333335</v>
      </c>
      <c r="AW95" s="44">
        <v>3500</v>
      </c>
      <c r="AX95" s="44">
        <v>1173</v>
      </c>
      <c r="AY95" s="62">
        <f t="shared" si="34"/>
        <v>0.33514285714285713</v>
      </c>
      <c r="AZ95" s="44" t="s">
        <v>36</v>
      </c>
      <c r="BA95" s="44">
        <v>2000</v>
      </c>
      <c r="BB95" s="44">
        <v>800</v>
      </c>
      <c r="BC95" s="62">
        <f t="shared" si="35"/>
        <v>0.4</v>
      </c>
      <c r="BD95" s="44">
        <v>1800</v>
      </c>
      <c r="BE95" s="44">
        <v>1260</v>
      </c>
      <c r="BF95" s="62">
        <f t="shared" si="36"/>
        <v>0.7</v>
      </c>
      <c r="BG95" s="44" t="s">
        <v>38</v>
      </c>
      <c r="BJ95" s="62" t="str">
        <f t="shared" si="37"/>
        <v/>
      </c>
      <c r="BK95" s="44">
        <v>163</v>
      </c>
      <c r="BL95" s="44">
        <v>4</v>
      </c>
      <c r="BM95" s="62">
        <f t="shared" si="38"/>
        <v>2.4539877300613498E-2</v>
      </c>
      <c r="BQ95" s="62" t="str">
        <f t="shared" si="39"/>
        <v/>
      </c>
      <c r="BT95" s="62" t="str">
        <f t="shared" si="40"/>
        <v/>
      </c>
      <c r="BW95" s="62" t="str">
        <f t="shared" si="41"/>
        <v/>
      </c>
      <c r="BX95" s="44" t="s">
        <v>38</v>
      </c>
      <c r="CA95" s="62" t="str">
        <f t="shared" si="42"/>
        <v/>
      </c>
      <c r="CB95" s="44">
        <v>1752</v>
      </c>
      <c r="CC95" s="44">
        <v>60</v>
      </c>
      <c r="CD95" s="62">
        <f t="shared" si="43"/>
        <v>3.4246575342465752E-2</v>
      </c>
    </row>
    <row r="96" spans="1:82" x14ac:dyDescent="0.3">
      <c r="A96" s="49" t="s">
        <v>27</v>
      </c>
      <c r="B96" s="49" t="s">
        <v>104</v>
      </c>
      <c r="C96" s="44" t="s">
        <v>38</v>
      </c>
      <c r="D96" s="44">
        <v>1782</v>
      </c>
      <c r="E96" s="44">
        <v>1200</v>
      </c>
      <c r="F96" s="62">
        <f t="shared" si="22"/>
        <v>0.67340067340067344</v>
      </c>
      <c r="G96" s="44" t="s">
        <v>38</v>
      </c>
      <c r="H96" s="44">
        <v>1639</v>
      </c>
      <c r="I96" s="44">
        <v>911</v>
      </c>
      <c r="J96" s="62">
        <f t="shared" si="23"/>
        <v>0.55582672361195851</v>
      </c>
      <c r="K96" s="44" t="s">
        <v>38</v>
      </c>
      <c r="L96" s="44">
        <v>660</v>
      </c>
      <c r="M96" s="44">
        <v>767</v>
      </c>
      <c r="N96" s="62">
        <f t="shared" si="24"/>
        <v>1.1621212121212121</v>
      </c>
      <c r="O96" s="44" t="s">
        <v>38</v>
      </c>
      <c r="P96" s="44">
        <v>823</v>
      </c>
      <c r="Q96" s="44">
        <v>1077</v>
      </c>
      <c r="R96" s="62">
        <f t="shared" si="25"/>
        <v>1.3086269744835966</v>
      </c>
      <c r="S96" s="44" t="s">
        <v>38</v>
      </c>
      <c r="T96" s="44">
        <v>711</v>
      </c>
      <c r="U96" s="44">
        <v>914</v>
      </c>
      <c r="V96" s="62">
        <f t="shared" si="26"/>
        <v>1.2855133614627285</v>
      </c>
      <c r="W96" s="44" t="s">
        <v>38</v>
      </c>
      <c r="X96" s="44">
        <v>611</v>
      </c>
      <c r="Y96" s="44">
        <v>687</v>
      </c>
      <c r="Z96" s="62">
        <f t="shared" si="27"/>
        <v>1.1243862520458265</v>
      </c>
      <c r="AA96" s="44">
        <v>583</v>
      </c>
      <c r="AB96" s="44">
        <v>646</v>
      </c>
      <c r="AC96" s="62">
        <f t="shared" si="28"/>
        <v>1.1080617495711835</v>
      </c>
      <c r="AD96" s="44" t="s">
        <v>38</v>
      </c>
      <c r="AE96" s="44">
        <v>555.5</v>
      </c>
      <c r="AF96" s="44">
        <v>556</v>
      </c>
      <c r="AG96" s="62">
        <f t="shared" si="29"/>
        <v>1.0009000900090008</v>
      </c>
      <c r="AH96" s="44">
        <v>583</v>
      </c>
      <c r="AI96" s="44">
        <v>783</v>
      </c>
      <c r="AJ96" s="62">
        <f t="shared" si="30"/>
        <v>1.3430531732418525</v>
      </c>
      <c r="AN96" s="62" t="str">
        <f t="shared" si="31"/>
        <v/>
      </c>
      <c r="AR96" s="62" t="str">
        <f t="shared" si="32"/>
        <v/>
      </c>
      <c r="AS96" s="44" t="s">
        <v>38</v>
      </c>
      <c r="AT96" s="44">
        <v>150</v>
      </c>
      <c r="AU96" s="44">
        <v>66</v>
      </c>
      <c r="AV96" s="62">
        <f t="shared" si="33"/>
        <v>0.44</v>
      </c>
      <c r="AY96" s="62" t="str">
        <f t="shared" si="34"/>
        <v/>
      </c>
      <c r="BC96" s="62" t="str">
        <f t="shared" si="35"/>
        <v/>
      </c>
      <c r="BF96" s="62" t="str">
        <f t="shared" si="36"/>
        <v/>
      </c>
      <c r="BJ96" s="62" t="str">
        <f t="shared" si="37"/>
        <v/>
      </c>
      <c r="BM96" s="62" t="str">
        <f t="shared" si="38"/>
        <v/>
      </c>
      <c r="BQ96" s="62" t="str">
        <f t="shared" si="39"/>
        <v/>
      </c>
      <c r="BT96" s="62" t="str">
        <f t="shared" si="40"/>
        <v/>
      </c>
      <c r="BW96" s="62" t="str">
        <f t="shared" si="41"/>
        <v/>
      </c>
      <c r="CA96" s="62" t="str">
        <f t="shared" si="42"/>
        <v/>
      </c>
      <c r="CD96" s="62" t="str">
        <f t="shared" si="43"/>
        <v/>
      </c>
    </row>
    <row r="97" spans="1:82" x14ac:dyDescent="0.3">
      <c r="A97" s="49" t="s">
        <v>260</v>
      </c>
      <c r="B97" s="49" t="s">
        <v>284</v>
      </c>
      <c r="F97" s="62" t="str">
        <f t="shared" si="22"/>
        <v/>
      </c>
      <c r="J97" s="62" t="str">
        <f t="shared" si="23"/>
        <v/>
      </c>
      <c r="N97" s="62" t="str">
        <f t="shared" si="24"/>
        <v/>
      </c>
      <c r="R97" s="62" t="str">
        <f t="shared" si="25"/>
        <v/>
      </c>
      <c r="V97" s="62" t="str">
        <f t="shared" si="26"/>
        <v/>
      </c>
      <c r="Z97" s="62" t="str">
        <f t="shared" si="27"/>
        <v/>
      </c>
      <c r="AC97" s="62" t="str">
        <f t="shared" si="28"/>
        <v/>
      </c>
      <c r="AG97" s="62" t="str">
        <f t="shared" si="29"/>
        <v/>
      </c>
      <c r="AJ97" s="62" t="str">
        <f t="shared" si="30"/>
        <v/>
      </c>
      <c r="AK97" s="44" t="s">
        <v>38</v>
      </c>
      <c r="AL97" s="44">
        <v>2500</v>
      </c>
      <c r="AM97" s="44">
        <v>735</v>
      </c>
      <c r="AN97" s="62">
        <f t="shared" si="31"/>
        <v>0.29399999999999998</v>
      </c>
      <c r="AO97" s="44" t="s">
        <v>38</v>
      </c>
      <c r="AP97" s="44">
        <v>3000</v>
      </c>
      <c r="AQ97" s="44">
        <v>937</v>
      </c>
      <c r="AR97" s="62">
        <f t="shared" si="32"/>
        <v>0.31233333333333335</v>
      </c>
      <c r="AV97" s="62" t="str">
        <f t="shared" si="33"/>
        <v/>
      </c>
      <c r="AY97" s="62" t="str">
        <f t="shared" si="34"/>
        <v/>
      </c>
      <c r="AZ97" s="44" t="s">
        <v>38</v>
      </c>
      <c r="BA97" s="44">
        <v>4000</v>
      </c>
      <c r="BB97" s="44">
        <v>1600</v>
      </c>
      <c r="BC97" s="62">
        <f t="shared" si="35"/>
        <v>0.4</v>
      </c>
      <c r="BD97" s="44">
        <v>500</v>
      </c>
      <c r="BE97" s="44">
        <v>233</v>
      </c>
      <c r="BF97" s="62">
        <f t="shared" si="36"/>
        <v>0.46600000000000003</v>
      </c>
      <c r="BJ97" s="62" t="str">
        <f t="shared" si="37"/>
        <v/>
      </c>
      <c r="BM97" s="62" t="str">
        <f t="shared" si="38"/>
        <v/>
      </c>
      <c r="BQ97" s="62" t="str">
        <f t="shared" si="39"/>
        <v/>
      </c>
      <c r="BT97" s="62" t="str">
        <f t="shared" si="40"/>
        <v/>
      </c>
      <c r="BW97" s="62" t="str">
        <f t="shared" si="41"/>
        <v/>
      </c>
      <c r="CA97" s="62" t="str">
        <f t="shared" si="42"/>
        <v/>
      </c>
      <c r="CD97" s="62" t="str">
        <f t="shared" si="43"/>
        <v/>
      </c>
    </row>
    <row r="98" spans="1:82" x14ac:dyDescent="0.3">
      <c r="A98" s="49" t="s">
        <v>262</v>
      </c>
      <c r="B98" s="49" t="s">
        <v>284</v>
      </c>
      <c r="F98" s="62" t="str">
        <f t="shared" si="22"/>
        <v/>
      </c>
      <c r="J98" s="62" t="str">
        <f t="shared" si="23"/>
        <v/>
      </c>
      <c r="N98" s="62" t="str">
        <f t="shared" si="24"/>
        <v/>
      </c>
      <c r="R98" s="62" t="str">
        <f t="shared" si="25"/>
        <v/>
      </c>
      <c r="V98" s="62" t="str">
        <f t="shared" si="26"/>
        <v/>
      </c>
      <c r="Z98" s="62" t="str">
        <f t="shared" si="27"/>
        <v/>
      </c>
      <c r="AC98" s="62" t="str">
        <f t="shared" si="28"/>
        <v/>
      </c>
      <c r="AG98" s="62" t="str">
        <f t="shared" si="29"/>
        <v/>
      </c>
      <c r="AJ98" s="62" t="str">
        <f t="shared" si="30"/>
        <v/>
      </c>
      <c r="AK98" s="44" t="s">
        <v>38</v>
      </c>
      <c r="AL98" s="44">
        <v>400</v>
      </c>
      <c r="AM98" s="44">
        <v>382</v>
      </c>
      <c r="AN98" s="62">
        <f t="shared" si="31"/>
        <v>0.95499999999999996</v>
      </c>
      <c r="AR98" s="62" t="str">
        <f t="shared" si="32"/>
        <v/>
      </c>
      <c r="AV98" s="62" t="str">
        <f t="shared" si="33"/>
        <v/>
      </c>
      <c r="AY98" s="62" t="str">
        <f t="shared" si="34"/>
        <v/>
      </c>
      <c r="BC98" s="62" t="str">
        <f t="shared" si="35"/>
        <v/>
      </c>
      <c r="BF98" s="62" t="str">
        <f t="shared" si="36"/>
        <v/>
      </c>
      <c r="BJ98" s="62" t="str">
        <f t="shared" si="37"/>
        <v/>
      </c>
      <c r="BM98" s="62" t="str">
        <f t="shared" si="38"/>
        <v/>
      </c>
      <c r="BQ98" s="62" t="str">
        <f t="shared" si="39"/>
        <v/>
      </c>
      <c r="BT98" s="62" t="str">
        <f t="shared" si="40"/>
        <v/>
      </c>
      <c r="BW98" s="62" t="str">
        <f t="shared" si="41"/>
        <v/>
      </c>
      <c r="CA98" s="62" t="str">
        <f t="shared" si="42"/>
        <v/>
      </c>
      <c r="CD98" s="62" t="str">
        <f t="shared" si="43"/>
        <v/>
      </c>
    </row>
    <row r="99" spans="1:82" x14ac:dyDescent="0.3">
      <c r="A99" s="49" t="s">
        <v>68</v>
      </c>
      <c r="B99" s="49" t="s">
        <v>284</v>
      </c>
      <c r="F99" s="62" t="str">
        <f t="shared" si="22"/>
        <v/>
      </c>
      <c r="J99" s="62" t="str">
        <f t="shared" si="23"/>
        <v/>
      </c>
      <c r="N99" s="62" t="str">
        <f t="shared" si="24"/>
        <v/>
      </c>
      <c r="R99" s="62" t="str">
        <f t="shared" si="25"/>
        <v/>
      </c>
      <c r="V99" s="62" t="str">
        <f t="shared" si="26"/>
        <v/>
      </c>
      <c r="Z99" s="62" t="str">
        <f t="shared" si="27"/>
        <v/>
      </c>
      <c r="AC99" s="62" t="str">
        <f t="shared" si="28"/>
        <v/>
      </c>
      <c r="AG99" s="62" t="str">
        <f t="shared" si="29"/>
        <v/>
      </c>
      <c r="AJ99" s="62" t="str">
        <f t="shared" si="30"/>
        <v/>
      </c>
      <c r="AN99" s="62" t="str">
        <f t="shared" si="31"/>
        <v/>
      </c>
      <c r="AO99" s="44" t="s">
        <v>38</v>
      </c>
      <c r="AP99" s="44">
        <v>167</v>
      </c>
      <c r="AQ99" s="44">
        <v>125</v>
      </c>
      <c r="AR99" s="62">
        <f t="shared" si="32"/>
        <v>0.74850299401197606</v>
      </c>
      <c r="AS99" s="44" t="s">
        <v>38</v>
      </c>
      <c r="AT99" s="44">
        <v>180</v>
      </c>
      <c r="AU99" s="44">
        <v>131</v>
      </c>
      <c r="AV99" s="62">
        <f t="shared" si="33"/>
        <v>0.72777777777777775</v>
      </c>
      <c r="AW99" s="44">
        <v>150</v>
      </c>
      <c r="AX99" s="44">
        <v>150</v>
      </c>
      <c r="AY99" s="62">
        <f t="shared" si="34"/>
        <v>1</v>
      </c>
      <c r="AZ99" s="44" t="s">
        <v>38</v>
      </c>
      <c r="BA99" s="44">
        <v>100</v>
      </c>
      <c r="BB99" s="44">
        <v>100</v>
      </c>
      <c r="BC99" s="62">
        <f t="shared" si="35"/>
        <v>1</v>
      </c>
      <c r="BD99" s="44">
        <v>80</v>
      </c>
      <c r="BE99" s="44">
        <v>80</v>
      </c>
      <c r="BF99" s="62">
        <f t="shared" si="36"/>
        <v>1</v>
      </c>
      <c r="BJ99" s="62" t="str">
        <f t="shared" si="37"/>
        <v/>
      </c>
      <c r="BM99" s="62" t="str">
        <f t="shared" si="38"/>
        <v/>
      </c>
      <c r="BQ99" s="62" t="str">
        <f t="shared" si="39"/>
        <v/>
      </c>
      <c r="BT99" s="62" t="str">
        <f t="shared" si="40"/>
        <v/>
      </c>
      <c r="BW99" s="62" t="str">
        <f t="shared" si="41"/>
        <v/>
      </c>
      <c r="CA99" s="62" t="str">
        <f t="shared" si="42"/>
        <v/>
      </c>
      <c r="CD99" s="62" t="str">
        <f t="shared" si="43"/>
        <v/>
      </c>
    </row>
    <row r="100" spans="1:82" x14ac:dyDescent="0.3">
      <c r="A100" s="49" t="s">
        <v>28</v>
      </c>
      <c r="B100" s="49" t="s">
        <v>104</v>
      </c>
      <c r="C100" s="44" t="s">
        <v>38</v>
      </c>
      <c r="D100" s="44">
        <v>7609</v>
      </c>
      <c r="E100" s="44">
        <v>6857</v>
      </c>
      <c r="F100" s="62">
        <f t="shared" si="22"/>
        <v>0.90116966749901428</v>
      </c>
      <c r="G100" s="44" t="s">
        <v>38</v>
      </c>
      <c r="H100" s="44">
        <v>6911</v>
      </c>
      <c r="I100" s="44">
        <v>6413</v>
      </c>
      <c r="J100" s="62">
        <f t="shared" si="23"/>
        <v>0.92794096368108814</v>
      </c>
      <c r="K100" s="44" t="s">
        <v>38</v>
      </c>
      <c r="L100" s="44">
        <v>10000</v>
      </c>
      <c r="M100" s="44">
        <v>11282</v>
      </c>
      <c r="N100" s="62">
        <f t="shared" si="24"/>
        <v>1.1282000000000001</v>
      </c>
      <c r="O100" s="44" t="s">
        <v>38</v>
      </c>
      <c r="P100" s="44">
        <v>6208</v>
      </c>
      <c r="Q100" s="44">
        <v>11462</v>
      </c>
      <c r="R100" s="62">
        <f t="shared" si="25"/>
        <v>1.8463273195876289</v>
      </c>
      <c r="S100" s="44" t="s">
        <v>38</v>
      </c>
      <c r="T100" s="44">
        <v>3960</v>
      </c>
      <c r="U100" s="44">
        <v>7071</v>
      </c>
      <c r="V100" s="62">
        <f t="shared" si="26"/>
        <v>1.7856060606060606</v>
      </c>
      <c r="W100" s="44" t="s">
        <v>38</v>
      </c>
      <c r="X100" s="44">
        <v>7040</v>
      </c>
      <c r="Y100" s="44">
        <v>9200</v>
      </c>
      <c r="Z100" s="62">
        <f t="shared" si="27"/>
        <v>1.3068181818181819</v>
      </c>
      <c r="AA100" s="44">
        <v>5266.5</v>
      </c>
      <c r="AB100" s="44">
        <v>6892</v>
      </c>
      <c r="AC100" s="62">
        <f t="shared" si="28"/>
        <v>1.3086490078799962</v>
      </c>
      <c r="AD100" s="44" t="s">
        <v>38</v>
      </c>
      <c r="AE100" s="44">
        <v>2050</v>
      </c>
      <c r="AF100" s="44">
        <v>2678</v>
      </c>
      <c r="AG100" s="62">
        <f t="shared" si="29"/>
        <v>1.3063414634146342</v>
      </c>
      <c r="AH100" s="54">
        <v>2300</v>
      </c>
      <c r="AI100" s="44">
        <v>2822</v>
      </c>
      <c r="AJ100" s="62">
        <f t="shared" si="30"/>
        <v>1.2269565217391305</v>
      </c>
      <c r="AN100" s="62" t="str">
        <f t="shared" si="31"/>
        <v/>
      </c>
      <c r="AO100" s="44" t="s">
        <v>38</v>
      </c>
      <c r="AP100" s="44">
        <v>2360</v>
      </c>
      <c r="AQ100" s="44">
        <v>2306</v>
      </c>
      <c r="AR100" s="62">
        <f t="shared" si="32"/>
        <v>0.97711864406779658</v>
      </c>
      <c r="AS100" s="44" t="s">
        <v>38</v>
      </c>
      <c r="AT100" s="44">
        <v>7550</v>
      </c>
      <c r="AU100" s="44">
        <v>3037</v>
      </c>
      <c r="AV100" s="62">
        <f t="shared" si="33"/>
        <v>0.40225165562913906</v>
      </c>
      <c r="AW100" s="44">
        <v>4150</v>
      </c>
      <c r="AX100" s="44">
        <v>5315</v>
      </c>
      <c r="AY100" s="62">
        <f t="shared" si="34"/>
        <v>1.280722891566265</v>
      </c>
      <c r="AZ100" s="44" t="s">
        <v>38</v>
      </c>
      <c r="BA100" s="44">
        <v>2900</v>
      </c>
      <c r="BB100" s="44">
        <v>3400</v>
      </c>
      <c r="BC100" s="62">
        <f t="shared" si="35"/>
        <v>1.1724137931034482</v>
      </c>
      <c r="BD100" s="44">
        <v>6050</v>
      </c>
      <c r="BE100" s="44">
        <v>6133</v>
      </c>
      <c r="BF100" s="62">
        <f t="shared" si="36"/>
        <v>1.0137190082644627</v>
      </c>
      <c r="BG100" s="44" t="s">
        <v>38</v>
      </c>
      <c r="BJ100" s="62" t="str">
        <f t="shared" si="37"/>
        <v/>
      </c>
      <c r="BK100" s="44">
        <v>2232</v>
      </c>
      <c r="BL100" s="44">
        <v>1486</v>
      </c>
      <c r="BM100" s="62">
        <f t="shared" si="38"/>
        <v>0.66577060931899645</v>
      </c>
      <c r="BN100" s="44" t="s">
        <v>38</v>
      </c>
      <c r="BO100" s="44">
        <v>1798</v>
      </c>
      <c r="BP100" s="44">
        <v>2625</v>
      </c>
      <c r="BQ100" s="62">
        <f t="shared" si="39"/>
        <v>1.4599555061179088</v>
      </c>
      <c r="BR100" s="44">
        <v>7982</v>
      </c>
      <c r="BS100" s="44">
        <v>2313</v>
      </c>
      <c r="BT100" s="62">
        <f t="shared" si="40"/>
        <v>0.28977699824605363</v>
      </c>
      <c r="BU100" s="44">
        <v>7144</v>
      </c>
      <c r="BV100" s="44">
        <v>1603</v>
      </c>
      <c r="BW100" s="62">
        <f t="shared" si="41"/>
        <v>0.22438409854423291</v>
      </c>
      <c r="BX100" s="44" t="s">
        <v>38</v>
      </c>
      <c r="BY100" s="44">
        <v>4610</v>
      </c>
      <c r="BZ100" s="44">
        <v>421</v>
      </c>
      <c r="CA100" s="62">
        <f t="shared" si="42"/>
        <v>9.1323210412147499E-2</v>
      </c>
      <c r="CB100" s="44">
        <v>6002</v>
      </c>
      <c r="CC100" s="44">
        <v>5119</v>
      </c>
      <c r="CD100" s="62">
        <f t="shared" si="43"/>
        <v>0.85288237254248589</v>
      </c>
    </row>
    <row r="101" spans="1:82" x14ac:dyDescent="0.3">
      <c r="A101" s="44" t="s">
        <v>73</v>
      </c>
      <c r="B101" s="49" t="s">
        <v>284</v>
      </c>
      <c r="F101" s="62" t="str">
        <f t="shared" si="22"/>
        <v/>
      </c>
      <c r="J101" s="62" t="str">
        <f t="shared" si="23"/>
        <v/>
      </c>
      <c r="N101" s="62" t="str">
        <f t="shared" si="24"/>
        <v/>
      </c>
      <c r="R101" s="62" t="str">
        <f t="shared" si="25"/>
        <v/>
      </c>
      <c r="V101" s="62" t="str">
        <f t="shared" si="26"/>
        <v/>
      </c>
      <c r="Z101" s="62" t="str">
        <f t="shared" si="27"/>
        <v/>
      </c>
      <c r="AC101" s="62" t="str">
        <f t="shared" si="28"/>
        <v/>
      </c>
      <c r="AG101" s="62" t="str">
        <f t="shared" si="29"/>
        <v/>
      </c>
      <c r="AH101" s="32"/>
      <c r="AJ101" s="62" t="str">
        <f t="shared" si="30"/>
        <v/>
      </c>
      <c r="AN101" s="62" t="str">
        <f t="shared" si="31"/>
        <v/>
      </c>
      <c r="AR101" s="62" t="str">
        <f t="shared" si="32"/>
        <v/>
      </c>
      <c r="AV101" s="62" t="str">
        <f t="shared" si="33"/>
        <v/>
      </c>
      <c r="AY101" s="62" t="str">
        <f t="shared" si="34"/>
        <v/>
      </c>
      <c r="BC101" s="62" t="str">
        <f t="shared" si="35"/>
        <v/>
      </c>
      <c r="BF101" s="62" t="str">
        <f t="shared" si="36"/>
        <v/>
      </c>
      <c r="BJ101" s="62" t="str">
        <f t="shared" si="37"/>
        <v/>
      </c>
      <c r="BM101" s="62" t="str">
        <f t="shared" si="38"/>
        <v/>
      </c>
      <c r="BN101" s="44" t="s">
        <v>38</v>
      </c>
      <c r="BQ101" s="62" t="str">
        <f t="shared" si="39"/>
        <v/>
      </c>
      <c r="BR101" s="44">
        <v>11.5</v>
      </c>
      <c r="BS101" s="44">
        <v>10</v>
      </c>
      <c r="BT101" s="62">
        <f t="shared" si="40"/>
        <v>0.86956521739130432</v>
      </c>
      <c r="BU101" s="44">
        <v>70</v>
      </c>
      <c r="BV101" s="44">
        <v>32</v>
      </c>
      <c r="BW101" s="62">
        <f t="shared" si="41"/>
        <v>0.45714285714285713</v>
      </c>
      <c r="BX101" s="44" t="s">
        <v>38</v>
      </c>
      <c r="BY101" s="44">
        <v>97</v>
      </c>
      <c r="BZ101" s="44">
        <v>38</v>
      </c>
      <c r="CA101" s="62">
        <f t="shared" si="42"/>
        <v>0.39175257731958762</v>
      </c>
      <c r="CB101" s="44">
        <v>214</v>
      </c>
      <c r="CC101" s="44">
        <v>68</v>
      </c>
      <c r="CD101" s="62">
        <f t="shared" si="43"/>
        <v>0.31775700934579437</v>
      </c>
    </row>
    <row r="102" spans="1:82" x14ac:dyDescent="0.3">
      <c r="A102" s="49" t="s">
        <v>29</v>
      </c>
      <c r="B102" s="49" t="s">
        <v>284</v>
      </c>
      <c r="F102" s="62" t="str">
        <f t="shared" si="22"/>
        <v/>
      </c>
      <c r="J102" s="62" t="str">
        <f t="shared" si="23"/>
        <v/>
      </c>
      <c r="N102" s="62" t="str">
        <f t="shared" si="24"/>
        <v/>
      </c>
      <c r="R102" s="62" t="str">
        <f t="shared" si="25"/>
        <v/>
      </c>
      <c r="V102" s="62" t="str">
        <f t="shared" si="26"/>
        <v/>
      </c>
      <c r="Z102" s="62" t="str">
        <f t="shared" si="27"/>
        <v/>
      </c>
      <c r="AC102" s="62" t="str">
        <f t="shared" si="28"/>
        <v/>
      </c>
      <c r="AG102" s="62" t="str">
        <f t="shared" si="29"/>
        <v/>
      </c>
      <c r="AH102" s="32"/>
      <c r="AJ102" s="62" t="str">
        <f t="shared" si="30"/>
        <v/>
      </c>
      <c r="AN102" s="62" t="str">
        <f t="shared" si="31"/>
        <v/>
      </c>
      <c r="AO102" s="44" t="s">
        <v>42</v>
      </c>
      <c r="AP102" s="44">
        <v>350</v>
      </c>
      <c r="AQ102" s="44">
        <v>219</v>
      </c>
      <c r="AR102" s="62">
        <f t="shared" si="32"/>
        <v>0.62571428571428567</v>
      </c>
      <c r="AS102" s="44" t="s">
        <v>42</v>
      </c>
      <c r="AT102" s="44">
        <v>240</v>
      </c>
      <c r="AU102" s="44">
        <v>150</v>
      </c>
      <c r="AV102" s="62">
        <f t="shared" si="33"/>
        <v>0.625</v>
      </c>
      <c r="AW102" s="44">
        <v>249</v>
      </c>
      <c r="AX102" s="44">
        <v>166</v>
      </c>
      <c r="AY102" s="62">
        <f t="shared" si="34"/>
        <v>0.66666666666666663</v>
      </c>
      <c r="AZ102" s="44" t="s">
        <v>42</v>
      </c>
      <c r="BA102" s="44">
        <v>175</v>
      </c>
      <c r="BB102" s="44">
        <v>117</v>
      </c>
      <c r="BC102" s="62">
        <f t="shared" si="35"/>
        <v>0.66857142857142859</v>
      </c>
      <c r="BD102" s="44">
        <v>430</v>
      </c>
      <c r="BE102" s="44">
        <v>287</v>
      </c>
      <c r="BF102" s="62">
        <f t="shared" si="36"/>
        <v>0.66744186046511633</v>
      </c>
      <c r="BJ102" s="62" t="str">
        <f t="shared" si="37"/>
        <v/>
      </c>
      <c r="BM102" s="62" t="str">
        <f t="shared" si="38"/>
        <v/>
      </c>
      <c r="BQ102" s="62" t="str">
        <f t="shared" si="39"/>
        <v/>
      </c>
      <c r="BT102" s="62" t="str">
        <f t="shared" si="40"/>
        <v/>
      </c>
      <c r="BW102" s="62" t="str">
        <f t="shared" si="41"/>
        <v/>
      </c>
      <c r="CA102" s="62" t="str">
        <f t="shared" si="42"/>
        <v/>
      </c>
      <c r="CD102" s="62" t="str">
        <f t="shared" si="43"/>
        <v/>
      </c>
    </row>
    <row r="103" spans="1:82" x14ac:dyDescent="0.3">
      <c r="A103" s="49" t="s">
        <v>184</v>
      </c>
      <c r="B103" s="49" t="s">
        <v>292</v>
      </c>
      <c r="C103" s="44" t="s">
        <v>35</v>
      </c>
      <c r="D103" s="44">
        <v>367</v>
      </c>
      <c r="E103" s="44">
        <v>1756</v>
      </c>
      <c r="F103" s="62">
        <f t="shared" si="22"/>
        <v>4.784741144414169</v>
      </c>
      <c r="G103" s="44" t="s">
        <v>35</v>
      </c>
      <c r="H103" s="44">
        <v>3150</v>
      </c>
      <c r="I103" s="44">
        <v>1458</v>
      </c>
      <c r="J103" s="62">
        <f t="shared" si="23"/>
        <v>0.46285714285714286</v>
      </c>
      <c r="N103" s="62" t="str">
        <f t="shared" si="24"/>
        <v/>
      </c>
      <c r="O103" s="44" t="s">
        <v>42</v>
      </c>
      <c r="R103" s="62" t="str">
        <f t="shared" si="25"/>
        <v/>
      </c>
      <c r="S103" s="44" t="s">
        <v>42</v>
      </c>
      <c r="T103" s="44">
        <v>1100</v>
      </c>
      <c r="U103" s="44">
        <v>786</v>
      </c>
      <c r="V103" s="62">
        <f t="shared" si="26"/>
        <v>0.71454545454545459</v>
      </c>
      <c r="W103" s="44" t="s">
        <v>42</v>
      </c>
      <c r="X103" s="44">
        <v>1000</v>
      </c>
      <c r="Y103" s="44">
        <v>625</v>
      </c>
      <c r="Z103" s="62">
        <f t="shared" si="27"/>
        <v>0.625</v>
      </c>
      <c r="AC103" s="62" t="str">
        <f t="shared" si="28"/>
        <v/>
      </c>
      <c r="AG103" s="62" t="str">
        <f t="shared" si="29"/>
        <v/>
      </c>
      <c r="AJ103" s="62" t="str">
        <f t="shared" si="30"/>
        <v/>
      </c>
      <c r="AN103" s="62" t="str">
        <f t="shared" si="31"/>
        <v/>
      </c>
      <c r="AR103" s="62" t="str">
        <f t="shared" si="32"/>
        <v/>
      </c>
      <c r="AV103" s="62" t="str">
        <f t="shared" si="33"/>
        <v/>
      </c>
      <c r="AY103" s="62" t="str">
        <f t="shared" si="34"/>
        <v/>
      </c>
      <c r="BC103" s="62" t="str">
        <f t="shared" si="35"/>
        <v/>
      </c>
      <c r="BF103" s="62" t="str">
        <f t="shared" si="36"/>
        <v/>
      </c>
      <c r="BJ103" s="62" t="str">
        <f t="shared" si="37"/>
        <v/>
      </c>
      <c r="BM103" s="62" t="str">
        <f t="shared" si="38"/>
        <v/>
      </c>
      <c r="BQ103" s="62" t="str">
        <f t="shared" si="39"/>
        <v/>
      </c>
      <c r="BT103" s="62" t="str">
        <f t="shared" si="40"/>
        <v/>
      </c>
      <c r="BW103" s="62" t="str">
        <f t="shared" si="41"/>
        <v/>
      </c>
      <c r="CA103" s="62" t="str">
        <f t="shared" si="42"/>
        <v/>
      </c>
      <c r="CD103" s="62" t="str">
        <f t="shared" si="43"/>
        <v/>
      </c>
    </row>
    <row r="104" spans="1:82" x14ac:dyDescent="0.3">
      <c r="A104" s="49" t="s">
        <v>348</v>
      </c>
      <c r="B104" s="49" t="s">
        <v>284</v>
      </c>
      <c r="F104" s="62" t="str">
        <f t="shared" si="22"/>
        <v/>
      </c>
      <c r="J104" s="62" t="str">
        <f t="shared" si="23"/>
        <v/>
      </c>
      <c r="N104" s="62" t="str">
        <f t="shared" si="24"/>
        <v/>
      </c>
      <c r="R104" s="62" t="str">
        <f t="shared" si="25"/>
        <v/>
      </c>
      <c r="V104" s="62" t="str">
        <f t="shared" si="26"/>
        <v/>
      </c>
      <c r="Z104" s="62" t="str">
        <f t="shared" si="27"/>
        <v/>
      </c>
      <c r="AC104" s="62" t="str">
        <f t="shared" si="28"/>
        <v/>
      </c>
      <c r="AG104" s="62" t="str">
        <f t="shared" si="29"/>
        <v/>
      </c>
      <c r="AJ104" s="62" t="str">
        <f t="shared" si="30"/>
        <v/>
      </c>
      <c r="AN104" s="62" t="str">
        <f t="shared" si="31"/>
        <v/>
      </c>
      <c r="AO104" s="44" t="s">
        <v>35</v>
      </c>
      <c r="AP104" s="54">
        <v>230</v>
      </c>
      <c r="AQ104" s="54">
        <v>719</v>
      </c>
      <c r="AR104" s="62">
        <f t="shared" si="32"/>
        <v>3.1260869565217391</v>
      </c>
      <c r="AV104" s="62" t="str">
        <f t="shared" si="33"/>
        <v/>
      </c>
      <c r="AY104" s="62" t="str">
        <f t="shared" si="34"/>
        <v/>
      </c>
      <c r="BC104" s="62" t="str">
        <f t="shared" si="35"/>
        <v/>
      </c>
      <c r="BF104" s="62" t="str">
        <f t="shared" si="36"/>
        <v/>
      </c>
      <c r="BJ104" s="62" t="str">
        <f t="shared" si="37"/>
        <v/>
      </c>
      <c r="BM104" s="62" t="str">
        <f t="shared" si="38"/>
        <v/>
      </c>
      <c r="BN104" s="44" t="s">
        <v>38</v>
      </c>
      <c r="BQ104" s="62" t="str">
        <f t="shared" si="39"/>
        <v/>
      </c>
      <c r="BT104" s="62" t="str">
        <f t="shared" si="40"/>
        <v/>
      </c>
      <c r="BU104" s="44">
        <v>0.75</v>
      </c>
      <c r="BV104" s="44">
        <v>182</v>
      </c>
      <c r="BW104" s="62">
        <f t="shared" si="41"/>
        <v>242.66666666666666</v>
      </c>
      <c r="BX104" s="44" t="s">
        <v>38</v>
      </c>
      <c r="BY104" s="44">
        <v>2.5</v>
      </c>
      <c r="BZ104" s="44">
        <v>60</v>
      </c>
      <c r="CA104" s="62">
        <f t="shared" si="42"/>
        <v>24</v>
      </c>
      <c r="CB104" s="44">
        <v>1</v>
      </c>
      <c r="CC104" s="44">
        <v>60</v>
      </c>
      <c r="CD104" s="62">
        <f t="shared" si="43"/>
        <v>60</v>
      </c>
    </row>
    <row r="105" spans="1:82" x14ac:dyDescent="0.3">
      <c r="A105" s="49" t="s">
        <v>349</v>
      </c>
      <c r="B105" s="49" t="s">
        <v>284</v>
      </c>
      <c r="F105" s="62" t="str">
        <f t="shared" si="22"/>
        <v/>
      </c>
      <c r="J105" s="62" t="str">
        <f t="shared" si="23"/>
        <v/>
      </c>
      <c r="N105" s="62" t="str">
        <f t="shared" si="24"/>
        <v/>
      </c>
      <c r="R105" s="62" t="str">
        <f t="shared" si="25"/>
        <v/>
      </c>
      <c r="V105" s="62" t="str">
        <f t="shared" si="26"/>
        <v/>
      </c>
      <c r="Z105" s="62" t="str">
        <f t="shared" si="27"/>
        <v/>
      </c>
      <c r="AC105" s="62" t="str">
        <f t="shared" si="28"/>
        <v/>
      </c>
      <c r="AG105" s="62" t="str">
        <f t="shared" si="29"/>
        <v/>
      </c>
      <c r="AJ105" s="62" t="str">
        <f t="shared" si="30"/>
        <v/>
      </c>
      <c r="AN105" s="62" t="str">
        <f t="shared" si="31"/>
        <v/>
      </c>
      <c r="AP105" s="32"/>
      <c r="AQ105" s="32"/>
      <c r="AR105" s="62" t="str">
        <f t="shared" si="32"/>
        <v/>
      </c>
      <c r="AV105" s="62" t="str">
        <f t="shared" si="33"/>
        <v/>
      </c>
      <c r="AY105" s="62" t="str">
        <f t="shared" si="34"/>
        <v/>
      </c>
      <c r="BC105" s="62" t="str">
        <f t="shared" si="35"/>
        <v/>
      </c>
      <c r="BF105" s="62" t="str">
        <f t="shared" si="36"/>
        <v/>
      </c>
      <c r="BJ105" s="62" t="str">
        <f t="shared" si="37"/>
        <v/>
      </c>
      <c r="BM105" s="62" t="str">
        <f t="shared" si="38"/>
        <v/>
      </c>
      <c r="BQ105" s="62" t="str">
        <f t="shared" si="39"/>
        <v/>
      </c>
      <c r="BT105" s="62" t="str">
        <f t="shared" si="40"/>
        <v/>
      </c>
      <c r="BW105" s="62" t="str">
        <f t="shared" si="41"/>
        <v/>
      </c>
      <c r="BX105" s="44" t="s">
        <v>38</v>
      </c>
      <c r="BY105" s="44">
        <v>0.75</v>
      </c>
      <c r="BZ105" s="44">
        <v>32</v>
      </c>
      <c r="CA105" s="62">
        <f t="shared" si="42"/>
        <v>42.666666666666664</v>
      </c>
      <c r="CD105" s="62" t="str">
        <f t="shared" si="43"/>
        <v/>
      </c>
    </row>
    <row r="106" spans="1:82" x14ac:dyDescent="0.3">
      <c r="A106" s="49" t="s">
        <v>50</v>
      </c>
      <c r="B106" s="49" t="s">
        <v>284</v>
      </c>
      <c r="F106" s="62" t="str">
        <f t="shared" si="22"/>
        <v/>
      </c>
      <c r="J106" s="62" t="str">
        <f t="shared" si="23"/>
        <v/>
      </c>
      <c r="N106" s="62" t="str">
        <f t="shared" si="24"/>
        <v/>
      </c>
      <c r="R106" s="62" t="str">
        <f t="shared" si="25"/>
        <v/>
      </c>
      <c r="V106" s="62" t="str">
        <f t="shared" si="26"/>
        <v/>
      </c>
      <c r="Z106" s="62" t="str">
        <f t="shared" si="27"/>
        <v/>
      </c>
      <c r="AC106" s="62" t="str">
        <f t="shared" si="28"/>
        <v/>
      </c>
      <c r="AG106" s="62" t="str">
        <f t="shared" si="29"/>
        <v/>
      </c>
      <c r="AJ106" s="62" t="str">
        <f t="shared" si="30"/>
        <v/>
      </c>
      <c r="AN106" s="62" t="str">
        <f t="shared" si="31"/>
        <v/>
      </c>
      <c r="AP106" s="32"/>
      <c r="AQ106" s="32"/>
      <c r="AR106" s="62" t="str">
        <f t="shared" si="32"/>
        <v/>
      </c>
      <c r="AV106" s="62" t="str">
        <f t="shared" si="33"/>
        <v/>
      </c>
      <c r="AY106" s="62" t="str">
        <f t="shared" si="34"/>
        <v/>
      </c>
      <c r="BC106" s="62" t="str">
        <f t="shared" si="35"/>
        <v/>
      </c>
      <c r="BF106" s="62" t="str">
        <f t="shared" si="36"/>
        <v/>
      </c>
      <c r="BG106" s="44" t="s">
        <v>38</v>
      </c>
      <c r="BH106" s="44">
        <v>2</v>
      </c>
      <c r="BI106" s="44">
        <v>2</v>
      </c>
      <c r="BJ106" s="62">
        <f t="shared" si="37"/>
        <v>1</v>
      </c>
      <c r="BM106" s="62" t="str">
        <f t="shared" si="38"/>
        <v/>
      </c>
      <c r="BN106" s="44" t="s">
        <v>38</v>
      </c>
      <c r="BQ106" s="62" t="str">
        <f t="shared" si="39"/>
        <v/>
      </c>
      <c r="BR106" s="44">
        <v>42.5</v>
      </c>
      <c r="BS106" s="44">
        <v>13</v>
      </c>
      <c r="BT106" s="62">
        <f t="shared" si="40"/>
        <v>0.30588235294117649</v>
      </c>
      <c r="BU106" s="44">
        <v>7</v>
      </c>
      <c r="BV106" s="44">
        <v>6</v>
      </c>
      <c r="BW106" s="62">
        <f t="shared" si="41"/>
        <v>0.8571428571428571</v>
      </c>
      <c r="BX106" s="44" t="s">
        <v>38</v>
      </c>
      <c r="BY106" s="44">
        <v>9</v>
      </c>
      <c r="BZ106" s="44">
        <v>21</v>
      </c>
      <c r="CA106" s="62">
        <f t="shared" si="42"/>
        <v>2.3333333333333335</v>
      </c>
      <c r="CB106" s="44">
        <v>6.5</v>
      </c>
      <c r="CC106" s="44">
        <v>10</v>
      </c>
      <c r="CD106" s="62">
        <f t="shared" si="43"/>
        <v>1.5384615384615385</v>
      </c>
    </row>
    <row r="107" spans="1:82" x14ac:dyDescent="0.3">
      <c r="A107" s="49" t="s">
        <v>30</v>
      </c>
      <c r="B107" s="49" t="s">
        <v>104</v>
      </c>
      <c r="C107" s="44" t="s">
        <v>38</v>
      </c>
      <c r="D107" s="44">
        <v>1817</v>
      </c>
      <c r="E107" s="44">
        <v>4000</v>
      </c>
      <c r="F107" s="62">
        <f t="shared" si="22"/>
        <v>2.2014309301045678</v>
      </c>
      <c r="G107" s="44" t="s">
        <v>38</v>
      </c>
      <c r="H107" s="44">
        <v>3220</v>
      </c>
      <c r="I107" s="44">
        <v>4287</v>
      </c>
      <c r="J107" s="62">
        <f t="shared" si="23"/>
        <v>1.3313664596273291</v>
      </c>
      <c r="K107" s="44" t="s">
        <v>38</v>
      </c>
      <c r="L107" s="44">
        <v>2067</v>
      </c>
      <c r="M107" s="44">
        <v>4239</v>
      </c>
      <c r="N107" s="62">
        <f t="shared" si="24"/>
        <v>2.0507982583454281</v>
      </c>
      <c r="O107" s="44" t="s">
        <v>38</v>
      </c>
      <c r="P107" s="44">
        <v>2000</v>
      </c>
      <c r="Q107" s="44">
        <v>4615</v>
      </c>
      <c r="R107" s="62">
        <f t="shared" si="25"/>
        <v>2.3075000000000001</v>
      </c>
      <c r="S107" s="44" t="s">
        <v>38</v>
      </c>
      <c r="T107" s="44">
        <v>3080</v>
      </c>
      <c r="U107" s="44">
        <v>5500</v>
      </c>
      <c r="V107" s="62">
        <f t="shared" si="26"/>
        <v>1.7857142857142858</v>
      </c>
      <c r="W107" s="44" t="s">
        <v>38</v>
      </c>
      <c r="X107" s="44">
        <v>2800</v>
      </c>
      <c r="Y107" s="44">
        <v>4406</v>
      </c>
      <c r="Z107" s="62">
        <f t="shared" si="27"/>
        <v>1.5735714285714286</v>
      </c>
      <c r="AA107" s="44">
        <v>2540</v>
      </c>
      <c r="AB107" s="44">
        <v>3908</v>
      </c>
      <c r="AC107" s="62">
        <f t="shared" si="28"/>
        <v>1.5385826771653544</v>
      </c>
      <c r="AD107" s="44" t="s">
        <v>38</v>
      </c>
      <c r="AE107" s="44">
        <v>2380</v>
      </c>
      <c r="AF107" s="44">
        <v>3306</v>
      </c>
      <c r="AG107" s="62">
        <f t="shared" si="29"/>
        <v>1.3890756302521008</v>
      </c>
      <c r="AH107" s="44">
        <v>1840</v>
      </c>
      <c r="AI107" s="44">
        <v>2555</v>
      </c>
      <c r="AJ107" s="62">
        <f t="shared" si="30"/>
        <v>1.388586956521739</v>
      </c>
      <c r="AK107" s="44" t="s">
        <v>38</v>
      </c>
      <c r="AL107" s="44">
        <v>488</v>
      </c>
      <c r="AM107" s="44">
        <v>559</v>
      </c>
      <c r="AN107" s="62">
        <f t="shared" si="31"/>
        <v>1.1454918032786885</v>
      </c>
      <c r="AO107" s="44" t="s">
        <v>38</v>
      </c>
      <c r="AP107" s="44">
        <v>1100</v>
      </c>
      <c r="AQ107" s="44">
        <v>1375</v>
      </c>
      <c r="AR107" s="62">
        <f t="shared" si="32"/>
        <v>1.25</v>
      </c>
      <c r="AS107" s="44" t="s">
        <v>38</v>
      </c>
      <c r="AT107" s="44">
        <v>1550</v>
      </c>
      <c r="AU107" s="44">
        <v>1938</v>
      </c>
      <c r="AV107" s="62">
        <f t="shared" si="33"/>
        <v>1.2503225806451612</v>
      </c>
      <c r="AW107" s="44">
        <v>660</v>
      </c>
      <c r="AX107" s="44">
        <v>1320</v>
      </c>
      <c r="AY107" s="62">
        <f t="shared" si="34"/>
        <v>2</v>
      </c>
      <c r="AZ107" s="44" t="s">
        <v>38</v>
      </c>
      <c r="BA107" s="44">
        <v>380</v>
      </c>
      <c r="BB107" s="44">
        <v>760</v>
      </c>
      <c r="BC107" s="62">
        <f t="shared" si="35"/>
        <v>2</v>
      </c>
      <c r="BD107" s="44">
        <v>1085</v>
      </c>
      <c r="BE107" s="44">
        <v>1503</v>
      </c>
      <c r="BF107" s="62">
        <f t="shared" si="36"/>
        <v>1.3852534562211982</v>
      </c>
      <c r="BG107" s="44" t="s">
        <v>38</v>
      </c>
      <c r="BJ107" s="62" t="str">
        <f t="shared" si="37"/>
        <v/>
      </c>
      <c r="BK107" s="44">
        <v>942</v>
      </c>
      <c r="BL107" s="44">
        <v>782</v>
      </c>
      <c r="BM107" s="62">
        <f t="shared" si="38"/>
        <v>0.83014861995753719</v>
      </c>
      <c r="BN107" s="44" t="s">
        <v>38</v>
      </c>
      <c r="BO107" s="44">
        <v>712</v>
      </c>
      <c r="BP107" s="44">
        <v>818</v>
      </c>
      <c r="BQ107" s="62">
        <f t="shared" si="39"/>
        <v>1.148876404494382</v>
      </c>
      <c r="BR107" s="44">
        <v>776.5</v>
      </c>
      <c r="BS107" s="44">
        <v>771</v>
      </c>
      <c r="BT107" s="62">
        <f t="shared" si="40"/>
        <v>0.99291693496458466</v>
      </c>
      <c r="BU107" s="44">
        <v>217</v>
      </c>
      <c r="BV107" s="44">
        <v>303</v>
      </c>
      <c r="BW107" s="62">
        <f t="shared" si="41"/>
        <v>1.3963133640552996</v>
      </c>
      <c r="BX107" s="44" t="s">
        <v>38</v>
      </c>
      <c r="BY107" s="44">
        <v>146.75</v>
      </c>
      <c r="BZ107" s="44">
        <v>184.5</v>
      </c>
      <c r="CA107" s="62">
        <f t="shared" si="42"/>
        <v>1.2572402044293016</v>
      </c>
      <c r="CB107" s="44">
        <v>176</v>
      </c>
      <c r="CC107" s="44">
        <v>165</v>
      </c>
      <c r="CD107" s="62">
        <f t="shared" si="43"/>
        <v>0.9375</v>
      </c>
    </row>
    <row r="108" spans="1:82" x14ac:dyDescent="0.3">
      <c r="A108" s="49" t="s">
        <v>51</v>
      </c>
      <c r="B108" s="49" t="s">
        <v>284</v>
      </c>
      <c r="F108" s="62" t="str">
        <f t="shared" si="22"/>
        <v/>
      </c>
      <c r="J108" s="62" t="str">
        <f t="shared" si="23"/>
        <v/>
      </c>
      <c r="N108" s="62" t="str">
        <f t="shared" si="24"/>
        <v/>
      </c>
      <c r="R108" s="62" t="str">
        <f t="shared" si="25"/>
        <v/>
      </c>
      <c r="V108" s="62" t="str">
        <f t="shared" si="26"/>
        <v/>
      </c>
      <c r="Z108" s="62" t="str">
        <f t="shared" si="27"/>
        <v/>
      </c>
      <c r="AC108" s="62" t="str">
        <f t="shared" si="28"/>
        <v/>
      </c>
      <c r="AG108" s="62" t="str">
        <f t="shared" si="29"/>
        <v/>
      </c>
      <c r="AJ108" s="62" t="str">
        <f t="shared" si="30"/>
        <v/>
      </c>
      <c r="AN108" s="62" t="str">
        <f t="shared" si="31"/>
        <v/>
      </c>
      <c r="AR108" s="62" t="str">
        <f t="shared" si="32"/>
        <v/>
      </c>
      <c r="AV108" s="62" t="str">
        <f t="shared" si="33"/>
        <v/>
      </c>
      <c r="AY108" s="62" t="str">
        <f t="shared" si="34"/>
        <v/>
      </c>
      <c r="BC108" s="62" t="str">
        <f t="shared" si="35"/>
        <v/>
      </c>
      <c r="BF108" s="62" t="str">
        <f t="shared" si="36"/>
        <v/>
      </c>
      <c r="BJ108" s="62" t="str">
        <f t="shared" si="37"/>
        <v/>
      </c>
      <c r="BM108" s="62" t="str">
        <f t="shared" si="38"/>
        <v/>
      </c>
      <c r="BN108" s="44" t="s">
        <v>38</v>
      </c>
      <c r="BQ108" s="62" t="str">
        <f t="shared" si="39"/>
        <v/>
      </c>
      <c r="BR108" s="44">
        <v>1.3</v>
      </c>
      <c r="BS108" s="44">
        <v>4</v>
      </c>
      <c r="BT108" s="62">
        <f t="shared" si="40"/>
        <v>3.0769230769230766</v>
      </c>
      <c r="BW108" s="62" t="str">
        <f t="shared" si="41"/>
        <v/>
      </c>
      <c r="CA108" s="62" t="str">
        <f t="shared" si="42"/>
        <v/>
      </c>
      <c r="CD108" s="62" t="str">
        <f t="shared" si="43"/>
        <v/>
      </c>
    </row>
    <row r="109" spans="1:82" x14ac:dyDescent="0.3">
      <c r="A109" s="49" t="s">
        <v>268</v>
      </c>
      <c r="B109" s="49" t="s">
        <v>284</v>
      </c>
      <c r="F109" s="62" t="str">
        <f t="shared" si="22"/>
        <v/>
      </c>
      <c r="J109" s="62" t="str">
        <f t="shared" si="23"/>
        <v/>
      </c>
      <c r="K109" s="44" t="s">
        <v>38</v>
      </c>
      <c r="L109" s="44">
        <v>409</v>
      </c>
      <c r="M109" s="44">
        <v>670</v>
      </c>
      <c r="N109" s="62">
        <f t="shared" si="24"/>
        <v>1.6381418092909537</v>
      </c>
      <c r="O109" s="44" t="s">
        <v>38</v>
      </c>
      <c r="P109" s="44">
        <v>700</v>
      </c>
      <c r="Q109" s="44">
        <v>1077</v>
      </c>
      <c r="R109" s="62">
        <f t="shared" si="25"/>
        <v>1.5385714285714285</v>
      </c>
      <c r="S109" s="44" t="s">
        <v>38</v>
      </c>
      <c r="T109" s="44">
        <v>783</v>
      </c>
      <c r="U109" s="44">
        <v>839</v>
      </c>
      <c r="V109" s="62">
        <f t="shared" si="26"/>
        <v>1.0715197956577267</v>
      </c>
      <c r="W109" s="44" t="s">
        <v>38</v>
      </c>
      <c r="X109" s="44">
        <v>650</v>
      </c>
      <c r="Y109" s="44">
        <v>731</v>
      </c>
      <c r="Z109" s="62">
        <f t="shared" si="27"/>
        <v>1.1246153846153846</v>
      </c>
      <c r="AA109" s="44">
        <v>476</v>
      </c>
      <c r="AB109" s="44">
        <v>615</v>
      </c>
      <c r="AC109" s="62">
        <f t="shared" si="28"/>
        <v>1.2920168067226891</v>
      </c>
      <c r="AD109" s="44" t="s">
        <v>38</v>
      </c>
      <c r="AE109" s="44">
        <v>500</v>
      </c>
      <c r="AF109" s="44">
        <v>556</v>
      </c>
      <c r="AG109" s="62">
        <f t="shared" si="29"/>
        <v>1.1120000000000001</v>
      </c>
      <c r="AJ109" s="62" t="str">
        <f t="shared" si="30"/>
        <v/>
      </c>
      <c r="AN109" s="62" t="str">
        <f t="shared" si="31"/>
        <v/>
      </c>
      <c r="AR109" s="62" t="str">
        <f t="shared" si="32"/>
        <v/>
      </c>
      <c r="AV109" s="62" t="str">
        <f t="shared" si="33"/>
        <v/>
      </c>
      <c r="AY109" s="62" t="str">
        <f t="shared" si="34"/>
        <v/>
      </c>
      <c r="BC109" s="62" t="str">
        <f t="shared" si="35"/>
        <v/>
      </c>
      <c r="BF109" s="62" t="str">
        <f t="shared" si="36"/>
        <v/>
      </c>
      <c r="BJ109" s="62" t="str">
        <f t="shared" si="37"/>
        <v/>
      </c>
      <c r="BM109" s="62" t="str">
        <f t="shared" si="38"/>
        <v/>
      </c>
      <c r="BQ109" s="62" t="str">
        <f t="shared" si="39"/>
        <v/>
      </c>
      <c r="BT109" s="62" t="str">
        <f t="shared" si="40"/>
        <v/>
      </c>
      <c r="BW109" s="62" t="str">
        <f t="shared" si="41"/>
        <v/>
      </c>
      <c r="CA109" s="62" t="str">
        <f t="shared" si="42"/>
        <v/>
      </c>
      <c r="CD109" s="62" t="str">
        <f t="shared" si="43"/>
        <v/>
      </c>
    </row>
    <row r="110" spans="1:82" x14ac:dyDescent="0.3">
      <c r="A110" s="49" t="s">
        <v>266</v>
      </c>
      <c r="B110" s="49" t="s">
        <v>104</v>
      </c>
      <c r="C110" s="44" t="s">
        <v>38</v>
      </c>
      <c r="D110" s="44">
        <v>2295</v>
      </c>
      <c r="E110" s="44">
        <v>2564</v>
      </c>
      <c r="F110" s="62">
        <f t="shared" si="22"/>
        <v>1.1172113289760348</v>
      </c>
      <c r="G110" s="44" t="s">
        <v>38</v>
      </c>
      <c r="H110" s="44">
        <v>482</v>
      </c>
      <c r="I110" s="44">
        <v>648</v>
      </c>
      <c r="J110" s="62">
        <f t="shared" si="23"/>
        <v>1.3443983402489628</v>
      </c>
      <c r="K110" s="44" t="s">
        <v>38</v>
      </c>
      <c r="L110" s="44">
        <v>1386</v>
      </c>
      <c r="M110" s="44">
        <v>1706</v>
      </c>
      <c r="N110" s="62">
        <f t="shared" si="24"/>
        <v>1.2308802308802309</v>
      </c>
      <c r="O110" s="44" t="s">
        <v>38</v>
      </c>
      <c r="P110" s="44">
        <v>5000</v>
      </c>
      <c r="Q110" s="44">
        <v>5808</v>
      </c>
      <c r="R110" s="62">
        <f t="shared" si="25"/>
        <v>1.1616</v>
      </c>
      <c r="S110" s="44" t="s">
        <v>38</v>
      </c>
      <c r="T110" s="44">
        <v>5500</v>
      </c>
      <c r="U110" s="44">
        <v>5893</v>
      </c>
      <c r="V110" s="62">
        <f t="shared" si="26"/>
        <v>1.0714545454545454</v>
      </c>
      <c r="W110" s="44" t="s">
        <v>38</v>
      </c>
      <c r="Z110" s="62" t="str">
        <f t="shared" si="27"/>
        <v/>
      </c>
      <c r="AA110" s="44">
        <v>476</v>
      </c>
      <c r="AB110" s="44">
        <v>615</v>
      </c>
      <c r="AC110" s="62">
        <f t="shared" si="28"/>
        <v>1.2920168067226891</v>
      </c>
      <c r="AD110" s="44" t="s">
        <v>38</v>
      </c>
      <c r="AE110" s="44">
        <v>905</v>
      </c>
      <c r="AF110" s="44">
        <v>1055</v>
      </c>
      <c r="AG110" s="62">
        <f t="shared" si="29"/>
        <v>1.1657458563535912</v>
      </c>
      <c r="AH110" s="44">
        <v>1356</v>
      </c>
      <c r="AI110" s="44">
        <v>1355</v>
      </c>
      <c r="AJ110" s="62">
        <f t="shared" si="30"/>
        <v>0.99926253687315636</v>
      </c>
      <c r="AN110" s="62" t="str">
        <f t="shared" si="31"/>
        <v/>
      </c>
      <c r="AR110" s="62" t="str">
        <f t="shared" si="32"/>
        <v/>
      </c>
      <c r="AV110" s="62" t="str">
        <f t="shared" si="33"/>
        <v/>
      </c>
      <c r="AY110" s="62" t="str">
        <f t="shared" si="34"/>
        <v/>
      </c>
      <c r="BC110" s="62" t="str">
        <f t="shared" si="35"/>
        <v/>
      </c>
      <c r="BF110" s="62" t="str">
        <f t="shared" si="36"/>
        <v/>
      </c>
      <c r="BJ110" s="62" t="str">
        <f t="shared" si="37"/>
        <v/>
      </c>
      <c r="BM110" s="62" t="str">
        <f t="shared" si="38"/>
        <v/>
      </c>
      <c r="BQ110" s="62" t="str">
        <f t="shared" si="39"/>
        <v/>
      </c>
      <c r="BT110" s="62" t="str">
        <f t="shared" si="40"/>
        <v/>
      </c>
      <c r="BW110" s="62" t="str">
        <f t="shared" si="41"/>
        <v/>
      </c>
      <c r="CA110" s="62" t="str">
        <f t="shared" si="42"/>
        <v/>
      </c>
      <c r="CD110" s="62" t="str">
        <f t="shared" si="43"/>
        <v/>
      </c>
    </row>
    <row r="111" spans="1:82" x14ac:dyDescent="0.3">
      <c r="A111" s="49" t="s">
        <v>267</v>
      </c>
      <c r="B111" s="49" t="s">
        <v>104</v>
      </c>
      <c r="C111" s="44" t="s">
        <v>38</v>
      </c>
      <c r="D111" s="44">
        <v>4000</v>
      </c>
      <c r="E111" s="44">
        <v>4393</v>
      </c>
      <c r="F111" s="62">
        <f t="shared" si="22"/>
        <v>1.0982499999999999</v>
      </c>
      <c r="G111" s="44" t="s">
        <v>38</v>
      </c>
      <c r="H111" s="44">
        <v>4122</v>
      </c>
      <c r="I111" s="44">
        <v>3875</v>
      </c>
      <c r="J111" s="62">
        <f t="shared" si="23"/>
        <v>0.94007763221737017</v>
      </c>
      <c r="K111" s="44" t="s">
        <v>38</v>
      </c>
      <c r="L111" s="44">
        <v>2928</v>
      </c>
      <c r="M111" s="44">
        <v>3603</v>
      </c>
      <c r="N111" s="62">
        <f t="shared" si="24"/>
        <v>1.2305327868852458</v>
      </c>
      <c r="O111" s="44" t="s">
        <v>38</v>
      </c>
      <c r="P111" s="44">
        <v>4465</v>
      </c>
      <c r="Q111" s="44">
        <v>4808</v>
      </c>
      <c r="R111" s="62">
        <f t="shared" si="25"/>
        <v>1.0768197088465845</v>
      </c>
      <c r="S111" s="44" t="s">
        <v>38</v>
      </c>
      <c r="T111" s="44">
        <v>3852</v>
      </c>
      <c r="U111" s="44">
        <v>3714</v>
      </c>
      <c r="V111" s="62">
        <f t="shared" si="26"/>
        <v>0.96417445482866049</v>
      </c>
      <c r="W111" s="44" t="s">
        <v>38</v>
      </c>
      <c r="X111" s="44">
        <v>3647</v>
      </c>
      <c r="Y111" s="44">
        <v>3875</v>
      </c>
      <c r="Z111" s="62">
        <f t="shared" si="27"/>
        <v>1.0625171373731834</v>
      </c>
      <c r="AA111" s="44">
        <v>3361</v>
      </c>
      <c r="AB111" s="44">
        <v>3723</v>
      </c>
      <c r="AC111" s="62">
        <f t="shared" si="28"/>
        <v>1.1077060398690866</v>
      </c>
      <c r="AD111" s="44" t="s">
        <v>38</v>
      </c>
      <c r="AE111" s="44">
        <v>3600</v>
      </c>
      <c r="AF111" s="44">
        <v>3000</v>
      </c>
      <c r="AG111" s="62">
        <f t="shared" si="29"/>
        <v>0.83333333333333337</v>
      </c>
      <c r="AH111" s="44">
        <v>3000</v>
      </c>
      <c r="AI111" s="44">
        <v>2167</v>
      </c>
      <c r="AJ111" s="62">
        <f t="shared" si="30"/>
        <v>0.72233333333333338</v>
      </c>
      <c r="AN111" s="62" t="str">
        <f t="shared" si="31"/>
        <v/>
      </c>
      <c r="AR111" s="62" t="str">
        <f t="shared" si="32"/>
        <v/>
      </c>
      <c r="AV111" s="62" t="str">
        <f t="shared" si="33"/>
        <v/>
      </c>
      <c r="AY111" s="62" t="str">
        <f t="shared" si="34"/>
        <v/>
      </c>
      <c r="BC111" s="62" t="str">
        <f t="shared" si="35"/>
        <v/>
      </c>
      <c r="BF111" s="62" t="str">
        <f t="shared" si="36"/>
        <v/>
      </c>
      <c r="BJ111" s="62" t="str">
        <f t="shared" si="37"/>
        <v/>
      </c>
      <c r="BM111" s="62" t="str">
        <f t="shared" si="38"/>
        <v/>
      </c>
      <c r="BQ111" s="62" t="str">
        <f t="shared" si="39"/>
        <v/>
      </c>
      <c r="BT111" s="62" t="str">
        <f t="shared" si="40"/>
        <v/>
      </c>
      <c r="BW111" s="62" t="str">
        <f t="shared" si="41"/>
        <v/>
      </c>
      <c r="CA111" s="62" t="str">
        <f t="shared" si="42"/>
        <v/>
      </c>
      <c r="CD111" s="62" t="str">
        <f t="shared" si="43"/>
        <v/>
      </c>
    </row>
    <row r="112" spans="1:82" x14ac:dyDescent="0.3">
      <c r="A112" s="49" t="s">
        <v>74</v>
      </c>
      <c r="B112" s="49" t="s">
        <v>284</v>
      </c>
      <c r="F112" s="62" t="str">
        <f t="shared" si="22"/>
        <v/>
      </c>
      <c r="J112" s="62" t="str">
        <f t="shared" si="23"/>
        <v/>
      </c>
      <c r="N112" s="62" t="str">
        <f t="shared" si="24"/>
        <v/>
      </c>
      <c r="R112" s="62" t="str">
        <f t="shared" si="25"/>
        <v/>
      </c>
      <c r="V112" s="62" t="str">
        <f t="shared" si="26"/>
        <v/>
      </c>
      <c r="Z112" s="62" t="str">
        <f t="shared" si="27"/>
        <v/>
      </c>
      <c r="AC112" s="62" t="str">
        <f t="shared" si="28"/>
        <v/>
      </c>
      <c r="AG112" s="62" t="str">
        <f t="shared" si="29"/>
        <v/>
      </c>
      <c r="AJ112" s="62" t="str">
        <f t="shared" si="30"/>
        <v/>
      </c>
      <c r="AK112" s="44" t="s">
        <v>38</v>
      </c>
      <c r="AL112" s="44">
        <v>1008</v>
      </c>
      <c r="AM112" s="44">
        <v>870</v>
      </c>
      <c r="AN112" s="62">
        <f t="shared" si="31"/>
        <v>0.86309523809523814</v>
      </c>
      <c r="AO112" s="44" t="s">
        <v>38</v>
      </c>
      <c r="AP112" s="44">
        <v>3150</v>
      </c>
      <c r="AQ112" s="44">
        <v>2756</v>
      </c>
      <c r="AR112" s="62">
        <f t="shared" si="32"/>
        <v>0.87492063492063488</v>
      </c>
      <c r="AS112" s="44" t="s">
        <v>38</v>
      </c>
      <c r="AT112" s="44">
        <v>3600</v>
      </c>
      <c r="AU112" s="44">
        <v>2850</v>
      </c>
      <c r="AV112" s="62">
        <f t="shared" si="33"/>
        <v>0.79166666666666663</v>
      </c>
      <c r="AW112" s="44">
        <v>3608</v>
      </c>
      <c r="AX112" s="44">
        <v>2609</v>
      </c>
      <c r="AY112" s="62">
        <f t="shared" si="34"/>
        <v>0.72311529933481156</v>
      </c>
      <c r="AZ112" s="44" t="s">
        <v>38</v>
      </c>
      <c r="BA112" s="44">
        <v>2600</v>
      </c>
      <c r="BB112" s="44">
        <v>2080</v>
      </c>
      <c r="BC112" s="62">
        <f t="shared" si="35"/>
        <v>0.8</v>
      </c>
      <c r="BD112" s="44">
        <v>8300</v>
      </c>
      <c r="BE112" s="44">
        <v>5533</v>
      </c>
      <c r="BF112" s="62">
        <f t="shared" si="36"/>
        <v>0.66662650602409634</v>
      </c>
      <c r="BG112" s="44" t="s">
        <v>38</v>
      </c>
      <c r="BJ112" s="62" t="str">
        <f t="shared" si="37"/>
        <v/>
      </c>
      <c r="BK112" s="44">
        <v>52</v>
      </c>
      <c r="BL112" s="44">
        <v>39</v>
      </c>
      <c r="BM112" s="62">
        <f t="shared" si="38"/>
        <v>0.75</v>
      </c>
      <c r="BN112" s="44" t="s">
        <v>38</v>
      </c>
      <c r="BO112" s="44">
        <v>357</v>
      </c>
      <c r="BP112" s="44">
        <v>266</v>
      </c>
      <c r="BQ112" s="62">
        <f t="shared" si="39"/>
        <v>0.74509803921568629</v>
      </c>
      <c r="BR112" s="44">
        <v>376</v>
      </c>
      <c r="BS112" s="44">
        <v>366</v>
      </c>
      <c r="BT112" s="62">
        <f t="shared" si="40"/>
        <v>0.97340425531914898</v>
      </c>
      <c r="BU112" s="44">
        <v>449</v>
      </c>
      <c r="BV112" s="44">
        <v>722</v>
      </c>
      <c r="BW112" s="62">
        <f t="shared" si="41"/>
        <v>1.6080178173719377</v>
      </c>
      <c r="BX112" s="44" t="s">
        <v>38</v>
      </c>
      <c r="BY112" s="44">
        <v>301.5</v>
      </c>
      <c r="BZ112" s="44">
        <v>240</v>
      </c>
      <c r="CA112" s="62">
        <f t="shared" si="42"/>
        <v>0.79601990049751248</v>
      </c>
      <c r="CB112" s="44">
        <v>315</v>
      </c>
      <c r="CC112" s="44">
        <v>306</v>
      </c>
      <c r="CD112" s="62">
        <f t="shared" si="43"/>
        <v>0.97142857142857142</v>
      </c>
    </row>
    <row r="113" spans="1:82" x14ac:dyDescent="0.3">
      <c r="A113" s="49" t="s">
        <v>52</v>
      </c>
      <c r="B113" s="49" t="s">
        <v>284</v>
      </c>
      <c r="F113" s="62" t="str">
        <f t="shared" si="22"/>
        <v/>
      </c>
      <c r="J113" s="62" t="str">
        <f t="shared" si="23"/>
        <v/>
      </c>
      <c r="N113" s="62" t="str">
        <f t="shared" si="24"/>
        <v/>
      </c>
      <c r="R113" s="62" t="str">
        <f t="shared" si="25"/>
        <v/>
      </c>
      <c r="V113" s="62" t="str">
        <f t="shared" si="26"/>
        <v/>
      </c>
      <c r="Z113" s="62" t="str">
        <f t="shared" si="27"/>
        <v/>
      </c>
      <c r="AC113" s="62" t="str">
        <f t="shared" si="28"/>
        <v/>
      </c>
      <c r="AG113" s="62" t="str">
        <f t="shared" si="29"/>
        <v/>
      </c>
      <c r="AJ113" s="62" t="str">
        <f t="shared" si="30"/>
        <v/>
      </c>
      <c r="AN113" s="62" t="str">
        <f t="shared" si="31"/>
        <v/>
      </c>
      <c r="AR113" s="62" t="str">
        <f t="shared" si="32"/>
        <v/>
      </c>
      <c r="AV113" s="62" t="str">
        <f t="shared" si="33"/>
        <v/>
      </c>
      <c r="AY113" s="62" t="str">
        <f t="shared" si="34"/>
        <v/>
      </c>
      <c r="BC113" s="62" t="str">
        <f t="shared" si="35"/>
        <v/>
      </c>
      <c r="BF113" s="62" t="str">
        <f t="shared" si="36"/>
        <v/>
      </c>
      <c r="BJ113" s="62" t="str">
        <f t="shared" si="37"/>
        <v/>
      </c>
      <c r="BM113" s="62" t="str">
        <f t="shared" si="38"/>
        <v/>
      </c>
      <c r="BN113" s="44" t="s">
        <v>38</v>
      </c>
      <c r="BO113" s="44">
        <v>32</v>
      </c>
      <c r="BP113" s="44">
        <v>82</v>
      </c>
      <c r="BQ113" s="62">
        <f t="shared" si="39"/>
        <v>2.5625</v>
      </c>
      <c r="BT113" s="62" t="str">
        <f t="shared" si="40"/>
        <v/>
      </c>
      <c r="BU113" s="44">
        <v>11.75</v>
      </c>
      <c r="BV113" s="44">
        <v>12</v>
      </c>
      <c r="BW113" s="62">
        <f t="shared" si="41"/>
        <v>1.0212765957446808</v>
      </c>
      <c r="BX113" s="44" t="s">
        <v>38</v>
      </c>
      <c r="BY113" s="44">
        <v>16.75</v>
      </c>
      <c r="BZ113" s="44">
        <v>19</v>
      </c>
      <c r="CA113" s="62">
        <f t="shared" si="42"/>
        <v>1.1343283582089552</v>
      </c>
      <c r="CB113" s="44">
        <v>32</v>
      </c>
      <c r="CC113" s="44">
        <v>67</v>
      </c>
      <c r="CD113" s="62">
        <f t="shared" si="43"/>
        <v>2.09375</v>
      </c>
    </row>
    <row r="114" spans="1:82" x14ac:dyDescent="0.3">
      <c r="A114" s="49" t="s">
        <v>31</v>
      </c>
      <c r="B114" s="49" t="s">
        <v>284</v>
      </c>
      <c r="F114" s="62" t="str">
        <f t="shared" si="22"/>
        <v/>
      </c>
      <c r="J114" s="62" t="str">
        <f t="shared" si="23"/>
        <v/>
      </c>
      <c r="N114" s="62" t="str">
        <f t="shared" si="24"/>
        <v/>
      </c>
      <c r="R114" s="62" t="str">
        <f t="shared" si="25"/>
        <v/>
      </c>
      <c r="S114" s="44" t="s">
        <v>38</v>
      </c>
      <c r="T114" s="44">
        <v>555</v>
      </c>
      <c r="U114" s="44">
        <v>714</v>
      </c>
      <c r="V114" s="62">
        <f t="shared" si="26"/>
        <v>1.2864864864864864</v>
      </c>
      <c r="W114" s="44" t="s">
        <v>38</v>
      </c>
      <c r="X114" s="44">
        <v>550</v>
      </c>
      <c r="Y114" s="44">
        <v>825</v>
      </c>
      <c r="Z114" s="62">
        <f t="shared" si="27"/>
        <v>1.5</v>
      </c>
      <c r="AA114" s="44">
        <v>521</v>
      </c>
      <c r="AB114" s="44">
        <v>769</v>
      </c>
      <c r="AC114" s="62">
        <f t="shared" si="28"/>
        <v>1.4760076775431861</v>
      </c>
      <c r="AD114" s="44" t="s">
        <v>38</v>
      </c>
      <c r="AE114" s="44">
        <v>416.5</v>
      </c>
      <c r="AF114" s="44">
        <v>556</v>
      </c>
      <c r="AG114" s="62">
        <f t="shared" si="29"/>
        <v>1.3349339735894359</v>
      </c>
      <c r="AJ114" s="62" t="str">
        <f t="shared" si="30"/>
        <v/>
      </c>
      <c r="AK114" s="44" t="s">
        <v>38</v>
      </c>
      <c r="AL114" s="44">
        <v>98</v>
      </c>
      <c r="AM114" s="44">
        <v>136</v>
      </c>
      <c r="AN114" s="62">
        <f t="shared" si="31"/>
        <v>1.3877551020408163</v>
      </c>
      <c r="AO114" s="44" t="s">
        <v>38</v>
      </c>
      <c r="AP114" s="44">
        <v>270</v>
      </c>
      <c r="AQ114" s="44">
        <v>253</v>
      </c>
      <c r="AR114" s="62">
        <f t="shared" si="32"/>
        <v>0.937037037037037</v>
      </c>
      <c r="AS114" s="44" t="s">
        <v>38</v>
      </c>
      <c r="AT114" s="44">
        <v>380</v>
      </c>
      <c r="AU114" s="44">
        <v>356</v>
      </c>
      <c r="AV114" s="62">
        <f t="shared" si="33"/>
        <v>0.93684210526315792</v>
      </c>
      <c r="AW114" s="44">
        <v>280</v>
      </c>
      <c r="AX114" s="44">
        <v>280</v>
      </c>
      <c r="AY114" s="62">
        <f t="shared" si="34"/>
        <v>1</v>
      </c>
      <c r="AZ114" s="44" t="s">
        <v>38</v>
      </c>
      <c r="BA114" s="44">
        <v>1555</v>
      </c>
      <c r="BB114" s="44">
        <v>1555</v>
      </c>
      <c r="BC114" s="62">
        <f t="shared" si="35"/>
        <v>1</v>
      </c>
      <c r="BD114" s="44">
        <v>725</v>
      </c>
      <c r="BE114" s="44">
        <v>725</v>
      </c>
      <c r="BF114" s="62">
        <f t="shared" si="36"/>
        <v>1</v>
      </c>
      <c r="BG114" s="44" t="s">
        <v>38</v>
      </c>
      <c r="BJ114" s="62" t="str">
        <f t="shared" si="37"/>
        <v/>
      </c>
      <c r="BM114" s="62" t="str">
        <f t="shared" si="38"/>
        <v/>
      </c>
      <c r="BQ114" s="62" t="str">
        <f t="shared" si="39"/>
        <v/>
      </c>
      <c r="BT114" s="62" t="str">
        <f t="shared" si="40"/>
        <v/>
      </c>
      <c r="BW114" s="62" t="str">
        <f t="shared" si="41"/>
        <v/>
      </c>
      <c r="CA114" s="62" t="str">
        <f t="shared" si="42"/>
        <v/>
      </c>
      <c r="CD114" s="62" t="str">
        <f t="shared" si="43"/>
        <v/>
      </c>
    </row>
    <row r="115" spans="1:82" x14ac:dyDescent="0.3">
      <c r="A115" s="49" t="s">
        <v>2</v>
      </c>
      <c r="B115" s="49" t="s">
        <v>104</v>
      </c>
      <c r="C115" s="44" t="s">
        <v>38</v>
      </c>
      <c r="D115" s="44">
        <v>21429</v>
      </c>
      <c r="E115" s="44">
        <v>14786</v>
      </c>
      <c r="F115" s="62">
        <f t="shared" si="22"/>
        <v>0.6899995333426665</v>
      </c>
      <c r="G115" s="44" t="s">
        <v>65</v>
      </c>
      <c r="H115" s="44">
        <v>27300</v>
      </c>
      <c r="I115" s="44">
        <v>13299</v>
      </c>
      <c r="J115" s="62">
        <f t="shared" si="23"/>
        <v>0.48714285714285716</v>
      </c>
      <c r="K115" s="44" t="s">
        <v>38</v>
      </c>
      <c r="L115" s="44">
        <v>13650</v>
      </c>
      <c r="M115" s="44">
        <v>11200</v>
      </c>
      <c r="N115" s="62">
        <f t="shared" si="24"/>
        <v>0.82051282051282048</v>
      </c>
      <c r="O115" s="44" t="s">
        <v>38</v>
      </c>
      <c r="P115" s="44">
        <v>14500</v>
      </c>
      <c r="Q115" s="44">
        <v>11154</v>
      </c>
      <c r="R115" s="62">
        <f t="shared" si="25"/>
        <v>0.76924137931034486</v>
      </c>
      <c r="S115" s="44" t="s">
        <v>38</v>
      </c>
      <c r="T115" s="44">
        <v>13000</v>
      </c>
      <c r="U115" s="44">
        <v>9286</v>
      </c>
      <c r="V115" s="62">
        <f t="shared" si="26"/>
        <v>0.71430769230769231</v>
      </c>
      <c r="W115" s="44" t="s">
        <v>38</v>
      </c>
      <c r="X115" s="44">
        <v>1900</v>
      </c>
      <c r="Y115" s="44">
        <v>1250</v>
      </c>
      <c r="Z115" s="62">
        <f t="shared" si="27"/>
        <v>0.65789473684210531</v>
      </c>
      <c r="AA115" s="44">
        <v>5350</v>
      </c>
      <c r="AB115" s="44">
        <v>3446</v>
      </c>
      <c r="AC115" s="62">
        <f t="shared" si="28"/>
        <v>0.64411214953271023</v>
      </c>
      <c r="AD115" s="44" t="s">
        <v>38</v>
      </c>
      <c r="AE115" s="44">
        <v>5250</v>
      </c>
      <c r="AF115" s="44">
        <v>3611</v>
      </c>
      <c r="AG115" s="62">
        <f t="shared" si="29"/>
        <v>0.68780952380952376</v>
      </c>
      <c r="AH115" s="44">
        <v>4600</v>
      </c>
      <c r="AI115" s="44">
        <v>3333</v>
      </c>
      <c r="AJ115" s="62">
        <f t="shared" si="30"/>
        <v>0.72456521739130431</v>
      </c>
      <c r="AK115" s="44" t="s">
        <v>38</v>
      </c>
      <c r="AL115" s="44">
        <v>5800</v>
      </c>
      <c r="AM115" s="44">
        <v>3942</v>
      </c>
      <c r="AN115" s="62">
        <f t="shared" si="31"/>
        <v>0.67965517241379314</v>
      </c>
      <c r="AO115" s="44" t="s">
        <v>38</v>
      </c>
      <c r="AP115" s="44">
        <v>3850</v>
      </c>
      <c r="AQ115" s="44">
        <v>3619</v>
      </c>
      <c r="AR115" s="62">
        <f t="shared" si="32"/>
        <v>0.94</v>
      </c>
      <c r="AS115" s="44" t="s">
        <v>38</v>
      </c>
      <c r="AT115" s="44">
        <v>2300</v>
      </c>
      <c r="AU115" s="44">
        <v>2294</v>
      </c>
      <c r="AV115" s="62">
        <f t="shared" si="33"/>
        <v>0.99739130434782608</v>
      </c>
      <c r="AW115" s="44">
        <v>1401</v>
      </c>
      <c r="AX115" s="44">
        <v>1167</v>
      </c>
      <c r="AY115" s="62">
        <f t="shared" si="34"/>
        <v>0.83297644539614557</v>
      </c>
      <c r="AZ115" s="44" t="s">
        <v>38</v>
      </c>
      <c r="BA115" s="44">
        <v>5300</v>
      </c>
      <c r="BB115" s="44">
        <v>3800</v>
      </c>
      <c r="BC115" s="62">
        <f t="shared" si="35"/>
        <v>0.71698113207547165</v>
      </c>
      <c r="BD115" s="44">
        <v>11415</v>
      </c>
      <c r="BE115" s="44">
        <v>7736</v>
      </c>
      <c r="BF115" s="62">
        <f t="shared" si="36"/>
        <v>0.67770477441962329</v>
      </c>
      <c r="BG115" s="44" t="s">
        <v>38</v>
      </c>
      <c r="BH115" s="44">
        <v>3979</v>
      </c>
      <c r="BI115" s="44">
        <v>2182</v>
      </c>
      <c r="BJ115" s="62">
        <f t="shared" si="37"/>
        <v>0.54837898969590348</v>
      </c>
      <c r="BK115" s="44">
        <v>3134</v>
      </c>
      <c r="BL115" s="44">
        <v>2744</v>
      </c>
      <c r="BM115" s="62">
        <f t="shared" si="38"/>
        <v>0.87555839183152517</v>
      </c>
      <c r="BN115" s="44" t="s">
        <v>38</v>
      </c>
      <c r="BO115" s="44">
        <v>2883</v>
      </c>
      <c r="BP115" s="44">
        <v>2271</v>
      </c>
      <c r="BQ115" s="62">
        <f t="shared" si="39"/>
        <v>0.78772112382934445</v>
      </c>
      <c r="BR115" s="44">
        <v>1407.75</v>
      </c>
      <c r="BS115" s="44">
        <v>1679</v>
      </c>
      <c r="BT115" s="62">
        <f t="shared" si="40"/>
        <v>1.1926833599715858</v>
      </c>
      <c r="BU115" s="44">
        <v>2380</v>
      </c>
      <c r="BV115" s="44">
        <v>2415</v>
      </c>
      <c r="BW115" s="62">
        <f t="shared" si="41"/>
        <v>1.0147058823529411</v>
      </c>
      <c r="BX115" s="44" t="s">
        <v>38</v>
      </c>
      <c r="BY115" s="44">
        <v>3302</v>
      </c>
      <c r="BZ115" s="44">
        <v>3560</v>
      </c>
      <c r="CA115" s="62">
        <f t="shared" si="42"/>
        <v>1.0781344639612356</v>
      </c>
      <c r="CB115" s="44">
        <v>3585</v>
      </c>
      <c r="CC115" s="44">
        <v>4328</v>
      </c>
      <c r="CD115" s="62">
        <f t="shared" si="43"/>
        <v>1.2072524407252441</v>
      </c>
    </row>
    <row r="116" spans="1:82" x14ac:dyDescent="0.3">
      <c r="A116" s="49" t="s">
        <v>33</v>
      </c>
      <c r="B116" s="49" t="s">
        <v>284</v>
      </c>
      <c r="F116" s="62" t="str">
        <f t="shared" si="22"/>
        <v/>
      </c>
      <c r="J116" s="62" t="str">
        <f t="shared" si="23"/>
        <v/>
      </c>
      <c r="N116" s="62" t="str">
        <f t="shared" si="24"/>
        <v/>
      </c>
      <c r="R116" s="62" t="str">
        <f t="shared" si="25"/>
        <v/>
      </c>
      <c r="V116" s="62" t="str">
        <f t="shared" si="26"/>
        <v/>
      </c>
      <c r="Z116" s="62" t="str">
        <f t="shared" si="27"/>
        <v/>
      </c>
      <c r="AC116" s="62" t="str">
        <f t="shared" si="28"/>
        <v/>
      </c>
      <c r="AG116" s="62" t="str">
        <f t="shared" si="29"/>
        <v/>
      </c>
      <c r="AJ116" s="62" t="str">
        <f t="shared" si="30"/>
        <v/>
      </c>
      <c r="AN116" s="62" t="str">
        <f t="shared" si="31"/>
        <v/>
      </c>
      <c r="AR116" s="62" t="str">
        <f t="shared" si="32"/>
        <v/>
      </c>
      <c r="AV116" s="62" t="str">
        <f t="shared" si="33"/>
        <v/>
      </c>
      <c r="AY116" s="62" t="str">
        <f t="shared" si="34"/>
        <v/>
      </c>
      <c r="BC116" s="62" t="str">
        <f t="shared" si="35"/>
        <v/>
      </c>
      <c r="BF116" s="62" t="str">
        <f t="shared" si="36"/>
        <v/>
      </c>
      <c r="BJ116" s="62" t="str">
        <f t="shared" si="37"/>
        <v/>
      </c>
      <c r="BM116" s="62" t="str">
        <f t="shared" si="38"/>
        <v/>
      </c>
      <c r="BQ116" s="62" t="str">
        <f t="shared" si="39"/>
        <v/>
      </c>
      <c r="BT116" s="62" t="str">
        <f t="shared" si="40"/>
        <v/>
      </c>
      <c r="BW116" s="62" t="str">
        <f t="shared" si="41"/>
        <v/>
      </c>
      <c r="CA116" s="62" t="str">
        <f t="shared" si="42"/>
        <v/>
      </c>
      <c r="CD116" s="62" t="str">
        <f t="shared" si="43"/>
        <v/>
      </c>
    </row>
    <row r="117" spans="1:82" x14ac:dyDescent="0.3">
      <c r="A117" s="49" t="s">
        <v>55</v>
      </c>
      <c r="B117" s="49" t="s">
        <v>284</v>
      </c>
      <c r="F117" s="62" t="str">
        <f t="shared" si="22"/>
        <v/>
      </c>
      <c r="J117" s="62" t="str">
        <f t="shared" si="23"/>
        <v/>
      </c>
      <c r="N117" s="62" t="str">
        <f t="shared" si="24"/>
        <v/>
      </c>
      <c r="R117" s="62" t="str">
        <f t="shared" si="25"/>
        <v/>
      </c>
      <c r="V117" s="62" t="str">
        <f t="shared" si="26"/>
        <v/>
      </c>
      <c r="Z117" s="62" t="str">
        <f t="shared" si="27"/>
        <v/>
      </c>
      <c r="AC117" s="62" t="str">
        <f t="shared" si="28"/>
        <v/>
      </c>
      <c r="AG117" s="62" t="str">
        <f t="shared" si="29"/>
        <v/>
      </c>
      <c r="AJ117" s="62" t="str">
        <f t="shared" si="30"/>
        <v/>
      </c>
      <c r="AN117" s="62" t="str">
        <f t="shared" si="31"/>
        <v/>
      </c>
      <c r="AR117" s="62" t="str">
        <f t="shared" si="32"/>
        <v/>
      </c>
      <c r="AV117" s="62" t="str">
        <f t="shared" si="33"/>
        <v/>
      </c>
      <c r="AY117" s="62" t="str">
        <f t="shared" si="34"/>
        <v/>
      </c>
      <c r="BC117" s="62" t="str">
        <f t="shared" si="35"/>
        <v/>
      </c>
      <c r="BF117" s="62" t="str">
        <f t="shared" si="36"/>
        <v/>
      </c>
      <c r="BJ117" s="62" t="str">
        <f t="shared" si="37"/>
        <v/>
      </c>
      <c r="BM117" s="62" t="str">
        <f t="shared" si="38"/>
        <v/>
      </c>
      <c r="BN117" s="44" t="s">
        <v>38</v>
      </c>
      <c r="BO117" s="44">
        <v>39</v>
      </c>
      <c r="BP117" s="44">
        <v>13</v>
      </c>
      <c r="BQ117" s="62">
        <f t="shared" si="39"/>
        <v>0.33333333333333331</v>
      </c>
      <c r="BT117" s="62" t="str">
        <f t="shared" si="40"/>
        <v/>
      </c>
      <c r="BU117" s="44">
        <v>431</v>
      </c>
      <c r="BV117" s="44">
        <v>434</v>
      </c>
      <c r="BW117" s="62">
        <f t="shared" si="41"/>
        <v>1.0069605568445477</v>
      </c>
      <c r="BX117" s="44" t="s">
        <v>38</v>
      </c>
      <c r="BY117" s="44">
        <v>411.5</v>
      </c>
      <c r="BZ117" s="44">
        <v>132</v>
      </c>
      <c r="CA117" s="62">
        <f t="shared" si="42"/>
        <v>0.32077764277035237</v>
      </c>
      <c r="CB117" s="44">
        <v>156</v>
      </c>
      <c r="CC117" s="44">
        <v>40</v>
      </c>
      <c r="CD117" s="62">
        <f t="shared" si="43"/>
        <v>0.25641025641025639</v>
      </c>
    </row>
    <row r="118" spans="1:82" x14ac:dyDescent="0.3">
      <c r="A118" s="44" t="s">
        <v>352</v>
      </c>
      <c r="B118" s="49" t="s">
        <v>284</v>
      </c>
      <c r="F118" s="62" t="str">
        <f t="shared" si="22"/>
        <v/>
      </c>
      <c r="J118" s="62" t="str">
        <f t="shared" si="23"/>
        <v/>
      </c>
      <c r="N118" s="62" t="str">
        <f t="shared" si="24"/>
        <v/>
      </c>
      <c r="R118" s="62" t="str">
        <f t="shared" si="25"/>
        <v/>
      </c>
      <c r="S118" s="44" t="s">
        <v>35</v>
      </c>
      <c r="T118" s="44">
        <v>5800</v>
      </c>
      <c r="U118" s="44">
        <v>1036</v>
      </c>
      <c r="V118" s="62">
        <f t="shared" si="26"/>
        <v>0.17862068965517242</v>
      </c>
      <c r="W118" s="44" t="s">
        <v>35</v>
      </c>
      <c r="X118" s="44">
        <v>5400</v>
      </c>
      <c r="Y118" s="44">
        <v>843</v>
      </c>
      <c r="Z118" s="62">
        <f t="shared" si="27"/>
        <v>0.15611111111111112</v>
      </c>
      <c r="AC118" s="62" t="str">
        <f t="shared" si="28"/>
        <v/>
      </c>
      <c r="AG118" s="62" t="str">
        <f t="shared" si="29"/>
        <v/>
      </c>
      <c r="AJ118" s="62" t="str">
        <f t="shared" si="30"/>
        <v/>
      </c>
      <c r="AN118" s="62" t="str">
        <f t="shared" si="31"/>
        <v/>
      </c>
      <c r="AR118" s="62" t="str">
        <f t="shared" si="32"/>
        <v/>
      </c>
      <c r="AV118" s="62" t="str">
        <f t="shared" si="33"/>
        <v/>
      </c>
      <c r="AY118" s="62" t="str">
        <f t="shared" si="34"/>
        <v/>
      </c>
      <c r="BC118" s="62" t="str">
        <f t="shared" si="35"/>
        <v/>
      </c>
      <c r="BF118" s="62" t="str">
        <f t="shared" si="36"/>
        <v/>
      </c>
      <c r="BJ118" s="62" t="str">
        <f t="shared" si="37"/>
        <v/>
      </c>
      <c r="BM118" s="62" t="str">
        <f t="shared" si="38"/>
        <v/>
      </c>
      <c r="BN118" s="44" t="s">
        <v>38</v>
      </c>
      <c r="BQ118" s="62" t="str">
        <f t="shared" si="39"/>
        <v/>
      </c>
      <c r="BT118" s="62" t="str">
        <f t="shared" si="40"/>
        <v/>
      </c>
      <c r="BU118" s="44">
        <v>8</v>
      </c>
      <c r="BV118" s="44">
        <v>27</v>
      </c>
      <c r="BW118" s="62">
        <f t="shared" si="41"/>
        <v>3.375</v>
      </c>
      <c r="BX118" s="44" t="s">
        <v>38</v>
      </c>
      <c r="BY118" s="44">
        <v>2.25</v>
      </c>
      <c r="BZ118" s="44">
        <v>9</v>
      </c>
      <c r="CA118" s="62">
        <f t="shared" si="42"/>
        <v>4</v>
      </c>
      <c r="CB118" s="44">
        <v>7</v>
      </c>
      <c r="CC118" s="44">
        <v>41</v>
      </c>
      <c r="CD118" s="62">
        <f t="shared" si="43"/>
        <v>5.8571428571428568</v>
      </c>
    </row>
    <row r="119" spans="1:82" x14ac:dyDescent="0.3">
      <c r="A119" s="44" t="s">
        <v>75</v>
      </c>
      <c r="B119" s="49" t="s">
        <v>284</v>
      </c>
      <c r="F119" s="62" t="str">
        <f t="shared" si="22"/>
        <v/>
      </c>
      <c r="J119" s="62" t="str">
        <f t="shared" si="23"/>
        <v/>
      </c>
      <c r="N119" s="62" t="str">
        <f t="shared" si="24"/>
        <v/>
      </c>
      <c r="R119" s="62" t="str">
        <f t="shared" si="25"/>
        <v/>
      </c>
      <c r="V119" s="62" t="str">
        <f t="shared" si="26"/>
        <v/>
      </c>
      <c r="Z119" s="62" t="str">
        <f t="shared" si="27"/>
        <v/>
      </c>
      <c r="AC119" s="62" t="str">
        <f t="shared" si="28"/>
        <v/>
      </c>
      <c r="AG119" s="62" t="str">
        <f t="shared" si="29"/>
        <v/>
      </c>
      <c r="AJ119" s="62" t="str">
        <f t="shared" si="30"/>
        <v/>
      </c>
      <c r="AN119" s="62" t="str">
        <f t="shared" si="31"/>
        <v/>
      </c>
      <c r="AR119" s="62" t="str">
        <f t="shared" si="32"/>
        <v/>
      </c>
      <c r="AV119" s="62" t="str">
        <f t="shared" si="33"/>
        <v/>
      </c>
      <c r="AY119" s="62" t="str">
        <f t="shared" si="34"/>
        <v/>
      </c>
      <c r="BC119" s="62" t="str">
        <f t="shared" si="35"/>
        <v/>
      </c>
      <c r="BF119" s="62" t="str">
        <f t="shared" si="36"/>
        <v/>
      </c>
      <c r="BJ119" s="62" t="str">
        <f t="shared" si="37"/>
        <v/>
      </c>
      <c r="BM119" s="62" t="str">
        <f t="shared" si="38"/>
        <v/>
      </c>
      <c r="BN119" s="44" t="s">
        <v>38</v>
      </c>
      <c r="BO119" s="44">
        <v>69</v>
      </c>
      <c r="BP119" s="44">
        <v>66</v>
      </c>
      <c r="BQ119" s="62">
        <f t="shared" si="39"/>
        <v>0.95652173913043481</v>
      </c>
      <c r="BR119" s="44">
        <v>37.5</v>
      </c>
      <c r="BS119" s="44">
        <v>24.5</v>
      </c>
      <c r="BT119" s="62">
        <f t="shared" si="40"/>
        <v>0.65333333333333332</v>
      </c>
      <c r="BW119" s="62" t="str">
        <f t="shared" si="41"/>
        <v/>
      </c>
      <c r="CA119" s="62" t="str">
        <f t="shared" si="42"/>
        <v/>
      </c>
      <c r="CD119" s="62" t="str">
        <f t="shared" si="43"/>
        <v/>
      </c>
    </row>
    <row r="120" spans="1:82" x14ac:dyDescent="0.3">
      <c r="A120" s="49" t="s">
        <v>76</v>
      </c>
      <c r="B120" s="49" t="s">
        <v>284</v>
      </c>
      <c r="F120" s="62" t="str">
        <f t="shared" si="22"/>
        <v/>
      </c>
      <c r="J120" s="62" t="str">
        <f t="shared" si="23"/>
        <v/>
      </c>
      <c r="N120" s="62" t="str">
        <f t="shared" si="24"/>
        <v/>
      </c>
      <c r="R120" s="62" t="str">
        <f t="shared" si="25"/>
        <v/>
      </c>
      <c r="V120" s="62" t="str">
        <f t="shared" si="26"/>
        <v/>
      </c>
      <c r="Z120" s="62" t="str">
        <f t="shared" si="27"/>
        <v/>
      </c>
      <c r="AC120" s="62" t="str">
        <f t="shared" si="28"/>
        <v/>
      </c>
      <c r="AG120" s="62" t="str">
        <f t="shared" si="29"/>
        <v/>
      </c>
      <c r="AJ120" s="62" t="str">
        <f t="shared" si="30"/>
        <v/>
      </c>
      <c r="AN120" s="62" t="str">
        <f t="shared" si="31"/>
        <v/>
      </c>
      <c r="AR120" s="62" t="str">
        <f t="shared" si="32"/>
        <v/>
      </c>
      <c r="AV120" s="62" t="str">
        <f t="shared" si="33"/>
        <v/>
      </c>
      <c r="AY120" s="62" t="str">
        <f t="shared" si="34"/>
        <v/>
      </c>
      <c r="BC120" s="62" t="str">
        <f t="shared" si="35"/>
        <v/>
      </c>
      <c r="BF120" s="62" t="str">
        <f t="shared" si="36"/>
        <v/>
      </c>
      <c r="BJ120" s="62" t="str">
        <f t="shared" si="37"/>
        <v/>
      </c>
      <c r="BM120" s="62" t="str">
        <f t="shared" si="38"/>
        <v/>
      </c>
      <c r="BN120" s="44" t="s">
        <v>38</v>
      </c>
      <c r="BQ120" s="62" t="str">
        <f t="shared" si="39"/>
        <v/>
      </c>
      <c r="BR120" s="44">
        <v>10676.5</v>
      </c>
      <c r="BS120" s="44">
        <v>1669</v>
      </c>
      <c r="BT120" s="62">
        <f t="shared" si="40"/>
        <v>0.15632463822413711</v>
      </c>
      <c r="BU120" s="44">
        <v>9263</v>
      </c>
      <c r="BV120" s="44">
        <v>1639</v>
      </c>
      <c r="BW120" s="62">
        <f t="shared" si="41"/>
        <v>0.17694051603152328</v>
      </c>
      <c r="BX120" s="44" t="s">
        <v>38</v>
      </c>
      <c r="BY120" s="44">
        <v>1224.5</v>
      </c>
      <c r="BZ120" s="44">
        <v>204</v>
      </c>
      <c r="CA120" s="62">
        <f t="shared" si="42"/>
        <v>0.166598611678236</v>
      </c>
      <c r="CB120" s="44">
        <v>6890</v>
      </c>
      <c r="CC120" s="44">
        <v>1293</v>
      </c>
      <c r="CD120" s="62">
        <f t="shared" si="43"/>
        <v>0.1876632801161103</v>
      </c>
    </row>
    <row r="121" spans="1:82" x14ac:dyDescent="0.3">
      <c r="A121" s="49" t="s">
        <v>54</v>
      </c>
      <c r="B121" s="49" t="s">
        <v>284</v>
      </c>
      <c r="F121" s="62" t="str">
        <f t="shared" si="22"/>
        <v/>
      </c>
      <c r="J121" s="62" t="str">
        <f t="shared" si="23"/>
        <v/>
      </c>
      <c r="N121" s="62" t="str">
        <f t="shared" si="24"/>
        <v/>
      </c>
      <c r="R121" s="62" t="str">
        <f t="shared" si="25"/>
        <v/>
      </c>
      <c r="V121" s="62" t="str">
        <f t="shared" si="26"/>
        <v/>
      </c>
      <c r="Z121" s="62" t="str">
        <f t="shared" si="27"/>
        <v/>
      </c>
      <c r="AC121" s="62" t="str">
        <f t="shared" si="28"/>
        <v/>
      </c>
      <c r="AG121" s="62" t="str">
        <f t="shared" si="29"/>
        <v/>
      </c>
      <c r="AJ121" s="62" t="str">
        <f t="shared" si="30"/>
        <v/>
      </c>
      <c r="AN121" s="62" t="str">
        <f t="shared" si="31"/>
        <v/>
      </c>
      <c r="AR121" s="62" t="str">
        <f t="shared" si="32"/>
        <v/>
      </c>
      <c r="AV121" s="62" t="str">
        <f t="shared" si="33"/>
        <v/>
      </c>
      <c r="AY121" s="62" t="str">
        <f t="shared" si="34"/>
        <v/>
      </c>
      <c r="BC121" s="62" t="str">
        <f t="shared" si="35"/>
        <v/>
      </c>
      <c r="BF121" s="62" t="str">
        <f t="shared" si="36"/>
        <v/>
      </c>
      <c r="BG121" s="44" t="s">
        <v>38</v>
      </c>
      <c r="BJ121" s="62" t="str">
        <f t="shared" si="37"/>
        <v/>
      </c>
      <c r="BK121" s="44">
        <v>23</v>
      </c>
      <c r="BL121" s="44">
        <v>231</v>
      </c>
      <c r="BM121" s="62">
        <f t="shared" si="38"/>
        <v>10.043478260869565</v>
      </c>
      <c r="BN121" s="44" t="s">
        <v>38</v>
      </c>
      <c r="BQ121" s="62" t="str">
        <f t="shared" si="39"/>
        <v/>
      </c>
      <c r="BT121" s="62" t="str">
        <f t="shared" si="40"/>
        <v/>
      </c>
      <c r="BU121" s="44">
        <v>34</v>
      </c>
      <c r="BV121" s="44">
        <v>14</v>
      </c>
      <c r="BW121" s="62">
        <f t="shared" si="41"/>
        <v>0.41176470588235292</v>
      </c>
      <c r="BX121" s="44" t="s">
        <v>38</v>
      </c>
      <c r="BY121" s="44">
        <v>25.5</v>
      </c>
      <c r="BZ121" s="44">
        <v>25</v>
      </c>
      <c r="CA121" s="62">
        <f t="shared" si="42"/>
        <v>0.98039215686274506</v>
      </c>
      <c r="CD121" s="62" t="str">
        <f t="shared" si="43"/>
        <v/>
      </c>
    </row>
    <row r="122" spans="1:82" x14ac:dyDescent="0.3">
      <c r="A122" s="49" t="s">
        <v>270</v>
      </c>
      <c r="B122" s="49" t="s">
        <v>322</v>
      </c>
      <c r="C122" s="44" t="s">
        <v>40</v>
      </c>
      <c r="D122" s="44">
        <v>128</v>
      </c>
      <c r="E122" s="44">
        <v>13378</v>
      </c>
      <c r="F122" s="62">
        <f t="shared" si="22"/>
        <v>104.515625</v>
      </c>
      <c r="G122" s="44" t="s">
        <v>40</v>
      </c>
      <c r="H122" s="44">
        <v>174</v>
      </c>
      <c r="I122" s="44">
        <v>15325</v>
      </c>
      <c r="J122" s="62">
        <f t="shared" si="23"/>
        <v>88.074712643678154</v>
      </c>
      <c r="K122" s="44" t="s">
        <v>40</v>
      </c>
      <c r="L122" s="44">
        <v>178</v>
      </c>
      <c r="M122" s="44">
        <v>12171</v>
      </c>
      <c r="N122" s="62">
        <f t="shared" si="24"/>
        <v>68.376404494382029</v>
      </c>
      <c r="O122" s="44" t="s">
        <v>40</v>
      </c>
      <c r="P122" s="44">
        <v>200</v>
      </c>
      <c r="Q122" s="44">
        <v>11000</v>
      </c>
      <c r="R122" s="62">
        <f t="shared" si="25"/>
        <v>55</v>
      </c>
      <c r="S122" s="44" t="s">
        <v>40</v>
      </c>
      <c r="T122" s="44">
        <v>80</v>
      </c>
      <c r="U122" s="44">
        <v>5714</v>
      </c>
      <c r="V122" s="62">
        <f t="shared" si="26"/>
        <v>71.424999999999997</v>
      </c>
      <c r="W122" s="44" t="s">
        <v>40</v>
      </c>
      <c r="X122" s="44">
        <v>68</v>
      </c>
      <c r="Y122" s="44">
        <v>5000</v>
      </c>
      <c r="Z122" s="62">
        <f t="shared" si="27"/>
        <v>73.529411764705884</v>
      </c>
      <c r="AA122" s="44">
        <v>87</v>
      </c>
      <c r="AB122" s="44">
        <v>5354</v>
      </c>
      <c r="AC122" s="62">
        <f t="shared" si="28"/>
        <v>61.540229885057471</v>
      </c>
      <c r="AD122" s="44" t="s">
        <v>43</v>
      </c>
      <c r="AE122" s="44">
        <v>71</v>
      </c>
      <c r="AF122" s="44">
        <v>3944</v>
      </c>
      <c r="AG122" s="62">
        <f t="shared" si="29"/>
        <v>55.549295774647888</v>
      </c>
      <c r="AH122" s="44">
        <v>67</v>
      </c>
      <c r="AI122" s="44">
        <v>3666</v>
      </c>
      <c r="AJ122" s="62">
        <f t="shared" si="30"/>
        <v>54.71641791044776</v>
      </c>
      <c r="AN122" s="62" t="str">
        <f t="shared" si="31"/>
        <v/>
      </c>
      <c r="AR122" s="62" t="str">
        <f t="shared" si="32"/>
        <v/>
      </c>
      <c r="AV122" s="62" t="str">
        <f t="shared" si="33"/>
        <v/>
      </c>
      <c r="AY122" s="62" t="str">
        <f t="shared" si="34"/>
        <v/>
      </c>
      <c r="BC122" s="62" t="str">
        <f t="shared" si="35"/>
        <v/>
      </c>
      <c r="BF122" s="62" t="str">
        <f t="shared" si="36"/>
        <v/>
      </c>
      <c r="BJ122" s="62" t="str">
        <f t="shared" si="37"/>
        <v/>
      </c>
      <c r="BM122" s="62" t="str">
        <f t="shared" si="38"/>
        <v/>
      </c>
      <c r="BQ122" s="62" t="str">
        <f t="shared" si="39"/>
        <v/>
      </c>
      <c r="BT122" s="62" t="str">
        <f t="shared" si="40"/>
        <v/>
      </c>
      <c r="BW122" s="62" t="str">
        <f t="shared" si="41"/>
        <v/>
      </c>
      <c r="CA122" s="62" t="str">
        <f t="shared" si="42"/>
        <v/>
      </c>
      <c r="CD122" s="62" t="str">
        <f t="shared" si="43"/>
        <v/>
      </c>
    </row>
    <row r="123" spans="1:82" x14ac:dyDescent="0.3">
      <c r="A123" s="49" t="s">
        <v>282</v>
      </c>
      <c r="B123" s="49" t="s">
        <v>284</v>
      </c>
      <c r="F123" s="62" t="str">
        <f t="shared" si="22"/>
        <v/>
      </c>
      <c r="J123" s="62" t="str">
        <f t="shared" si="23"/>
        <v/>
      </c>
      <c r="N123" s="62" t="str">
        <f t="shared" si="24"/>
        <v/>
      </c>
      <c r="R123" s="62" t="str">
        <f t="shared" si="25"/>
        <v/>
      </c>
      <c r="V123" s="62" t="str">
        <f t="shared" si="26"/>
        <v/>
      </c>
      <c r="Z123" s="62" t="str">
        <f t="shared" si="27"/>
        <v/>
      </c>
      <c r="AC123" s="62" t="str">
        <f t="shared" si="28"/>
        <v/>
      </c>
      <c r="AG123" s="62" t="str">
        <f t="shared" si="29"/>
        <v/>
      </c>
      <c r="AJ123" s="62" t="str">
        <f t="shared" si="30"/>
        <v/>
      </c>
      <c r="AK123" s="44" t="s">
        <v>43</v>
      </c>
      <c r="AL123" s="44">
        <v>80</v>
      </c>
      <c r="AM123" s="44">
        <v>4706</v>
      </c>
      <c r="AN123" s="62">
        <f t="shared" si="31"/>
        <v>58.825000000000003</v>
      </c>
      <c r="AO123" s="44" t="s">
        <v>43</v>
      </c>
      <c r="AP123" s="54">
        <v>85</v>
      </c>
      <c r="AQ123" s="44">
        <v>5313</v>
      </c>
      <c r="AR123" s="62">
        <f t="shared" si="32"/>
        <v>62.505882352941178</v>
      </c>
      <c r="AV123" s="62" t="str">
        <f t="shared" si="33"/>
        <v/>
      </c>
      <c r="AY123" s="62" t="str">
        <f t="shared" si="34"/>
        <v/>
      </c>
      <c r="BC123" s="62" t="str">
        <f t="shared" si="35"/>
        <v/>
      </c>
      <c r="BF123" s="62" t="str">
        <f t="shared" si="36"/>
        <v/>
      </c>
      <c r="BG123" s="44" t="s">
        <v>38</v>
      </c>
      <c r="BH123" s="44">
        <v>1005</v>
      </c>
      <c r="BI123" s="44">
        <v>7797</v>
      </c>
      <c r="BJ123" s="62">
        <f t="shared" si="37"/>
        <v>7.7582089552238802</v>
      </c>
      <c r="BK123" s="44">
        <v>1331</v>
      </c>
      <c r="BL123" s="44">
        <v>14500</v>
      </c>
      <c r="BM123" s="62">
        <f t="shared" si="38"/>
        <v>10.894064613072878</v>
      </c>
      <c r="BN123" s="44" t="s">
        <v>38</v>
      </c>
      <c r="BO123" s="44">
        <v>702</v>
      </c>
      <c r="BP123" s="44">
        <v>6271</v>
      </c>
      <c r="BQ123" s="62">
        <f t="shared" si="39"/>
        <v>8.9330484330484339</v>
      </c>
      <c r="BR123" s="44">
        <v>341.75</v>
      </c>
      <c r="BS123" s="44">
        <v>3397</v>
      </c>
      <c r="BT123" s="62">
        <f t="shared" si="40"/>
        <v>9.9400146305779078</v>
      </c>
      <c r="BU123" s="44">
        <v>462.75</v>
      </c>
      <c r="BV123" s="44">
        <v>4892</v>
      </c>
      <c r="BW123" s="62">
        <f t="shared" si="41"/>
        <v>10.571582928146947</v>
      </c>
      <c r="BX123" s="44" t="s">
        <v>38</v>
      </c>
      <c r="BY123" s="44">
        <v>238.25</v>
      </c>
      <c r="BZ123" s="44">
        <v>3048</v>
      </c>
      <c r="CA123" s="62">
        <f t="shared" si="42"/>
        <v>12.793284365162645</v>
      </c>
      <c r="CB123" s="44">
        <v>530</v>
      </c>
      <c r="CC123" s="44">
        <v>7396</v>
      </c>
      <c r="CD123" s="62">
        <f t="shared" si="43"/>
        <v>13.954716981132075</v>
      </c>
    </row>
    <row r="124" spans="1:82" x14ac:dyDescent="0.3">
      <c r="A124" s="49" t="s">
        <v>271</v>
      </c>
      <c r="B124" s="49" t="s">
        <v>284</v>
      </c>
      <c r="F124" s="62" t="str">
        <f t="shared" si="22"/>
        <v/>
      </c>
      <c r="J124" s="62" t="str">
        <f t="shared" si="23"/>
        <v/>
      </c>
      <c r="N124" s="62" t="str">
        <f t="shared" si="24"/>
        <v/>
      </c>
      <c r="R124" s="62" t="str">
        <f t="shared" si="25"/>
        <v/>
      </c>
      <c r="V124" s="62" t="str">
        <f t="shared" si="26"/>
        <v/>
      </c>
      <c r="Z124" s="62" t="str">
        <f t="shared" si="27"/>
        <v/>
      </c>
      <c r="AC124" s="62" t="str">
        <f t="shared" si="28"/>
        <v/>
      </c>
      <c r="AG124" s="62" t="str">
        <f t="shared" si="29"/>
        <v/>
      </c>
      <c r="AJ124" s="62" t="str">
        <f t="shared" si="30"/>
        <v/>
      </c>
      <c r="AN124" s="62" t="str">
        <f t="shared" si="31"/>
        <v/>
      </c>
      <c r="AP124" s="32"/>
      <c r="AR124" s="62" t="str">
        <f t="shared" si="32"/>
        <v/>
      </c>
      <c r="AV124" s="62" t="str">
        <f t="shared" si="33"/>
        <v/>
      </c>
      <c r="AY124" s="62" t="str">
        <f t="shared" si="34"/>
        <v/>
      </c>
      <c r="BC124" s="62" t="str">
        <f t="shared" si="35"/>
        <v/>
      </c>
      <c r="BF124" s="62" t="str">
        <f t="shared" si="36"/>
        <v/>
      </c>
      <c r="BG124" s="44" t="s">
        <v>38</v>
      </c>
      <c r="BH124" s="44">
        <v>321</v>
      </c>
      <c r="BI124" s="44">
        <v>190</v>
      </c>
      <c r="BJ124" s="62">
        <f t="shared" si="37"/>
        <v>0.59190031152647971</v>
      </c>
      <c r="BM124" s="62" t="str">
        <f t="shared" si="38"/>
        <v/>
      </c>
      <c r="BN124" s="44" t="s">
        <v>38</v>
      </c>
      <c r="BQ124" s="62" t="str">
        <f t="shared" si="39"/>
        <v/>
      </c>
      <c r="BT124" s="62" t="str">
        <f t="shared" si="40"/>
        <v/>
      </c>
      <c r="BW124" s="62" t="str">
        <f t="shared" si="41"/>
        <v/>
      </c>
      <c r="CA124" s="62" t="str">
        <f t="shared" si="42"/>
        <v/>
      </c>
      <c r="CD124" s="62" t="str">
        <f t="shared" si="43"/>
        <v/>
      </c>
    </row>
    <row r="125" spans="1:82" x14ac:dyDescent="0.3">
      <c r="A125" s="49" t="s">
        <v>272</v>
      </c>
      <c r="B125" s="49" t="s">
        <v>284</v>
      </c>
      <c r="F125" s="62" t="str">
        <f t="shared" si="22"/>
        <v/>
      </c>
      <c r="J125" s="62" t="str">
        <f t="shared" si="23"/>
        <v/>
      </c>
      <c r="N125" s="62" t="str">
        <f t="shared" si="24"/>
        <v/>
      </c>
      <c r="R125" s="62" t="str">
        <f t="shared" si="25"/>
        <v/>
      </c>
      <c r="V125" s="62" t="str">
        <f t="shared" si="26"/>
        <v/>
      </c>
      <c r="Z125" s="62" t="str">
        <f t="shared" si="27"/>
        <v/>
      </c>
      <c r="AC125" s="62" t="str">
        <f t="shared" si="28"/>
        <v/>
      </c>
      <c r="AG125" s="62" t="str">
        <f t="shared" si="29"/>
        <v/>
      </c>
      <c r="AJ125" s="62" t="str">
        <f t="shared" si="30"/>
        <v/>
      </c>
      <c r="AN125" s="62" t="str">
        <f t="shared" si="31"/>
        <v/>
      </c>
      <c r="AP125" s="32"/>
      <c r="AR125" s="62" t="str">
        <f t="shared" si="32"/>
        <v/>
      </c>
      <c r="AV125" s="62" t="str">
        <f t="shared" si="33"/>
        <v/>
      </c>
      <c r="AY125" s="62" t="str">
        <f t="shared" si="34"/>
        <v/>
      </c>
      <c r="BC125" s="62" t="str">
        <f t="shared" si="35"/>
        <v/>
      </c>
      <c r="BF125" s="62" t="str">
        <f t="shared" si="36"/>
        <v/>
      </c>
      <c r="BJ125" s="62" t="str">
        <f t="shared" si="37"/>
        <v/>
      </c>
      <c r="BM125" s="62" t="str">
        <f t="shared" si="38"/>
        <v/>
      </c>
      <c r="BN125" s="44" t="s">
        <v>38</v>
      </c>
      <c r="BQ125" s="62" t="str">
        <f t="shared" si="39"/>
        <v/>
      </c>
      <c r="BT125" s="62" t="str">
        <f t="shared" si="40"/>
        <v/>
      </c>
      <c r="BU125" s="44">
        <v>19</v>
      </c>
      <c r="BV125" s="44">
        <v>254</v>
      </c>
      <c r="BW125" s="62">
        <f t="shared" si="41"/>
        <v>13.368421052631579</v>
      </c>
      <c r="BX125" s="44" t="s">
        <v>38</v>
      </c>
      <c r="BY125" s="44">
        <v>1</v>
      </c>
      <c r="BZ125" s="44">
        <v>17</v>
      </c>
      <c r="CA125" s="62">
        <f t="shared" si="42"/>
        <v>17</v>
      </c>
      <c r="CB125" s="44">
        <v>2</v>
      </c>
      <c r="CC125" s="44">
        <v>6</v>
      </c>
      <c r="CD125" s="62">
        <f t="shared" si="43"/>
        <v>3</v>
      </c>
    </row>
    <row r="126" spans="1:82" x14ac:dyDescent="0.3">
      <c r="A126" s="49" t="s">
        <v>353</v>
      </c>
      <c r="B126" s="49" t="s">
        <v>284</v>
      </c>
      <c r="F126" s="62" t="str">
        <f t="shared" si="22"/>
        <v/>
      </c>
      <c r="J126" s="62" t="str">
        <f t="shared" si="23"/>
        <v/>
      </c>
      <c r="N126" s="62" t="str">
        <f t="shared" si="24"/>
        <v/>
      </c>
      <c r="R126" s="62" t="str">
        <f t="shared" si="25"/>
        <v/>
      </c>
      <c r="V126" s="62" t="str">
        <f t="shared" si="26"/>
        <v/>
      </c>
      <c r="Z126" s="62" t="str">
        <f t="shared" si="27"/>
        <v/>
      </c>
      <c r="AC126" s="62" t="str">
        <f t="shared" si="28"/>
        <v/>
      </c>
      <c r="AG126" s="62" t="str">
        <f t="shared" si="29"/>
        <v/>
      </c>
      <c r="AJ126" s="62" t="str">
        <f t="shared" si="30"/>
        <v/>
      </c>
      <c r="AN126" s="62" t="str">
        <f t="shared" si="31"/>
        <v/>
      </c>
      <c r="AP126" s="32"/>
      <c r="AR126" s="62" t="str">
        <f t="shared" si="32"/>
        <v/>
      </c>
      <c r="AV126" s="62" t="str">
        <f t="shared" si="33"/>
        <v/>
      </c>
      <c r="AY126" s="62" t="str">
        <f t="shared" si="34"/>
        <v/>
      </c>
      <c r="BC126" s="62" t="str">
        <f t="shared" si="35"/>
        <v/>
      </c>
      <c r="BF126" s="62" t="str">
        <f t="shared" si="36"/>
        <v/>
      </c>
      <c r="BJ126" s="62" t="str">
        <f t="shared" si="37"/>
        <v/>
      </c>
      <c r="BM126" s="62" t="str">
        <f t="shared" si="38"/>
        <v/>
      </c>
      <c r="BN126" s="44" t="s">
        <v>38</v>
      </c>
      <c r="BQ126" s="62" t="str">
        <f t="shared" si="39"/>
        <v/>
      </c>
      <c r="BR126" s="44">
        <v>739</v>
      </c>
      <c r="BS126" s="44">
        <v>484</v>
      </c>
      <c r="BT126" s="62">
        <f t="shared" si="40"/>
        <v>0.65493910690121782</v>
      </c>
      <c r="BU126" s="44">
        <v>591</v>
      </c>
      <c r="BV126" s="44">
        <v>246</v>
      </c>
      <c r="BW126" s="62">
        <f t="shared" si="41"/>
        <v>0.41624365482233505</v>
      </c>
      <c r="BX126" s="44" t="s">
        <v>38</v>
      </c>
      <c r="BY126" s="44">
        <v>53.5</v>
      </c>
      <c r="BZ126" s="44">
        <v>38</v>
      </c>
      <c r="CA126" s="62">
        <f t="shared" si="42"/>
        <v>0.71028037383177567</v>
      </c>
      <c r="CB126" s="44">
        <v>196</v>
      </c>
      <c r="CC126" s="44">
        <v>175</v>
      </c>
      <c r="CD126" s="62">
        <f t="shared" si="43"/>
        <v>0.8928571428571429</v>
      </c>
    </row>
    <row r="127" spans="1:82" x14ac:dyDescent="0.3">
      <c r="A127" s="49" t="s">
        <v>63</v>
      </c>
      <c r="B127" s="49" t="s">
        <v>284</v>
      </c>
      <c r="F127" s="62" t="str">
        <f t="shared" si="22"/>
        <v/>
      </c>
      <c r="J127" s="62" t="str">
        <f t="shared" si="23"/>
        <v/>
      </c>
      <c r="N127" s="62" t="str">
        <f t="shared" si="24"/>
        <v/>
      </c>
      <c r="R127" s="62" t="str">
        <f t="shared" si="25"/>
        <v/>
      </c>
      <c r="V127" s="62" t="str">
        <f t="shared" si="26"/>
        <v/>
      </c>
      <c r="Z127" s="62" t="str">
        <f t="shared" si="27"/>
        <v/>
      </c>
      <c r="AC127" s="62" t="str">
        <f t="shared" si="28"/>
        <v/>
      </c>
      <c r="AG127" s="62" t="str">
        <f t="shared" si="29"/>
        <v/>
      </c>
      <c r="AJ127" s="62" t="str">
        <f t="shared" si="30"/>
        <v/>
      </c>
      <c r="AN127" s="62" t="str">
        <f t="shared" si="31"/>
        <v/>
      </c>
      <c r="AR127" s="62" t="str">
        <f t="shared" si="32"/>
        <v/>
      </c>
      <c r="AV127" s="62" t="str">
        <f t="shared" si="33"/>
        <v/>
      </c>
      <c r="AY127" s="62" t="str">
        <f t="shared" si="34"/>
        <v/>
      </c>
      <c r="BC127" s="62" t="str">
        <f t="shared" si="35"/>
        <v/>
      </c>
      <c r="BF127" s="62" t="str">
        <f t="shared" si="36"/>
        <v/>
      </c>
      <c r="BG127" s="44" t="s">
        <v>38</v>
      </c>
      <c r="BH127" s="44">
        <v>239</v>
      </c>
      <c r="BI127" s="44">
        <v>278</v>
      </c>
      <c r="BJ127" s="62">
        <f t="shared" si="37"/>
        <v>1.1631799163179917</v>
      </c>
      <c r="BM127" s="62" t="str">
        <f t="shared" si="38"/>
        <v/>
      </c>
      <c r="BQ127" s="62" t="str">
        <f t="shared" si="39"/>
        <v/>
      </c>
      <c r="BT127" s="62" t="str">
        <f t="shared" si="40"/>
        <v/>
      </c>
      <c r="BW127" s="62" t="str">
        <f t="shared" si="41"/>
        <v/>
      </c>
      <c r="BX127" s="44" t="s">
        <v>38</v>
      </c>
      <c r="BY127" s="44">
        <v>31.5</v>
      </c>
      <c r="BZ127" s="44">
        <v>12</v>
      </c>
      <c r="CA127" s="62">
        <f t="shared" si="42"/>
        <v>0.38095238095238093</v>
      </c>
      <c r="CB127" s="44">
        <v>2</v>
      </c>
      <c r="CC127" s="44">
        <v>14</v>
      </c>
      <c r="CD127" s="62">
        <f t="shared" si="43"/>
        <v>7</v>
      </c>
    </row>
    <row r="130" spans="1:81" x14ac:dyDescent="0.3">
      <c r="A130" s="31" t="s">
        <v>138</v>
      </c>
      <c r="B130" s="32"/>
      <c r="G130" s="32"/>
      <c r="M130" s="32"/>
      <c r="Y130" s="32"/>
      <c r="AO130" s="55"/>
      <c r="AS130" s="32"/>
    </row>
    <row r="131" spans="1:81" s="32" customFormat="1" x14ac:dyDescent="0.3">
      <c r="A131" s="32" t="s">
        <v>21</v>
      </c>
      <c r="B131" s="32">
        <v>1</v>
      </c>
      <c r="C131" s="33" t="s">
        <v>139</v>
      </c>
      <c r="D131" s="56">
        <v>108</v>
      </c>
      <c r="E131" s="33" t="s">
        <v>140</v>
      </c>
      <c r="H131" s="56"/>
      <c r="I131" s="33"/>
      <c r="K131" s="57"/>
      <c r="M131" s="33"/>
      <c r="O131" s="56"/>
      <c r="P131" s="55"/>
      <c r="Q131" s="33"/>
      <c r="R131" s="58"/>
      <c r="T131" s="56"/>
      <c r="U131" s="33"/>
      <c r="Y131" s="33"/>
      <c r="Z131" s="56"/>
      <c r="AB131" s="33"/>
      <c r="AF131" s="33"/>
      <c r="AG131" s="56"/>
      <c r="AI131" s="33"/>
      <c r="AK131" s="56"/>
      <c r="AM131" s="33"/>
      <c r="AO131" s="56"/>
      <c r="AQ131" s="33"/>
      <c r="AS131" s="56"/>
      <c r="AU131" s="33"/>
      <c r="AW131" s="56"/>
      <c r="AX131" s="33"/>
      <c r="BA131" s="56"/>
      <c r="BB131" s="33"/>
      <c r="BE131" s="33"/>
      <c r="BG131" s="56"/>
      <c r="BI131" s="33"/>
      <c r="BK131" s="56"/>
      <c r="BL131" s="33"/>
      <c r="BP131" s="33"/>
      <c r="BS131" s="33"/>
      <c r="BV131" s="33"/>
      <c r="BZ131" s="33"/>
      <c r="CC131" s="33"/>
    </row>
    <row r="132" spans="1:81" s="32" customFormat="1" x14ac:dyDescent="0.3">
      <c r="A132" s="32" t="s">
        <v>21</v>
      </c>
      <c r="B132" s="32">
        <v>1</v>
      </c>
      <c r="C132" s="33" t="s">
        <v>141</v>
      </c>
      <c r="D132" s="56">
        <v>32.5</v>
      </c>
      <c r="E132" s="33" t="s">
        <v>140</v>
      </c>
      <c r="H132" s="56"/>
      <c r="I132" s="33"/>
      <c r="M132" s="33"/>
      <c r="N132" s="44"/>
      <c r="O132" s="56"/>
      <c r="Q132" s="33"/>
      <c r="R132" s="58"/>
      <c r="T132" s="56"/>
      <c r="U132" s="33"/>
      <c r="Y132" s="33"/>
      <c r="Z132" s="56"/>
      <c r="AB132" s="33"/>
      <c r="AF132" s="33"/>
      <c r="AG132" s="56"/>
      <c r="AI132" s="33"/>
      <c r="AK132" s="56"/>
      <c r="AM132" s="33"/>
      <c r="AO132" s="56"/>
      <c r="AQ132" s="33"/>
      <c r="AS132" s="56"/>
      <c r="AU132" s="33"/>
      <c r="AW132" s="56"/>
      <c r="AX132" s="33"/>
      <c r="BA132" s="56"/>
      <c r="BB132" s="33"/>
      <c r="BE132" s="33"/>
      <c r="BG132" s="56"/>
      <c r="BI132" s="33"/>
      <c r="BK132" s="56"/>
      <c r="BL132" s="33"/>
      <c r="BP132" s="33"/>
      <c r="BS132" s="33"/>
      <c r="BV132" s="33"/>
      <c r="BZ132" s="33"/>
      <c r="CC132" s="33"/>
    </row>
    <row r="133" spans="1:81" x14ac:dyDescent="0.3">
      <c r="A133" s="32"/>
      <c r="B133" s="32">
        <v>1</v>
      </c>
      <c r="C133" s="33" t="s">
        <v>142</v>
      </c>
      <c r="D133" s="56">
        <v>6.5</v>
      </c>
      <c r="E133" s="34" t="s">
        <v>140</v>
      </c>
      <c r="F133" s="32"/>
      <c r="G133" s="33"/>
      <c r="H133" s="56"/>
      <c r="I133" s="34"/>
      <c r="J133" s="33"/>
      <c r="K133" s="56"/>
      <c r="L133" s="33"/>
      <c r="M133" s="34"/>
      <c r="O133" s="56"/>
      <c r="Q133" s="34"/>
      <c r="T133" s="56"/>
      <c r="U133" s="34"/>
      <c r="W133" s="58"/>
      <c r="Y133" s="34"/>
      <c r="Z133" s="56"/>
      <c r="AB133" s="34"/>
      <c r="AF133" s="34"/>
      <c r="AG133" s="56"/>
      <c r="AI133" s="34"/>
      <c r="AK133" s="56"/>
      <c r="AM133" s="34"/>
      <c r="AO133" s="56"/>
      <c r="AQ133" s="34"/>
      <c r="AS133" s="56"/>
      <c r="AU133" s="34"/>
      <c r="AW133" s="56"/>
      <c r="AX133" s="34"/>
      <c r="BA133" s="56"/>
      <c r="BB133" s="34"/>
      <c r="BE133" s="34"/>
      <c r="BG133" s="56"/>
      <c r="BI133" s="34"/>
      <c r="BK133" s="56"/>
      <c r="BL133" s="34"/>
      <c r="BP133" s="34"/>
      <c r="BS133" s="34"/>
      <c r="BV133" s="34"/>
      <c r="BZ133" s="34"/>
      <c r="CC133" s="34"/>
    </row>
    <row r="134" spans="1:81" x14ac:dyDescent="0.3">
      <c r="A134" s="32"/>
      <c r="B134" s="32">
        <v>1</v>
      </c>
      <c r="C134" s="33" t="s">
        <v>143</v>
      </c>
      <c r="D134" s="56">
        <v>112</v>
      </c>
      <c r="E134" s="33" t="s">
        <v>144</v>
      </c>
      <c r="F134" s="32"/>
      <c r="G134" s="33"/>
      <c r="H134" s="56"/>
      <c r="I134" s="33"/>
      <c r="J134" s="33"/>
      <c r="K134" s="56"/>
      <c r="L134" s="33"/>
      <c r="M134" s="33"/>
      <c r="O134" s="56"/>
      <c r="Q134" s="33"/>
      <c r="T134" s="56"/>
      <c r="U134" s="33"/>
      <c r="W134" s="58"/>
      <c r="Y134" s="33"/>
      <c r="Z134" s="56"/>
      <c r="AB134" s="33"/>
      <c r="AF134" s="33"/>
      <c r="AG134" s="56"/>
      <c r="AI134" s="33"/>
      <c r="AK134" s="56"/>
      <c r="AM134" s="33"/>
      <c r="AO134" s="56"/>
      <c r="AQ134" s="33"/>
      <c r="AS134" s="56"/>
      <c r="AU134" s="33"/>
      <c r="AW134" s="56"/>
      <c r="AX134" s="33"/>
      <c r="BA134" s="56"/>
      <c r="BB134" s="33"/>
      <c r="BE134" s="33"/>
      <c r="BG134" s="56"/>
      <c r="BI134" s="33"/>
      <c r="BK134" s="56"/>
      <c r="BL134" s="33"/>
      <c r="BP134" s="33"/>
      <c r="BS134" s="33"/>
      <c r="BV134" s="33"/>
      <c r="BZ134" s="33"/>
      <c r="CC134" s="33"/>
    </row>
    <row r="135" spans="1:81" x14ac:dyDescent="0.3">
      <c r="A135" s="32"/>
      <c r="B135" s="32">
        <v>1</v>
      </c>
      <c r="C135" s="33" t="s">
        <v>143</v>
      </c>
      <c r="D135" s="56">
        <f>D134/D133</f>
        <v>17.23076923076923</v>
      </c>
      <c r="E135" s="33" t="s">
        <v>142</v>
      </c>
      <c r="F135" s="32"/>
      <c r="G135" s="56"/>
      <c r="H135" s="56"/>
      <c r="I135" s="33"/>
      <c r="J135" s="56"/>
      <c r="L135" s="56"/>
      <c r="M135" s="33"/>
      <c r="O135" s="56"/>
      <c r="P135" s="56"/>
      <c r="Q135" s="33"/>
      <c r="T135" s="56"/>
      <c r="U135" s="33"/>
      <c r="V135" s="58"/>
      <c r="W135" s="32"/>
      <c r="Y135" s="33"/>
      <c r="Z135" s="56"/>
      <c r="AB135" s="33"/>
      <c r="AF135" s="33"/>
      <c r="AG135" s="56"/>
      <c r="AI135" s="33"/>
      <c r="AK135" s="56"/>
      <c r="AM135" s="33"/>
      <c r="AN135" s="58"/>
      <c r="AO135" s="56"/>
      <c r="AQ135" s="33"/>
      <c r="AS135" s="56"/>
      <c r="AU135" s="33"/>
      <c r="AW135" s="56"/>
      <c r="AX135" s="33"/>
      <c r="BA135" s="56"/>
      <c r="BB135" s="33"/>
      <c r="BE135" s="33"/>
      <c r="BG135" s="56"/>
      <c r="BI135" s="33"/>
      <c r="BK135" s="56"/>
      <c r="BL135" s="33"/>
      <c r="BP135" s="33"/>
      <c r="BS135" s="33"/>
      <c r="BV135" s="33"/>
      <c r="BZ135" s="33"/>
      <c r="CC135" s="33"/>
    </row>
    <row r="136" spans="1:81" s="32" customFormat="1" ht="15" customHeight="1" x14ac:dyDescent="0.3">
      <c r="B136" s="90">
        <v>1</v>
      </c>
      <c r="C136" s="87" t="s">
        <v>145</v>
      </c>
      <c r="D136" s="88">
        <v>130</v>
      </c>
      <c r="E136" s="89" t="s">
        <v>140</v>
      </c>
      <c r="F136" s="35"/>
      <c r="G136" s="59"/>
      <c r="H136" s="60"/>
      <c r="I136" s="67"/>
      <c r="J136" s="59"/>
      <c r="K136" s="59"/>
      <c r="L136" s="59"/>
      <c r="M136" s="67"/>
      <c r="N136" s="59"/>
      <c r="O136" s="60"/>
      <c r="P136" s="59"/>
      <c r="Q136" s="67"/>
      <c r="R136" s="59"/>
      <c r="S136" s="59"/>
      <c r="T136" s="60"/>
      <c r="U136" s="67"/>
      <c r="V136" s="59"/>
      <c r="Y136" s="67"/>
      <c r="Z136" s="60"/>
      <c r="AB136" s="67"/>
      <c r="AF136" s="67"/>
      <c r="AG136" s="60"/>
      <c r="AI136" s="67"/>
      <c r="AK136" s="60"/>
      <c r="AM136" s="67"/>
      <c r="AO136" s="60"/>
      <c r="AQ136" s="67"/>
      <c r="AS136" s="60"/>
      <c r="AU136" s="67"/>
      <c r="AW136" s="60"/>
      <c r="AX136" s="67"/>
      <c r="BA136" s="60"/>
      <c r="BB136" s="67"/>
      <c r="BE136" s="67"/>
      <c r="BG136" s="60"/>
      <c r="BI136" s="67"/>
      <c r="BK136" s="60"/>
      <c r="BL136" s="67"/>
      <c r="BP136" s="67"/>
      <c r="BS136" s="67"/>
      <c r="BV136" s="67"/>
      <c r="BZ136" s="67"/>
      <c r="CC136" s="67"/>
    </row>
    <row r="137" spans="1:81" s="32" customFormat="1" ht="28.8" customHeight="1" x14ac:dyDescent="0.3">
      <c r="B137" s="90"/>
      <c r="C137" s="87"/>
      <c r="D137" s="88"/>
      <c r="E137" s="89"/>
      <c r="H137" s="60"/>
      <c r="I137" s="67"/>
      <c r="M137" s="67"/>
      <c r="O137" s="60"/>
      <c r="Q137" s="67"/>
      <c r="T137" s="60"/>
      <c r="U137" s="67"/>
      <c r="Y137" s="67"/>
      <c r="Z137" s="60"/>
      <c r="AB137" s="67"/>
      <c r="AF137" s="67"/>
      <c r="AG137" s="60"/>
      <c r="AI137" s="67"/>
      <c r="AK137" s="60"/>
      <c r="AM137" s="67"/>
      <c r="AO137" s="60"/>
      <c r="AQ137" s="67"/>
      <c r="AS137" s="60"/>
      <c r="AU137" s="67"/>
      <c r="AW137" s="60"/>
      <c r="AX137" s="67"/>
      <c r="BA137" s="60"/>
      <c r="BB137" s="67"/>
      <c r="BE137" s="67"/>
      <c r="BG137" s="60"/>
      <c r="BI137" s="67"/>
      <c r="BK137" s="60"/>
      <c r="BL137" s="67"/>
      <c r="BP137" s="67"/>
      <c r="BS137" s="67"/>
      <c r="BV137" s="67"/>
      <c r="BZ137" s="67"/>
      <c r="CC137" s="67"/>
    </row>
    <row r="138" spans="1:81" s="32" customFormat="1" x14ac:dyDescent="0.3">
      <c r="B138" s="37">
        <v>1</v>
      </c>
      <c r="C138" s="33" t="s">
        <v>146</v>
      </c>
      <c r="D138" s="56">
        <v>260</v>
      </c>
      <c r="E138" s="33" t="s">
        <v>140</v>
      </c>
      <c r="H138" s="56"/>
      <c r="I138" s="33"/>
      <c r="M138" s="33"/>
      <c r="O138" s="56"/>
      <c r="Q138" s="33"/>
      <c r="T138" s="56"/>
      <c r="U138" s="33"/>
      <c r="Y138" s="33"/>
      <c r="Z138" s="56"/>
      <c r="AB138" s="33"/>
      <c r="AF138" s="33"/>
      <c r="AG138" s="56"/>
      <c r="AI138" s="33"/>
      <c r="AK138" s="56"/>
      <c r="AM138" s="33"/>
      <c r="AO138" s="56"/>
      <c r="AQ138" s="33"/>
      <c r="AS138" s="56"/>
      <c r="AU138" s="33"/>
      <c r="AW138" s="56"/>
      <c r="AX138" s="33"/>
      <c r="BA138" s="56"/>
      <c r="BB138" s="33"/>
      <c r="BE138" s="33"/>
      <c r="BG138" s="56"/>
      <c r="BI138" s="33"/>
      <c r="BK138" s="56"/>
      <c r="BL138" s="33"/>
      <c r="BP138" s="33"/>
      <c r="BS138" s="33"/>
      <c r="BV138" s="33"/>
      <c r="BZ138" s="33"/>
      <c r="CC138" s="33"/>
    </row>
    <row r="139" spans="1:81" s="32" customFormat="1" x14ac:dyDescent="0.3">
      <c r="B139" s="37">
        <v>1</v>
      </c>
      <c r="C139" s="33" t="s">
        <v>354</v>
      </c>
      <c r="D139" s="56">
        <f>D136/D134</f>
        <v>1.1607142857142858</v>
      </c>
      <c r="E139" s="33" t="s">
        <v>147</v>
      </c>
      <c r="H139" s="56"/>
      <c r="I139" s="33"/>
      <c r="M139" s="33"/>
      <c r="O139" s="56"/>
      <c r="Q139" s="33"/>
      <c r="T139" s="56"/>
      <c r="U139" s="33"/>
      <c r="Y139" s="33"/>
      <c r="Z139" s="56"/>
      <c r="AB139" s="33"/>
      <c r="AF139" s="33"/>
      <c r="AG139" s="56"/>
      <c r="AI139" s="33"/>
      <c r="AK139" s="56"/>
      <c r="AM139" s="33"/>
      <c r="AO139" s="56"/>
      <c r="AQ139" s="33"/>
      <c r="AS139" s="56"/>
      <c r="AU139" s="33"/>
      <c r="AW139" s="56"/>
      <c r="AX139" s="33"/>
      <c r="BA139" s="56"/>
      <c r="BB139" s="33"/>
      <c r="BE139" s="33"/>
      <c r="BG139" s="56"/>
      <c r="BI139" s="33"/>
      <c r="BK139" s="56"/>
      <c r="BL139" s="33"/>
      <c r="BP139" s="33"/>
      <c r="BS139" s="33"/>
      <c r="BV139" s="33"/>
      <c r="BZ139" s="33"/>
      <c r="CC139" s="33"/>
    </row>
    <row r="140" spans="1:81" s="32" customFormat="1" x14ac:dyDescent="0.3">
      <c r="B140" s="37">
        <v>1</v>
      </c>
      <c r="C140" s="33" t="s">
        <v>146</v>
      </c>
      <c r="D140" s="56">
        <f>D138/D134</f>
        <v>2.3214285714285716</v>
      </c>
      <c r="E140" s="33" t="s">
        <v>147</v>
      </c>
      <c r="H140" s="56"/>
      <c r="I140" s="33"/>
      <c r="M140" s="33"/>
      <c r="O140" s="56"/>
      <c r="Q140" s="33"/>
      <c r="T140" s="56"/>
      <c r="U140" s="33"/>
      <c r="Y140" s="33"/>
      <c r="Z140" s="56"/>
      <c r="AB140" s="33"/>
      <c r="AF140" s="33"/>
      <c r="AG140" s="56"/>
      <c r="AI140" s="33"/>
      <c r="AK140" s="56"/>
      <c r="AM140" s="33"/>
      <c r="AO140" s="56"/>
      <c r="AQ140" s="33"/>
      <c r="AS140" s="56"/>
      <c r="AU140" s="33"/>
      <c r="AW140" s="56"/>
      <c r="AX140" s="33"/>
      <c r="BA140" s="56"/>
      <c r="BB140" s="33"/>
      <c r="BE140" s="33"/>
      <c r="BG140" s="56"/>
      <c r="BI140" s="33"/>
      <c r="BK140" s="56"/>
      <c r="BL140" s="33"/>
      <c r="BP140" s="33"/>
      <c r="BS140" s="33"/>
      <c r="BV140" s="33"/>
      <c r="BZ140" s="33"/>
      <c r="CC140" s="33"/>
    </row>
    <row r="141" spans="1:81" x14ac:dyDescent="0.3">
      <c r="A141" s="32"/>
      <c r="B141" s="37">
        <v>1</v>
      </c>
      <c r="C141" s="33" t="s">
        <v>148</v>
      </c>
      <c r="D141" s="56">
        <v>20</v>
      </c>
      <c r="E141" s="33" t="s">
        <v>147</v>
      </c>
      <c r="F141" s="61">
        <f>D141*D134</f>
        <v>2240</v>
      </c>
      <c r="G141" s="33" t="s">
        <v>140</v>
      </c>
      <c r="H141" s="61">
        <f>F141/D143</f>
        <v>420</v>
      </c>
      <c r="I141" s="36" t="s">
        <v>149</v>
      </c>
      <c r="J141" s="61">
        <f>F141/D142</f>
        <v>1016.048117135833</v>
      </c>
      <c r="K141" s="33" t="s">
        <v>150</v>
      </c>
      <c r="L141" s="33"/>
      <c r="P141" s="33"/>
      <c r="T141" s="33"/>
      <c r="V141" s="32"/>
      <c r="X141" s="33"/>
      <c r="Z141" s="58"/>
      <c r="AA141" s="33"/>
      <c r="AB141" s="58"/>
      <c r="AE141" s="33"/>
      <c r="AH141" s="33"/>
      <c r="AL141" s="33"/>
      <c r="AP141" s="33"/>
      <c r="AS141" s="58"/>
      <c r="AT141" s="33"/>
      <c r="AW141" s="33"/>
      <c r="BA141" s="33"/>
      <c r="BD141" s="33"/>
      <c r="BH141" s="33"/>
      <c r="BK141" s="33"/>
      <c r="BO141" s="33"/>
      <c r="BR141" s="33"/>
      <c r="BU141" s="33"/>
      <c r="BY141" s="33"/>
      <c r="CB141" s="33"/>
    </row>
    <row r="142" spans="1:81" x14ac:dyDescent="0.3">
      <c r="A142" s="32"/>
      <c r="B142" s="37">
        <v>1</v>
      </c>
      <c r="C142" s="33" t="s">
        <v>151</v>
      </c>
      <c r="D142" s="56">
        <v>2.2046199999999998</v>
      </c>
      <c r="E142" s="33" t="s">
        <v>140</v>
      </c>
      <c r="F142" s="61">
        <f>D142/D134</f>
        <v>1.9684107142857142E-2</v>
      </c>
      <c r="G142" s="36" t="s">
        <v>147</v>
      </c>
      <c r="I142" s="58"/>
      <c r="J142" s="58"/>
      <c r="L142" s="33"/>
      <c r="P142" s="33"/>
      <c r="T142" s="33"/>
      <c r="V142" s="32"/>
      <c r="X142" s="33"/>
      <c r="Z142" s="58"/>
      <c r="AA142" s="33"/>
      <c r="AB142" s="58"/>
      <c r="AE142" s="33"/>
      <c r="AH142" s="33"/>
      <c r="AL142" s="33"/>
      <c r="AP142" s="33"/>
      <c r="AS142" s="58"/>
      <c r="AT142" s="33"/>
      <c r="AW142" s="33"/>
      <c r="BA142" s="33"/>
      <c r="BD142" s="33"/>
      <c r="BH142" s="33"/>
      <c r="BK142" s="33"/>
      <c r="BO142" s="33"/>
      <c r="BR142" s="33"/>
      <c r="BU142" s="33"/>
      <c r="BY142" s="33"/>
      <c r="CB142" s="33"/>
    </row>
    <row r="143" spans="1:81" x14ac:dyDescent="0.3">
      <c r="A143" s="32"/>
      <c r="B143" s="37">
        <v>1</v>
      </c>
      <c r="C143" s="33" t="s">
        <v>152</v>
      </c>
      <c r="D143" s="56">
        <f>16/3</f>
        <v>5.333333333333333</v>
      </c>
      <c r="E143" s="33" t="s">
        <v>140</v>
      </c>
      <c r="F143" s="61">
        <f>D143/D134</f>
        <v>4.7619047619047616E-2</v>
      </c>
      <c r="G143" s="36" t="s">
        <v>147</v>
      </c>
      <c r="I143" s="58"/>
      <c r="J143" s="58"/>
      <c r="L143" s="33"/>
      <c r="P143" s="33"/>
      <c r="T143" s="33"/>
      <c r="V143" s="32"/>
      <c r="X143" s="33"/>
      <c r="Z143" s="58"/>
      <c r="AA143" s="33"/>
      <c r="AB143" s="58"/>
      <c r="AE143" s="33"/>
      <c r="AH143" s="33"/>
      <c r="AL143" s="33"/>
      <c r="AP143" s="33"/>
      <c r="AS143" s="58"/>
      <c r="AT143" s="33"/>
      <c r="AW143" s="33"/>
      <c r="BA143" s="33"/>
      <c r="BD143" s="33"/>
      <c r="BH143" s="33"/>
      <c r="BK143" s="33"/>
      <c r="BO143" s="33"/>
      <c r="BR143" s="33"/>
      <c r="BU143" s="33"/>
      <c r="BY143" s="33"/>
      <c r="CB143" s="33"/>
    </row>
    <row r="144" spans="1:81" x14ac:dyDescent="0.3">
      <c r="A144" s="32"/>
      <c r="B144" s="37">
        <v>1</v>
      </c>
      <c r="C144" s="33" t="s">
        <v>153</v>
      </c>
      <c r="D144" s="56">
        <v>100</v>
      </c>
      <c r="E144" s="33" t="s">
        <v>152</v>
      </c>
      <c r="F144" s="61">
        <f>D144*F143</f>
        <v>4.7619047619047619</v>
      </c>
      <c r="G144" s="36" t="s">
        <v>147</v>
      </c>
      <c r="H144" s="56">
        <f>F144/D141</f>
        <v>0.23809523809523808</v>
      </c>
      <c r="I144" s="36" t="s">
        <v>154</v>
      </c>
      <c r="J144" s="58"/>
      <c r="L144" s="33"/>
      <c r="P144" s="33"/>
      <c r="T144" s="33"/>
      <c r="V144" s="32"/>
      <c r="X144" s="33"/>
      <c r="Z144" s="58"/>
      <c r="AA144" s="33"/>
      <c r="AB144" s="58"/>
      <c r="AE144" s="33"/>
      <c r="AH144" s="33"/>
      <c r="AL144" s="33"/>
      <c r="AP144" s="33"/>
      <c r="AS144" s="58"/>
      <c r="AT144" s="33"/>
      <c r="AW144" s="33"/>
      <c r="BA144" s="33"/>
      <c r="BD144" s="33"/>
      <c r="BH144" s="33"/>
      <c r="BK144" s="33"/>
      <c r="BO144" s="33"/>
      <c r="BR144" s="33"/>
      <c r="BU144" s="33"/>
      <c r="BY144" s="33"/>
      <c r="CB144" s="33"/>
    </row>
    <row r="145" spans="1:81" x14ac:dyDescent="0.3">
      <c r="A145" s="32"/>
      <c r="B145" s="37">
        <v>1</v>
      </c>
      <c r="C145" s="33" t="s">
        <v>155</v>
      </c>
      <c r="D145" s="56">
        <f>D134/D143</f>
        <v>21</v>
      </c>
      <c r="E145" s="33" t="s">
        <v>152</v>
      </c>
      <c r="F145" s="61"/>
      <c r="G145" s="36"/>
      <c r="I145" s="33"/>
      <c r="J145" s="58"/>
      <c r="K145" s="58"/>
      <c r="M145" s="33"/>
      <c r="Q145" s="33"/>
      <c r="U145" s="33"/>
      <c r="W145" s="32"/>
      <c r="Y145" s="33"/>
      <c r="AA145" s="58"/>
      <c r="AB145" s="33"/>
      <c r="AC145" s="58"/>
      <c r="AF145" s="33"/>
      <c r="AI145" s="33"/>
      <c r="AM145" s="33"/>
      <c r="AQ145" s="33"/>
      <c r="AT145" s="58"/>
      <c r="AU145" s="33"/>
      <c r="AX145" s="33"/>
      <c r="BB145" s="33"/>
      <c r="BE145" s="33"/>
      <c r="BI145" s="33"/>
      <c r="BL145" s="33"/>
      <c r="BP145" s="33"/>
      <c r="BS145" s="33"/>
      <c r="BV145" s="33"/>
      <c r="BZ145" s="33"/>
      <c r="CC145" s="33"/>
    </row>
    <row r="146" spans="1:81" x14ac:dyDescent="0.3">
      <c r="A146" s="32"/>
      <c r="B146" s="58"/>
      <c r="F146" s="58"/>
      <c r="G146" s="58"/>
      <c r="H146" s="58"/>
      <c r="K146" s="58"/>
      <c r="L146" s="58"/>
      <c r="X146" s="32"/>
      <c r="AC146" s="58"/>
      <c r="AD146" s="58"/>
      <c r="AV146" s="58"/>
    </row>
    <row r="147" spans="1:81" x14ac:dyDescent="0.3">
      <c r="A147" s="32"/>
      <c r="B147" s="32">
        <v>1</v>
      </c>
      <c r="C147" s="33" t="s">
        <v>139</v>
      </c>
      <c r="D147" s="56">
        <v>108</v>
      </c>
      <c r="E147" s="33" t="s">
        <v>140</v>
      </c>
      <c r="H147" s="33"/>
      <c r="I147" s="33"/>
      <c r="J147" s="56"/>
      <c r="K147" s="56"/>
      <c r="L147" s="33"/>
      <c r="M147" s="33"/>
      <c r="O147" s="62"/>
      <c r="P147" s="62"/>
      <c r="Q147" s="33"/>
      <c r="R147" s="62"/>
      <c r="S147" s="62"/>
      <c r="T147" s="32"/>
      <c r="U147" s="33"/>
      <c r="V147" s="32"/>
      <c r="W147" s="63"/>
      <c r="X147" s="63"/>
      <c r="Y147" s="33"/>
      <c r="Z147" s="63"/>
      <c r="AA147" s="58"/>
      <c r="AB147" s="33"/>
      <c r="AC147" s="32"/>
      <c r="AD147" s="32"/>
      <c r="AE147" s="32"/>
      <c r="AF147" s="33"/>
      <c r="AG147" s="32"/>
      <c r="AI147" s="33"/>
      <c r="AM147" s="33"/>
      <c r="AQ147" s="33"/>
      <c r="AU147" s="33"/>
      <c r="AX147" s="33"/>
      <c r="BB147" s="33"/>
      <c r="BE147" s="33"/>
      <c r="BI147" s="33"/>
      <c r="BL147" s="33"/>
      <c r="BP147" s="33"/>
      <c r="BS147" s="33"/>
      <c r="BV147" s="33"/>
      <c r="BZ147" s="33"/>
      <c r="CC147" s="33"/>
    </row>
    <row r="148" spans="1:81" x14ac:dyDescent="0.3">
      <c r="A148" s="32"/>
      <c r="B148" s="32">
        <v>1</v>
      </c>
      <c r="C148" s="33" t="s">
        <v>141</v>
      </c>
      <c r="D148" s="56">
        <v>32.5</v>
      </c>
      <c r="E148" s="33" t="s">
        <v>140</v>
      </c>
      <c r="F148" s="32"/>
      <c r="G148" s="32"/>
      <c r="H148" s="33"/>
      <c r="I148" s="33"/>
      <c r="J148" s="56"/>
      <c r="K148" s="56"/>
      <c r="L148" s="33"/>
      <c r="M148" s="33"/>
      <c r="O148" s="62"/>
      <c r="P148" s="62"/>
      <c r="Q148" s="33"/>
      <c r="R148" s="62"/>
      <c r="S148" s="62"/>
      <c r="T148" s="32"/>
      <c r="U148" s="33"/>
      <c r="V148" s="32"/>
      <c r="W148" s="63"/>
      <c r="X148" s="63"/>
      <c r="Y148" s="33"/>
      <c r="Z148" s="63"/>
      <c r="AA148" s="58"/>
      <c r="AB148" s="33"/>
      <c r="AC148" s="32"/>
      <c r="AD148" s="32"/>
      <c r="AE148" s="32"/>
      <c r="AF148" s="33"/>
      <c r="AG148" s="32"/>
      <c r="AI148" s="33"/>
      <c r="AM148" s="33"/>
      <c r="AQ148" s="33"/>
      <c r="AU148" s="33"/>
      <c r="AX148" s="33"/>
      <c r="BB148" s="33"/>
      <c r="BE148" s="33"/>
      <c r="BI148" s="33"/>
      <c r="BL148" s="33"/>
      <c r="BP148" s="33"/>
      <c r="BS148" s="33"/>
      <c r="BV148" s="33"/>
      <c r="BZ148" s="33"/>
      <c r="CC148" s="33"/>
    </row>
    <row r="149" spans="1:81" x14ac:dyDescent="0.3">
      <c r="A149" s="32"/>
      <c r="B149" s="32">
        <v>1</v>
      </c>
      <c r="C149" s="33" t="s">
        <v>143</v>
      </c>
      <c r="D149" s="56">
        <v>112</v>
      </c>
      <c r="E149" s="33" t="s">
        <v>144</v>
      </c>
      <c r="H149" s="33"/>
      <c r="I149" s="33"/>
      <c r="J149" s="56"/>
      <c r="K149" s="56"/>
      <c r="L149" s="33"/>
      <c r="M149" s="33"/>
      <c r="O149" s="62"/>
      <c r="P149" s="62"/>
      <c r="Q149" s="33"/>
      <c r="R149" s="62"/>
      <c r="S149" s="62"/>
      <c r="T149" s="32"/>
      <c r="U149" s="33"/>
      <c r="V149" s="32"/>
      <c r="W149" s="63"/>
      <c r="X149" s="63"/>
      <c r="Y149" s="33"/>
      <c r="Z149" s="63"/>
      <c r="AA149" s="58"/>
      <c r="AB149" s="33"/>
      <c r="AC149" s="32"/>
      <c r="AD149" s="32"/>
      <c r="AE149" s="32"/>
      <c r="AF149" s="33"/>
      <c r="AG149" s="32"/>
      <c r="AI149" s="33"/>
      <c r="AM149" s="33"/>
      <c r="AQ149" s="33"/>
      <c r="AU149" s="33"/>
      <c r="AX149" s="33"/>
      <c r="BB149" s="33"/>
      <c r="BE149" s="33"/>
      <c r="BI149" s="33"/>
      <c r="BL149" s="33"/>
      <c r="BP149" s="33"/>
      <c r="BS149" s="33"/>
      <c r="BV149" s="33"/>
      <c r="BZ149" s="33"/>
      <c r="CC149" s="33"/>
    </row>
    <row r="150" spans="1:81" ht="14.4" customHeight="1" x14ac:dyDescent="0.3">
      <c r="A150" s="32"/>
      <c r="B150" s="90">
        <v>1</v>
      </c>
      <c r="C150" s="87" t="s">
        <v>145</v>
      </c>
      <c r="D150" s="88">
        <v>130</v>
      </c>
      <c r="E150" s="89" t="s">
        <v>140</v>
      </c>
      <c r="H150" s="33"/>
      <c r="I150" s="67"/>
      <c r="J150" s="56"/>
      <c r="K150" s="56"/>
      <c r="L150" s="33"/>
      <c r="M150" s="67"/>
      <c r="O150" s="62"/>
      <c r="P150" s="62"/>
      <c r="Q150" s="67"/>
      <c r="R150" s="62"/>
      <c r="S150" s="62"/>
      <c r="T150" s="32"/>
      <c r="U150" s="67"/>
      <c r="V150" s="32"/>
      <c r="W150" s="63"/>
      <c r="X150" s="63"/>
      <c r="Y150" s="67"/>
      <c r="Z150" s="63"/>
      <c r="AA150" s="58"/>
      <c r="AB150" s="67"/>
      <c r="AC150" s="32"/>
      <c r="AD150" s="32"/>
      <c r="AE150" s="32"/>
      <c r="AF150" s="67"/>
      <c r="AG150" s="32"/>
      <c r="AI150" s="67"/>
      <c r="AM150" s="67"/>
      <c r="AQ150" s="67"/>
      <c r="AU150" s="67"/>
      <c r="AX150" s="67"/>
      <c r="BB150" s="67"/>
      <c r="BE150" s="67"/>
      <c r="BI150" s="67"/>
      <c r="BL150" s="67"/>
      <c r="BP150" s="67"/>
      <c r="BS150" s="67"/>
      <c r="BV150" s="67"/>
      <c r="BZ150" s="67"/>
      <c r="CC150" s="67"/>
    </row>
    <row r="151" spans="1:81" ht="14.4" customHeight="1" x14ac:dyDescent="0.3">
      <c r="A151" s="32"/>
      <c r="B151" s="90"/>
      <c r="C151" s="87"/>
      <c r="D151" s="88"/>
      <c r="E151" s="89"/>
      <c r="F151" s="32"/>
      <c r="G151" s="32"/>
      <c r="H151" s="33"/>
      <c r="I151" s="67"/>
      <c r="J151" s="56"/>
      <c r="K151" s="56"/>
      <c r="L151" s="33"/>
      <c r="M151" s="67"/>
      <c r="O151" s="62"/>
      <c r="P151" s="62"/>
      <c r="Q151" s="67"/>
      <c r="R151" s="62"/>
      <c r="S151" s="62"/>
      <c r="T151" s="32"/>
      <c r="U151" s="67"/>
      <c r="V151" s="32"/>
      <c r="W151" s="63"/>
      <c r="X151" s="63"/>
      <c r="Y151" s="67"/>
      <c r="Z151" s="63"/>
      <c r="AA151" s="58"/>
      <c r="AB151" s="67"/>
      <c r="AC151" s="32"/>
      <c r="AD151" s="32"/>
      <c r="AE151" s="32"/>
      <c r="AF151" s="67"/>
      <c r="AG151" s="32"/>
      <c r="AI151" s="67"/>
      <c r="AM151" s="67"/>
      <c r="AQ151" s="67"/>
      <c r="AU151" s="67"/>
      <c r="AX151" s="67"/>
      <c r="BB151" s="67"/>
      <c r="BE151" s="67"/>
      <c r="BI151" s="67"/>
      <c r="BL151" s="67"/>
      <c r="BP151" s="67"/>
      <c r="BS151" s="67"/>
      <c r="BV151" s="67"/>
      <c r="BZ151" s="67"/>
      <c r="CC151" s="67"/>
    </row>
    <row r="152" spans="1:81" x14ac:dyDescent="0.3">
      <c r="A152" s="32"/>
      <c r="B152" s="37">
        <v>1</v>
      </c>
      <c r="C152" s="33" t="s">
        <v>146</v>
      </c>
      <c r="D152" s="56">
        <v>260</v>
      </c>
      <c r="E152" s="33" t="s">
        <v>140</v>
      </c>
      <c r="F152" s="32"/>
      <c r="G152" s="32"/>
      <c r="H152" s="33"/>
      <c r="I152" s="33"/>
      <c r="J152" s="56"/>
      <c r="K152" s="56"/>
      <c r="L152" s="33"/>
      <c r="M152" s="33"/>
      <c r="O152" s="62"/>
      <c r="P152" s="62"/>
      <c r="Q152" s="33"/>
      <c r="R152" s="62"/>
      <c r="S152" s="62"/>
      <c r="T152" s="32"/>
      <c r="U152" s="33"/>
      <c r="V152" s="32"/>
      <c r="W152" s="63"/>
      <c r="X152" s="63"/>
      <c r="Y152" s="33"/>
      <c r="Z152" s="63"/>
      <c r="AA152" s="58"/>
      <c r="AB152" s="33"/>
      <c r="AC152" s="32"/>
      <c r="AD152" s="32"/>
      <c r="AE152" s="32"/>
      <c r="AF152" s="33"/>
      <c r="AG152" s="32"/>
      <c r="AI152" s="33"/>
      <c r="AM152" s="33"/>
      <c r="AQ152" s="33"/>
      <c r="AU152" s="33"/>
      <c r="AX152" s="33"/>
      <c r="BB152" s="33"/>
      <c r="BE152" s="33"/>
      <c r="BI152" s="33"/>
      <c r="BL152" s="33"/>
      <c r="BP152" s="33"/>
      <c r="BS152" s="33"/>
      <c r="BV152" s="33"/>
      <c r="BZ152" s="33"/>
      <c r="CC152" s="33"/>
    </row>
    <row r="153" spans="1:81" x14ac:dyDescent="0.3">
      <c r="A153" s="32"/>
      <c r="B153" s="37">
        <v>1</v>
      </c>
      <c r="C153" s="33" t="s">
        <v>354</v>
      </c>
      <c r="D153" s="56">
        <f>D150/D149</f>
        <v>1.1607142857142858</v>
      </c>
      <c r="E153" s="33" t="s">
        <v>147</v>
      </c>
      <c r="F153" s="32"/>
      <c r="G153" s="32"/>
      <c r="H153" s="33"/>
      <c r="I153" s="33"/>
      <c r="J153" s="56"/>
      <c r="K153" s="56"/>
      <c r="L153" s="33"/>
      <c r="M153" s="33"/>
      <c r="O153" s="62"/>
      <c r="P153" s="62"/>
      <c r="Q153" s="33"/>
      <c r="R153" s="62"/>
      <c r="S153" s="62"/>
      <c r="T153" s="32"/>
      <c r="U153" s="33"/>
      <c r="V153" s="32"/>
      <c r="W153" s="63"/>
      <c r="X153" s="63"/>
      <c r="Y153" s="33"/>
      <c r="Z153" s="63"/>
      <c r="AA153" s="58"/>
      <c r="AB153" s="33"/>
      <c r="AC153" s="32"/>
      <c r="AD153" s="32"/>
      <c r="AE153" s="32"/>
      <c r="AF153" s="33"/>
      <c r="AG153" s="32"/>
      <c r="AI153" s="33"/>
      <c r="AM153" s="33"/>
      <c r="AQ153" s="33"/>
      <c r="AU153" s="33"/>
      <c r="AX153" s="33"/>
      <c r="BB153" s="33"/>
      <c r="BE153" s="33"/>
      <c r="BI153" s="33"/>
      <c r="BL153" s="33"/>
      <c r="BP153" s="33"/>
      <c r="BS153" s="33"/>
      <c r="BV153" s="33"/>
      <c r="BZ153" s="33"/>
      <c r="CC153" s="33"/>
    </row>
    <row r="154" spans="1:81" x14ac:dyDescent="0.3">
      <c r="A154" s="32"/>
      <c r="B154" s="37">
        <v>1</v>
      </c>
      <c r="C154" s="33" t="s">
        <v>146</v>
      </c>
      <c r="D154" s="56">
        <f>D152/D149</f>
        <v>2.3214285714285716</v>
      </c>
      <c r="E154" s="33" t="s">
        <v>147</v>
      </c>
      <c r="F154" s="32"/>
      <c r="G154" s="32"/>
      <c r="H154" s="33"/>
      <c r="I154" s="33"/>
      <c r="J154" s="56"/>
      <c r="K154" s="56"/>
      <c r="L154" s="33"/>
      <c r="M154" s="33"/>
      <c r="O154" s="62"/>
      <c r="P154" s="62"/>
      <c r="Q154" s="33"/>
      <c r="R154" s="62"/>
      <c r="S154" s="62"/>
      <c r="T154" s="32"/>
      <c r="U154" s="33"/>
      <c r="V154" s="32"/>
      <c r="W154" s="63"/>
      <c r="X154" s="63"/>
      <c r="Y154" s="33"/>
      <c r="Z154" s="63"/>
      <c r="AA154" s="58"/>
      <c r="AB154" s="33"/>
      <c r="AC154" s="32"/>
      <c r="AD154" s="32"/>
      <c r="AE154" s="32"/>
      <c r="AF154" s="33"/>
      <c r="AG154" s="32"/>
      <c r="AI154" s="33"/>
      <c r="AM154" s="33"/>
      <c r="AQ154" s="33"/>
      <c r="AU154" s="33"/>
      <c r="AX154" s="33"/>
      <c r="BB154" s="33"/>
      <c r="BE154" s="33"/>
      <c r="BI154" s="33"/>
      <c r="BL154" s="33"/>
      <c r="BP154" s="33"/>
      <c r="BS154" s="33"/>
      <c r="BV154" s="33"/>
      <c r="BZ154" s="33"/>
      <c r="CC154" s="33"/>
    </row>
    <row r="155" spans="1:81" x14ac:dyDescent="0.3">
      <c r="A155" s="32"/>
      <c r="B155" s="32"/>
      <c r="C155" s="32"/>
      <c r="D155" s="32"/>
      <c r="E155" s="32"/>
      <c r="F155" s="32"/>
      <c r="G155" s="32"/>
      <c r="H155" s="33"/>
      <c r="I155" s="32"/>
      <c r="J155" s="56"/>
      <c r="K155" s="56"/>
      <c r="L155" s="33"/>
      <c r="M155" s="32"/>
      <c r="O155" s="62"/>
      <c r="P155" s="62"/>
      <c r="Q155" s="32"/>
      <c r="R155" s="62"/>
      <c r="S155" s="62"/>
      <c r="T155" s="32"/>
      <c r="U155" s="32"/>
      <c r="V155" s="32"/>
      <c r="W155" s="63"/>
      <c r="X155" s="63"/>
      <c r="Y155" s="32"/>
      <c r="Z155" s="63"/>
      <c r="AA155" s="58"/>
      <c r="AB155" s="32"/>
      <c r="AC155" s="32"/>
      <c r="AD155" s="32"/>
      <c r="AE155" s="32"/>
      <c r="AF155" s="32"/>
      <c r="AG155" s="32"/>
      <c r="AI155" s="32"/>
      <c r="AM155" s="32"/>
      <c r="AQ155" s="32"/>
      <c r="AU155" s="32"/>
      <c r="AX155" s="32"/>
      <c r="BB155" s="32"/>
      <c r="BE155" s="32"/>
      <c r="BI155" s="32"/>
      <c r="BL155" s="32"/>
      <c r="BP155" s="32"/>
      <c r="BS155" s="32"/>
      <c r="BV155" s="32"/>
      <c r="BZ155" s="32"/>
      <c r="CC155" s="32"/>
    </row>
    <row r="156" spans="1:81" x14ac:dyDescent="0.3">
      <c r="A156" s="32" t="s">
        <v>6</v>
      </c>
      <c r="B156" s="32">
        <v>1</v>
      </c>
      <c r="C156" s="34" t="s">
        <v>156</v>
      </c>
      <c r="D156" s="32">
        <v>373.33</v>
      </c>
      <c r="E156" s="33" t="s">
        <v>140</v>
      </c>
      <c r="F156" s="61">
        <f>D156/D149</f>
        <v>3.3333035714285715</v>
      </c>
      <c r="G156" s="33" t="s">
        <v>147</v>
      </c>
      <c r="H156" s="33"/>
      <c r="I156" s="33"/>
      <c r="J156" s="56"/>
      <c r="K156" s="56"/>
      <c r="L156" s="33"/>
      <c r="M156" s="33"/>
      <c r="O156" s="62"/>
      <c r="P156" s="62"/>
      <c r="Q156" s="33"/>
      <c r="R156" s="62"/>
      <c r="S156" s="62"/>
      <c r="T156" s="32"/>
      <c r="U156" s="33"/>
      <c r="V156" s="32"/>
      <c r="W156" s="63"/>
      <c r="X156" s="63"/>
      <c r="Y156" s="33"/>
      <c r="Z156" s="63"/>
      <c r="AA156" s="58"/>
      <c r="AB156" s="33"/>
      <c r="AC156" s="32"/>
      <c r="AD156" s="32"/>
      <c r="AE156" s="32"/>
      <c r="AF156" s="33"/>
      <c r="AG156" s="32"/>
      <c r="AI156" s="33"/>
      <c r="AM156" s="33"/>
      <c r="AQ156" s="33"/>
      <c r="AU156" s="33"/>
      <c r="AX156" s="33"/>
      <c r="BB156" s="33"/>
      <c r="BE156" s="33"/>
      <c r="BI156" s="33"/>
      <c r="BL156" s="33"/>
      <c r="BP156" s="33"/>
      <c r="BS156" s="33"/>
      <c r="BV156" s="33"/>
      <c r="BZ156" s="33"/>
      <c r="CC156" s="33"/>
    </row>
    <row r="157" spans="1:81" x14ac:dyDescent="0.3">
      <c r="A157" s="32" t="s">
        <v>157</v>
      </c>
      <c r="B157" s="32">
        <v>1</v>
      </c>
      <c r="C157" s="34" t="s">
        <v>139</v>
      </c>
      <c r="D157" s="32">
        <v>0.5</v>
      </c>
      <c r="E157" s="33" t="s">
        <v>147</v>
      </c>
      <c r="F157" s="32"/>
      <c r="G157" s="32"/>
      <c r="H157" s="33"/>
      <c r="I157" s="33"/>
      <c r="J157" s="56"/>
      <c r="K157" s="56"/>
      <c r="L157" s="33"/>
      <c r="M157" s="33"/>
      <c r="O157" s="62"/>
      <c r="P157" s="62"/>
      <c r="Q157" s="33"/>
      <c r="R157" s="62"/>
      <c r="S157" s="62"/>
      <c r="T157" s="32"/>
      <c r="U157" s="33"/>
      <c r="V157" s="32"/>
      <c r="W157" s="63"/>
      <c r="X157" s="63"/>
      <c r="Y157" s="33"/>
      <c r="Z157" s="63"/>
      <c r="AA157" s="58"/>
      <c r="AB157" s="33"/>
      <c r="AC157" s="32"/>
      <c r="AD157" s="32"/>
      <c r="AE157" s="32"/>
      <c r="AF157" s="33"/>
      <c r="AG157" s="32"/>
      <c r="AI157" s="33"/>
      <c r="AM157" s="33"/>
      <c r="AQ157" s="33"/>
      <c r="AU157" s="33"/>
      <c r="AX157" s="33"/>
      <c r="BB157" s="33"/>
      <c r="BE157" s="33"/>
      <c r="BI157" s="33"/>
      <c r="BL157" s="33"/>
      <c r="BP157" s="33"/>
      <c r="BS157" s="33"/>
      <c r="BV157" s="33"/>
      <c r="BZ157" s="33"/>
      <c r="CC157" s="33"/>
    </row>
    <row r="158" spans="1:81" x14ac:dyDescent="0.3">
      <c r="A158" s="32" t="s">
        <v>118</v>
      </c>
      <c r="B158" s="44">
        <v>1</v>
      </c>
      <c r="C158" s="33" t="s">
        <v>158</v>
      </c>
      <c r="D158" s="56">
        <v>1.5</v>
      </c>
      <c r="E158" s="33" t="s">
        <v>147</v>
      </c>
      <c r="G158" s="33"/>
      <c r="H158" s="33"/>
      <c r="I158" s="33"/>
      <c r="J158" s="56"/>
      <c r="K158" s="56"/>
      <c r="L158" s="33"/>
      <c r="M158" s="33"/>
      <c r="O158" s="62"/>
      <c r="P158" s="62"/>
      <c r="Q158" s="33"/>
      <c r="R158" s="62"/>
      <c r="S158" s="62"/>
      <c r="T158" s="32"/>
      <c r="U158" s="33"/>
      <c r="V158" s="32"/>
      <c r="W158" s="63"/>
      <c r="X158" s="63"/>
      <c r="Y158" s="33"/>
      <c r="Z158" s="63"/>
      <c r="AA158" s="58"/>
      <c r="AB158" s="33"/>
      <c r="AC158" s="32"/>
      <c r="AD158" s="32"/>
      <c r="AE158" s="32"/>
      <c r="AF158" s="33"/>
      <c r="AG158" s="32"/>
      <c r="AI158" s="33"/>
      <c r="AM158" s="33"/>
      <c r="AQ158" s="33"/>
      <c r="AU158" s="33"/>
      <c r="AX158" s="33"/>
      <c r="BB158" s="33"/>
      <c r="BE158" s="33"/>
      <c r="BI158" s="33"/>
      <c r="BL158" s="33"/>
      <c r="BP158" s="33"/>
      <c r="BS158" s="33"/>
      <c r="BV158" s="33"/>
      <c r="BZ158" s="33"/>
      <c r="CC158" s="33"/>
    </row>
    <row r="159" spans="1:81" x14ac:dyDescent="0.3">
      <c r="A159" s="32" t="s">
        <v>159</v>
      </c>
      <c r="B159" s="44">
        <v>1</v>
      </c>
      <c r="C159" s="33" t="s">
        <v>158</v>
      </c>
      <c r="D159" s="56">
        <v>1.75</v>
      </c>
      <c r="E159" s="33" t="s">
        <v>147</v>
      </c>
      <c r="G159" s="33"/>
      <c r="H159" s="33"/>
      <c r="I159" s="33"/>
      <c r="J159" s="56"/>
      <c r="K159" s="56"/>
      <c r="L159" s="33"/>
      <c r="M159" s="33"/>
      <c r="O159" s="62"/>
      <c r="P159" s="62"/>
      <c r="Q159" s="33"/>
      <c r="R159" s="62"/>
      <c r="S159" s="62"/>
      <c r="T159" s="32"/>
      <c r="U159" s="33"/>
      <c r="V159" s="32"/>
      <c r="W159" s="63"/>
      <c r="X159" s="63"/>
      <c r="Y159" s="33"/>
      <c r="Z159" s="63"/>
      <c r="AA159" s="58"/>
      <c r="AB159" s="33"/>
      <c r="AC159" s="32"/>
      <c r="AD159" s="32"/>
      <c r="AE159" s="32"/>
      <c r="AF159" s="33"/>
      <c r="AG159" s="32"/>
      <c r="AI159" s="33"/>
      <c r="AM159" s="33"/>
      <c r="AQ159" s="33"/>
      <c r="AU159" s="33"/>
      <c r="AX159" s="33"/>
      <c r="BB159" s="33"/>
      <c r="BE159" s="33"/>
      <c r="BI159" s="33"/>
      <c r="BL159" s="33"/>
      <c r="BP159" s="33"/>
      <c r="BS159" s="33"/>
      <c r="BV159" s="33"/>
      <c r="BZ159" s="33"/>
      <c r="CC159" s="33"/>
    </row>
    <row r="160" spans="1:81" x14ac:dyDescent="0.3">
      <c r="A160" s="32" t="s">
        <v>160</v>
      </c>
      <c r="B160" s="44">
        <v>1</v>
      </c>
      <c r="C160" s="33" t="s">
        <v>158</v>
      </c>
      <c r="D160" s="56">
        <v>1.5</v>
      </c>
      <c r="E160" s="33" t="s">
        <v>147</v>
      </c>
      <c r="G160" s="33"/>
      <c r="H160" s="33"/>
      <c r="I160" s="33"/>
      <c r="J160" s="56"/>
      <c r="K160" s="56"/>
      <c r="L160" s="33"/>
      <c r="M160" s="33"/>
      <c r="O160" s="62"/>
      <c r="P160" s="62"/>
      <c r="Q160" s="33"/>
      <c r="R160" s="62"/>
      <c r="S160" s="62"/>
      <c r="T160" s="32"/>
      <c r="U160" s="33"/>
      <c r="V160" s="32"/>
      <c r="W160" s="63"/>
      <c r="X160" s="63"/>
      <c r="Y160" s="33"/>
      <c r="Z160" s="63"/>
      <c r="AA160" s="58"/>
      <c r="AB160" s="33"/>
      <c r="AC160" s="32"/>
      <c r="AD160" s="32"/>
      <c r="AE160" s="32"/>
      <c r="AF160" s="33"/>
      <c r="AG160" s="32"/>
      <c r="AI160" s="33"/>
      <c r="AM160" s="33"/>
      <c r="AQ160" s="33"/>
      <c r="AU160" s="33"/>
      <c r="AX160" s="33"/>
      <c r="BB160" s="33"/>
      <c r="BE160" s="33"/>
      <c r="BI160" s="33"/>
      <c r="BL160" s="33"/>
      <c r="BP160" s="33"/>
      <c r="BS160" s="33"/>
      <c r="BV160" s="33"/>
      <c r="BZ160" s="33"/>
      <c r="CC160" s="33"/>
    </row>
    <row r="161" spans="1:81" x14ac:dyDescent="0.3">
      <c r="A161" s="32" t="s">
        <v>161</v>
      </c>
      <c r="B161" s="44">
        <v>1</v>
      </c>
      <c r="C161" s="33" t="s">
        <v>156</v>
      </c>
      <c r="D161" s="56">
        <v>1.26</v>
      </c>
      <c r="E161" s="33" t="s">
        <v>147</v>
      </c>
      <c r="G161" s="33"/>
      <c r="H161" s="33"/>
      <c r="I161" s="33"/>
      <c r="J161" s="56"/>
      <c r="K161" s="56"/>
      <c r="L161" s="33"/>
      <c r="M161" s="33"/>
      <c r="O161" s="62"/>
      <c r="P161" s="62"/>
      <c r="Q161" s="33"/>
      <c r="R161" s="62"/>
      <c r="S161" s="62"/>
      <c r="T161" s="32"/>
      <c r="U161" s="33"/>
      <c r="V161" s="32"/>
      <c r="W161" s="63"/>
      <c r="X161" s="63"/>
      <c r="Y161" s="33"/>
      <c r="Z161" s="63"/>
      <c r="AA161" s="58"/>
      <c r="AB161" s="33"/>
      <c r="AC161" s="32"/>
      <c r="AD161" s="32"/>
      <c r="AE161" s="32"/>
      <c r="AF161" s="33"/>
      <c r="AG161" s="32"/>
      <c r="AI161" s="33"/>
      <c r="AM161" s="33"/>
      <c r="AQ161" s="33"/>
      <c r="AU161" s="33"/>
      <c r="AX161" s="33"/>
      <c r="BB161" s="33"/>
      <c r="BE161" s="33"/>
      <c r="BI161" s="33"/>
      <c r="BL161" s="33"/>
      <c r="BP161" s="33"/>
      <c r="BS161" s="33"/>
      <c r="BV161" s="33"/>
      <c r="BZ161" s="33"/>
      <c r="CC161" s="33"/>
    </row>
    <row r="162" spans="1:81" x14ac:dyDescent="0.3">
      <c r="A162" s="32" t="s">
        <v>26</v>
      </c>
      <c r="B162" s="44">
        <v>1</v>
      </c>
      <c r="C162" s="33" t="s">
        <v>162</v>
      </c>
      <c r="D162" s="56">
        <v>15.9</v>
      </c>
      <c r="E162" s="33" t="s">
        <v>147</v>
      </c>
      <c r="G162" s="33"/>
      <c r="H162" s="33"/>
      <c r="I162" s="33"/>
      <c r="J162" s="56"/>
      <c r="K162" s="56"/>
      <c r="L162" s="33"/>
      <c r="M162" s="33"/>
      <c r="O162" s="62"/>
      <c r="P162" s="62"/>
      <c r="Q162" s="33"/>
      <c r="R162" s="62"/>
      <c r="S162" s="62"/>
      <c r="T162" s="32"/>
      <c r="U162" s="33"/>
      <c r="V162" s="32"/>
      <c r="W162" s="63"/>
      <c r="X162" s="63"/>
      <c r="Y162" s="33"/>
      <c r="Z162" s="63"/>
      <c r="AA162" s="58"/>
      <c r="AB162" s="33"/>
      <c r="AC162" s="32"/>
      <c r="AD162" s="32"/>
      <c r="AE162" s="32"/>
      <c r="AF162" s="33"/>
      <c r="AG162" s="32"/>
      <c r="AI162" s="33"/>
      <c r="AM162" s="33"/>
      <c r="AQ162" s="33"/>
      <c r="AU162" s="33"/>
      <c r="AX162" s="33"/>
      <c r="BB162" s="33"/>
      <c r="BE162" s="33"/>
      <c r="BI162" s="33"/>
      <c r="BL162" s="33"/>
      <c r="BP162" s="33"/>
      <c r="BS162" s="33"/>
      <c r="BV162" s="33"/>
      <c r="BZ162" s="33"/>
      <c r="CC162" s="33"/>
    </row>
    <row r="163" spans="1:81" x14ac:dyDescent="0.3">
      <c r="A163" s="32" t="s">
        <v>163</v>
      </c>
      <c r="B163" s="44">
        <v>1</v>
      </c>
      <c r="C163" s="33" t="s">
        <v>164</v>
      </c>
      <c r="D163" s="56">
        <f>439.681/D149</f>
        <v>3.9257232142857141</v>
      </c>
      <c r="E163" s="33" t="s">
        <v>147</v>
      </c>
      <c r="G163" s="33"/>
      <c r="I163" s="33"/>
      <c r="J163" s="56"/>
      <c r="K163" s="56"/>
      <c r="L163" s="33"/>
      <c r="M163" s="33"/>
      <c r="O163" s="62"/>
      <c r="P163" s="62"/>
      <c r="Q163" s="33"/>
      <c r="R163" s="62"/>
      <c r="S163" s="62"/>
      <c r="T163" s="32"/>
      <c r="U163" s="33"/>
      <c r="V163" s="32"/>
      <c r="W163" s="63"/>
      <c r="X163" s="63"/>
      <c r="Y163" s="33"/>
      <c r="Z163" s="63"/>
      <c r="AA163" s="58"/>
      <c r="AB163" s="33"/>
      <c r="AC163" s="32"/>
      <c r="AD163" s="32"/>
      <c r="AE163" s="32"/>
      <c r="AF163" s="33"/>
      <c r="AG163" s="32"/>
      <c r="AI163" s="33"/>
      <c r="AM163" s="33"/>
      <c r="AQ163" s="33"/>
      <c r="AU163" s="33"/>
      <c r="AX163" s="33"/>
      <c r="BB163" s="33"/>
      <c r="BE163" s="33"/>
      <c r="BI163" s="33"/>
      <c r="BL163" s="33"/>
      <c r="BP163" s="33"/>
      <c r="BS163" s="33"/>
      <c r="BV163" s="33"/>
      <c r="BZ163" s="33"/>
      <c r="CC163" s="33"/>
    </row>
    <row r="164" spans="1:81" x14ac:dyDescent="0.3">
      <c r="A164" s="32" t="s">
        <v>165</v>
      </c>
      <c r="B164" s="44">
        <v>1</v>
      </c>
      <c r="C164" s="33" t="s">
        <v>164</v>
      </c>
      <c r="D164" s="56">
        <v>3</v>
      </c>
      <c r="E164" s="33" t="s">
        <v>147</v>
      </c>
      <c r="G164" s="33"/>
      <c r="I164" s="33"/>
      <c r="M164" s="33"/>
      <c r="O164" s="62"/>
      <c r="P164" s="62"/>
      <c r="Q164" s="33"/>
      <c r="R164" s="62"/>
      <c r="S164" s="62"/>
      <c r="T164" s="58"/>
      <c r="U164" s="33"/>
      <c r="V164" s="58"/>
      <c r="W164" s="63"/>
      <c r="X164" s="63"/>
      <c r="Y164" s="33"/>
      <c r="Z164" s="63"/>
      <c r="AA164" s="58"/>
      <c r="AB164" s="33"/>
      <c r="AC164" s="32"/>
      <c r="AD164" s="32"/>
      <c r="AE164" s="32"/>
      <c r="AF164" s="33"/>
      <c r="AG164" s="32"/>
      <c r="AI164" s="33"/>
      <c r="AM164" s="33"/>
      <c r="AQ164" s="33"/>
      <c r="AU164" s="33"/>
      <c r="AX164" s="33"/>
      <c r="BB164" s="33"/>
      <c r="BE164" s="33"/>
      <c r="BI164" s="33"/>
      <c r="BL164" s="33"/>
      <c r="BP164" s="33"/>
      <c r="BS164" s="33"/>
      <c r="BV164" s="33"/>
      <c r="BZ164" s="33"/>
      <c r="CC164" s="33"/>
    </row>
    <row r="165" spans="1:81" x14ac:dyDescent="0.3">
      <c r="A165" s="32" t="s">
        <v>116</v>
      </c>
      <c r="B165" s="44">
        <v>1</v>
      </c>
      <c r="C165" s="33" t="s">
        <v>164</v>
      </c>
      <c r="D165" s="56">
        <v>2.98</v>
      </c>
      <c r="E165" s="33" t="s">
        <v>147</v>
      </c>
      <c r="G165" s="33"/>
      <c r="I165" s="33"/>
      <c r="M165" s="33"/>
      <c r="O165" s="62"/>
      <c r="P165" s="62"/>
      <c r="Q165" s="33"/>
      <c r="R165" s="62"/>
      <c r="S165" s="62"/>
      <c r="T165" s="58"/>
      <c r="U165" s="33"/>
      <c r="V165" s="58"/>
      <c r="W165" s="63"/>
      <c r="X165" s="63"/>
      <c r="Y165" s="33"/>
      <c r="Z165" s="63"/>
      <c r="AA165" s="58"/>
      <c r="AB165" s="33"/>
      <c r="AC165" s="32"/>
      <c r="AD165" s="32"/>
      <c r="AE165" s="32"/>
      <c r="AF165" s="33"/>
      <c r="AG165" s="32"/>
      <c r="AI165" s="33"/>
      <c r="AM165" s="33"/>
      <c r="AQ165" s="33"/>
      <c r="AU165" s="33"/>
      <c r="AX165" s="33"/>
      <c r="BB165" s="33"/>
      <c r="BE165" s="33"/>
      <c r="BI165" s="33"/>
      <c r="BL165" s="33"/>
      <c r="BP165" s="33"/>
      <c r="BS165" s="33"/>
      <c r="BV165" s="33"/>
      <c r="BZ165" s="33"/>
      <c r="CC165" s="33"/>
    </row>
    <row r="166" spans="1:81" x14ac:dyDescent="0.3">
      <c r="A166" s="32" t="s">
        <v>137</v>
      </c>
      <c r="B166" s="44">
        <v>1</v>
      </c>
      <c r="C166" s="33" t="s">
        <v>166</v>
      </c>
      <c r="D166" s="56">
        <v>9</v>
      </c>
      <c r="E166" s="33" t="s">
        <v>167</v>
      </c>
      <c r="G166" s="33"/>
      <c r="I166" s="33"/>
      <c r="M166" s="33"/>
      <c r="O166" s="62"/>
      <c r="P166" s="62"/>
      <c r="Q166" s="33"/>
      <c r="R166" s="62"/>
      <c r="S166" s="62"/>
      <c r="T166" s="58"/>
      <c r="U166" s="33"/>
      <c r="V166" s="58"/>
      <c r="W166" s="63"/>
      <c r="X166" s="63"/>
      <c r="Y166" s="33"/>
      <c r="Z166" s="63"/>
      <c r="AA166" s="58"/>
      <c r="AB166" s="33"/>
      <c r="AC166" s="32"/>
      <c r="AD166" s="32"/>
      <c r="AE166" s="32"/>
      <c r="AF166" s="33"/>
      <c r="AG166" s="32"/>
      <c r="AI166" s="33"/>
      <c r="AM166" s="33"/>
      <c r="AQ166" s="33"/>
      <c r="AU166" s="33"/>
      <c r="AX166" s="33"/>
      <c r="BB166" s="33"/>
      <c r="BE166" s="33"/>
      <c r="BI166" s="33"/>
      <c r="BL166" s="33"/>
      <c r="BP166" s="33"/>
      <c r="BS166" s="33"/>
      <c r="BV166" s="33"/>
      <c r="BZ166" s="33"/>
      <c r="CC166" s="33"/>
    </row>
    <row r="167" spans="1:81" x14ac:dyDescent="0.3">
      <c r="A167" s="32" t="s">
        <v>168</v>
      </c>
      <c r="B167" s="44">
        <v>1</v>
      </c>
      <c r="C167" s="33" t="s">
        <v>169</v>
      </c>
      <c r="D167" s="56">
        <v>9</v>
      </c>
      <c r="E167" s="33" t="s">
        <v>167</v>
      </c>
      <c r="G167" s="33"/>
      <c r="I167" s="33"/>
      <c r="M167" s="33"/>
      <c r="O167" s="62"/>
      <c r="P167" s="62"/>
      <c r="Q167" s="33"/>
      <c r="R167" s="62"/>
      <c r="S167" s="62"/>
      <c r="T167" s="58"/>
      <c r="U167" s="33"/>
      <c r="V167" s="58"/>
      <c r="W167" s="63"/>
      <c r="X167" s="63"/>
      <c r="Y167" s="33"/>
      <c r="Z167" s="63"/>
      <c r="AA167" s="58"/>
      <c r="AB167" s="33"/>
      <c r="AC167" s="32"/>
      <c r="AD167" s="32"/>
      <c r="AE167" s="32"/>
      <c r="AF167" s="33"/>
      <c r="AG167" s="32"/>
      <c r="AI167" s="33"/>
      <c r="AM167" s="33"/>
      <c r="AQ167" s="33"/>
      <c r="AU167" s="33"/>
      <c r="AX167" s="33"/>
      <c r="BB167" s="33"/>
      <c r="BE167" s="33"/>
      <c r="BI167" s="33"/>
      <c r="BL167" s="33"/>
      <c r="BP167" s="33"/>
      <c r="BS167" s="33"/>
      <c r="BV167" s="33"/>
      <c r="BZ167" s="33"/>
      <c r="CC167" s="33"/>
    </row>
    <row r="168" spans="1:81" x14ac:dyDescent="0.3">
      <c r="A168" s="32" t="s">
        <v>119</v>
      </c>
      <c r="B168" s="44">
        <v>1</v>
      </c>
      <c r="C168" s="33" t="s">
        <v>158</v>
      </c>
      <c r="D168" s="56">
        <v>1.75</v>
      </c>
      <c r="E168" s="33" t="s">
        <v>147</v>
      </c>
      <c r="F168" s="44">
        <f>D168*D149</f>
        <v>196</v>
      </c>
      <c r="G168" s="33" t="s">
        <v>140</v>
      </c>
      <c r="I168" s="33"/>
      <c r="M168" s="33"/>
      <c r="O168" s="62"/>
      <c r="P168" s="62"/>
      <c r="Q168" s="33"/>
      <c r="R168" s="62"/>
      <c r="S168" s="62"/>
      <c r="T168" s="58"/>
      <c r="U168" s="33"/>
      <c r="V168" s="58"/>
      <c r="W168" s="63"/>
      <c r="X168" s="63"/>
      <c r="Y168" s="33"/>
      <c r="Z168" s="63"/>
      <c r="AA168" s="58"/>
      <c r="AB168" s="33"/>
      <c r="AC168" s="32"/>
      <c r="AD168" s="32"/>
      <c r="AE168" s="32"/>
      <c r="AF168" s="33"/>
      <c r="AG168" s="32"/>
      <c r="AI168" s="33"/>
      <c r="AM168" s="33"/>
      <c r="AQ168" s="33"/>
      <c r="AU168" s="33"/>
      <c r="AX168" s="33"/>
      <c r="BB168" s="33"/>
      <c r="BE168" s="33"/>
      <c r="BI168" s="33"/>
      <c r="BL168" s="33"/>
      <c r="BP168" s="33"/>
      <c r="BS168" s="33"/>
      <c r="BV168" s="33"/>
      <c r="BZ168" s="33"/>
      <c r="CC168" s="33"/>
    </row>
    <row r="169" spans="1:81" x14ac:dyDescent="0.3">
      <c r="A169" s="32" t="s">
        <v>119</v>
      </c>
      <c r="B169" s="44">
        <v>1</v>
      </c>
      <c r="C169" s="33" t="s">
        <v>156</v>
      </c>
      <c r="D169" s="56">
        <v>175</v>
      </c>
      <c r="E169" s="33" t="s">
        <v>140</v>
      </c>
      <c r="F169" s="56">
        <f>D169/D149</f>
        <v>1.5625</v>
      </c>
      <c r="G169" s="33" t="s">
        <v>143</v>
      </c>
      <c r="I169" s="33"/>
      <c r="M169" s="33"/>
      <c r="O169" s="62"/>
      <c r="P169" s="62"/>
      <c r="Q169" s="33"/>
      <c r="R169" s="62"/>
      <c r="S169" s="62"/>
      <c r="T169" s="58"/>
      <c r="U169" s="33"/>
      <c r="V169" s="58"/>
      <c r="W169" s="63"/>
      <c r="X169" s="63"/>
      <c r="Y169" s="33"/>
      <c r="Z169" s="63"/>
      <c r="AA169" s="58"/>
      <c r="AB169" s="33"/>
      <c r="AC169" s="32"/>
      <c r="AD169" s="32"/>
      <c r="AE169" s="32"/>
      <c r="AF169" s="33"/>
      <c r="AG169" s="32"/>
      <c r="AI169" s="33"/>
      <c r="AM169" s="33"/>
      <c r="AQ169" s="33"/>
      <c r="AU169" s="33"/>
      <c r="AX169" s="33"/>
      <c r="BB169" s="33"/>
      <c r="BE169" s="33"/>
      <c r="BI169" s="33"/>
      <c r="BL169" s="33"/>
      <c r="BP169" s="33"/>
      <c r="BS169" s="33"/>
      <c r="BV169" s="33"/>
      <c r="BZ169" s="33"/>
      <c r="CC169" s="33"/>
    </row>
    <row r="170" spans="1:81" x14ac:dyDescent="0.3">
      <c r="A170" s="32" t="s">
        <v>170</v>
      </c>
      <c r="B170" s="44">
        <v>1</v>
      </c>
      <c r="C170" s="33" t="s">
        <v>171</v>
      </c>
      <c r="D170" s="56">
        <v>0.15175</v>
      </c>
      <c r="E170" s="33" t="s">
        <v>147</v>
      </c>
      <c r="F170" s="56">
        <v>16.997</v>
      </c>
      <c r="G170" s="33" t="s">
        <v>140</v>
      </c>
      <c r="I170" s="33"/>
      <c r="M170" s="33"/>
      <c r="O170" s="62"/>
      <c r="P170" s="62"/>
      <c r="Q170" s="33"/>
      <c r="R170" s="62"/>
      <c r="S170" s="62"/>
      <c r="T170" s="58"/>
      <c r="U170" s="33"/>
      <c r="V170" s="58"/>
      <c r="W170" s="63"/>
      <c r="X170" s="63"/>
      <c r="Y170" s="33"/>
      <c r="Z170" s="63"/>
      <c r="AA170" s="58"/>
      <c r="AB170" s="33"/>
      <c r="AC170" s="32"/>
      <c r="AD170" s="32"/>
      <c r="AE170" s="32"/>
      <c r="AF170" s="33"/>
      <c r="AG170" s="32"/>
      <c r="AI170" s="33"/>
      <c r="AM170" s="33"/>
      <c r="AQ170" s="33"/>
      <c r="AU170" s="33"/>
      <c r="AX170" s="33"/>
      <c r="BB170" s="33"/>
      <c r="BE170" s="33"/>
      <c r="BI170" s="33"/>
      <c r="BL170" s="33"/>
      <c r="BP170" s="33"/>
      <c r="BS170" s="33"/>
      <c r="BV170" s="33"/>
      <c r="BZ170" s="33"/>
      <c r="CC170" s="33"/>
    </row>
    <row r="171" spans="1:81" x14ac:dyDescent="0.3">
      <c r="A171" s="32" t="s">
        <v>136</v>
      </c>
      <c r="B171" s="44">
        <v>1</v>
      </c>
      <c r="C171" s="33" t="s">
        <v>158</v>
      </c>
      <c r="D171" s="56">
        <v>1.5</v>
      </c>
      <c r="E171" s="33" t="s">
        <v>147</v>
      </c>
      <c r="G171" s="33"/>
      <c r="I171" s="33"/>
      <c r="M171" s="33"/>
      <c r="O171" s="62"/>
      <c r="P171" s="62"/>
      <c r="Q171" s="33"/>
      <c r="R171" s="62"/>
      <c r="S171" s="62"/>
      <c r="T171" s="58"/>
      <c r="U171" s="33"/>
      <c r="V171" s="58"/>
      <c r="W171" s="63"/>
      <c r="X171" s="63"/>
      <c r="Y171" s="33"/>
      <c r="Z171" s="63"/>
      <c r="AA171" s="58"/>
      <c r="AB171" s="33"/>
      <c r="AC171" s="32"/>
      <c r="AD171" s="32"/>
      <c r="AE171" s="32"/>
      <c r="AF171" s="33"/>
      <c r="AG171" s="32"/>
      <c r="AI171" s="33"/>
      <c r="AM171" s="33"/>
      <c r="AQ171" s="33"/>
      <c r="AU171" s="33"/>
      <c r="AX171" s="33"/>
      <c r="BB171" s="33"/>
      <c r="BE171" s="33"/>
      <c r="BI171" s="33"/>
      <c r="BL171" s="33"/>
      <c r="BP171" s="33"/>
      <c r="BS171" s="33"/>
      <c r="BV171" s="33"/>
      <c r="BZ171" s="33"/>
      <c r="CC171" s="33"/>
    </row>
    <row r="172" spans="1:81" x14ac:dyDescent="0.3">
      <c r="A172" s="32" t="s">
        <v>172</v>
      </c>
      <c r="B172" s="44">
        <v>1</v>
      </c>
      <c r="C172" s="33" t="s">
        <v>158</v>
      </c>
      <c r="D172" s="56">
        <v>1.625</v>
      </c>
      <c r="E172" s="33" t="s">
        <v>147</v>
      </c>
      <c r="G172" s="33"/>
      <c r="I172" s="33"/>
      <c r="M172" s="33"/>
      <c r="O172" s="62"/>
      <c r="P172" s="62"/>
      <c r="Q172" s="33"/>
      <c r="R172" s="62"/>
      <c r="S172" s="62"/>
      <c r="T172" s="58"/>
      <c r="U172" s="33"/>
      <c r="V172" s="58"/>
      <c r="W172" s="63"/>
      <c r="X172" s="63"/>
      <c r="Y172" s="33"/>
      <c r="Z172" s="63"/>
      <c r="AA172" s="58"/>
      <c r="AB172" s="33"/>
      <c r="AC172" s="32"/>
      <c r="AD172" s="32"/>
      <c r="AE172" s="32"/>
      <c r="AF172" s="33"/>
      <c r="AG172" s="32"/>
      <c r="AI172" s="33"/>
      <c r="AM172" s="33"/>
      <c r="AQ172" s="33"/>
      <c r="AU172" s="33"/>
      <c r="AX172" s="33"/>
      <c r="BB172" s="33"/>
      <c r="BE172" s="33"/>
      <c r="BI172" s="33"/>
      <c r="BL172" s="33"/>
      <c r="BP172" s="33"/>
      <c r="BS172" s="33"/>
      <c r="BV172" s="33"/>
      <c r="BZ172" s="33"/>
      <c r="CC172" s="33"/>
    </row>
    <row r="173" spans="1:81" x14ac:dyDescent="0.3">
      <c r="A173" s="32" t="s">
        <v>10</v>
      </c>
      <c r="B173" s="44">
        <v>1</v>
      </c>
      <c r="C173" s="33" t="s">
        <v>158</v>
      </c>
      <c r="D173" s="56">
        <v>1.5</v>
      </c>
      <c r="E173" s="33" t="s">
        <v>147</v>
      </c>
      <c r="G173" s="33"/>
      <c r="I173" s="33"/>
      <c r="M173" s="33"/>
      <c r="O173" s="62"/>
      <c r="P173" s="62"/>
      <c r="Q173" s="33"/>
      <c r="R173" s="62"/>
      <c r="S173" s="62"/>
      <c r="T173" s="58"/>
      <c r="U173" s="33"/>
      <c r="V173" s="58"/>
      <c r="W173" s="63"/>
      <c r="X173" s="63"/>
      <c r="Y173" s="33"/>
      <c r="Z173" s="63"/>
      <c r="AA173" s="58"/>
      <c r="AB173" s="33"/>
      <c r="AC173" s="32"/>
      <c r="AD173" s="32"/>
      <c r="AE173" s="32"/>
      <c r="AF173" s="33"/>
      <c r="AG173" s="32"/>
      <c r="AI173" s="33"/>
      <c r="AM173" s="33"/>
      <c r="AQ173" s="33"/>
      <c r="AU173" s="33"/>
      <c r="AX173" s="33"/>
      <c r="BB173" s="33"/>
      <c r="BE173" s="33"/>
      <c r="BI173" s="33"/>
      <c r="BL173" s="33"/>
      <c r="BP173" s="33"/>
      <c r="BS173" s="33"/>
      <c r="BV173" s="33"/>
      <c r="BZ173" s="33"/>
      <c r="CC173" s="33"/>
    </row>
    <row r="174" spans="1:81" x14ac:dyDescent="0.3">
      <c r="A174" s="32" t="s">
        <v>173</v>
      </c>
      <c r="B174" s="44">
        <v>1</v>
      </c>
      <c r="C174" s="33" t="s">
        <v>158</v>
      </c>
      <c r="D174" s="56">
        <v>1.5</v>
      </c>
      <c r="E174" s="33" t="s">
        <v>147</v>
      </c>
      <c r="G174" s="33"/>
      <c r="I174" s="33"/>
      <c r="M174" s="33"/>
      <c r="O174" s="62"/>
      <c r="P174" s="62"/>
      <c r="Q174" s="33"/>
      <c r="R174" s="62"/>
      <c r="S174" s="62"/>
      <c r="T174" s="58"/>
      <c r="U174" s="33"/>
      <c r="V174" s="58"/>
      <c r="W174" s="63"/>
      <c r="X174" s="63"/>
      <c r="Y174" s="33"/>
      <c r="Z174" s="63"/>
      <c r="AA174" s="58"/>
      <c r="AB174" s="33"/>
      <c r="AC174" s="32"/>
      <c r="AD174" s="32"/>
      <c r="AE174" s="32"/>
      <c r="AF174" s="33"/>
      <c r="AG174" s="32"/>
      <c r="AI174" s="33"/>
      <c r="AM174" s="33"/>
      <c r="AQ174" s="33"/>
      <c r="AU174" s="33"/>
      <c r="AX174" s="33"/>
      <c r="BB174" s="33"/>
      <c r="BE174" s="33"/>
      <c r="BI174" s="33"/>
      <c r="BL174" s="33"/>
      <c r="BP174" s="33"/>
      <c r="BS174" s="33"/>
      <c r="BV174" s="33"/>
      <c r="BZ174" s="33"/>
      <c r="CC174" s="33"/>
    </row>
    <row r="175" spans="1:81" x14ac:dyDescent="0.3">
      <c r="A175" s="85" t="s">
        <v>174</v>
      </c>
      <c r="B175" s="44">
        <v>1</v>
      </c>
      <c r="C175" s="33" t="s">
        <v>175</v>
      </c>
      <c r="D175" s="56">
        <v>18.559999999999999</v>
      </c>
      <c r="E175" s="33" t="s">
        <v>167</v>
      </c>
      <c r="G175" s="33"/>
      <c r="I175" s="33"/>
      <c r="M175" s="33"/>
      <c r="O175" s="62"/>
      <c r="P175" s="62"/>
      <c r="Q175" s="33"/>
      <c r="R175" s="62"/>
      <c r="S175" s="62"/>
      <c r="T175" s="58"/>
      <c r="U175" s="33"/>
      <c r="V175" s="58"/>
      <c r="W175" s="63"/>
      <c r="X175" s="63"/>
      <c r="Y175" s="33"/>
      <c r="Z175" s="63"/>
      <c r="AA175" s="58"/>
      <c r="AB175" s="33"/>
      <c r="AC175" s="32"/>
      <c r="AD175" s="32"/>
      <c r="AE175" s="32"/>
      <c r="AF175" s="33"/>
      <c r="AG175" s="32"/>
      <c r="AI175" s="33"/>
      <c r="AM175" s="33"/>
      <c r="AQ175" s="33"/>
      <c r="AU175" s="33"/>
      <c r="AX175" s="33"/>
      <c r="BB175" s="33"/>
      <c r="BE175" s="33"/>
      <c r="BI175" s="33"/>
      <c r="BL175" s="33"/>
      <c r="BP175" s="33"/>
      <c r="BS175" s="33"/>
      <c r="BV175" s="33"/>
      <c r="BZ175" s="33"/>
      <c r="CC175" s="33"/>
    </row>
    <row r="176" spans="1:81" x14ac:dyDescent="0.3">
      <c r="A176" s="85"/>
      <c r="B176" s="44">
        <v>1</v>
      </c>
      <c r="C176" s="33" t="s">
        <v>176</v>
      </c>
      <c r="D176" s="56">
        <v>164</v>
      </c>
      <c r="E176" s="33" t="s">
        <v>140</v>
      </c>
      <c r="F176" s="56">
        <f>D176/D134</f>
        <v>1.4642857142857142</v>
      </c>
      <c r="G176" s="33" t="s">
        <v>147</v>
      </c>
      <c r="I176" s="33"/>
      <c r="M176" s="33"/>
      <c r="O176" s="62"/>
      <c r="P176" s="62"/>
      <c r="Q176" s="33"/>
      <c r="R176" s="62"/>
      <c r="S176" s="62"/>
      <c r="T176" s="58"/>
      <c r="U176" s="33"/>
      <c r="V176" s="58"/>
      <c r="W176" s="63"/>
      <c r="X176" s="63"/>
      <c r="Y176" s="33"/>
      <c r="Z176" s="63"/>
      <c r="AA176" s="58"/>
      <c r="AB176" s="33"/>
      <c r="AC176" s="32"/>
      <c r="AD176" s="32"/>
      <c r="AE176" s="32"/>
      <c r="AF176" s="33"/>
      <c r="AG176" s="32"/>
      <c r="AI176" s="33"/>
      <c r="AM176" s="33"/>
      <c r="AQ176" s="33"/>
      <c r="AU176" s="33"/>
      <c r="AX176" s="33"/>
      <c r="BB176" s="33"/>
      <c r="BE176" s="33"/>
      <c r="BI176" s="33"/>
      <c r="BL176" s="33"/>
      <c r="BP176" s="33"/>
      <c r="BS176" s="33"/>
      <c r="BV176" s="33"/>
      <c r="BZ176" s="33"/>
      <c r="CC176" s="33"/>
    </row>
    <row r="177" spans="1:81" x14ac:dyDescent="0.3">
      <c r="A177" s="85" t="s">
        <v>177</v>
      </c>
      <c r="B177" s="44">
        <v>1</v>
      </c>
      <c r="C177" s="33" t="s">
        <v>178</v>
      </c>
      <c r="D177" s="56">
        <v>336</v>
      </c>
      <c r="E177" s="33" t="s">
        <v>140</v>
      </c>
      <c r="F177" s="56">
        <v>3</v>
      </c>
      <c r="G177" s="33" t="s">
        <v>147</v>
      </c>
      <c r="I177" s="33"/>
      <c r="M177" s="33"/>
      <c r="O177" s="62"/>
      <c r="P177" s="62"/>
      <c r="Q177" s="33"/>
      <c r="R177" s="62"/>
      <c r="S177" s="62"/>
      <c r="T177" s="58"/>
      <c r="U177" s="33"/>
      <c r="V177" s="58"/>
      <c r="W177" s="63"/>
      <c r="X177" s="63"/>
      <c r="Y177" s="33"/>
      <c r="Z177" s="63"/>
      <c r="AA177" s="58"/>
      <c r="AB177" s="33"/>
      <c r="AC177" s="32"/>
      <c r="AD177" s="32"/>
      <c r="AE177" s="32"/>
      <c r="AF177" s="33"/>
      <c r="AG177" s="32"/>
      <c r="AI177" s="33"/>
      <c r="AM177" s="33"/>
      <c r="AQ177" s="33"/>
      <c r="AU177" s="33"/>
      <c r="AX177" s="33"/>
      <c r="BB177" s="33"/>
      <c r="BE177" s="33"/>
      <c r="BI177" s="33"/>
      <c r="BL177" s="33"/>
      <c r="BP177" s="33"/>
      <c r="BS177" s="33"/>
      <c r="BV177" s="33"/>
      <c r="BZ177" s="33"/>
      <c r="CC177" s="33"/>
    </row>
    <row r="178" spans="1:81" x14ac:dyDescent="0.3">
      <c r="A178" s="85"/>
      <c r="B178" s="44">
        <v>1</v>
      </c>
      <c r="C178" s="33" t="s">
        <v>179</v>
      </c>
      <c r="D178" s="56">
        <v>240</v>
      </c>
      <c r="E178" s="33" t="s">
        <v>140</v>
      </c>
      <c r="F178" s="56">
        <f>D178/D149</f>
        <v>2.1428571428571428</v>
      </c>
      <c r="G178" s="33" t="s">
        <v>147</v>
      </c>
      <c r="I178" s="33"/>
      <c r="M178" s="33"/>
      <c r="O178" s="62"/>
      <c r="P178" s="62"/>
      <c r="Q178" s="33"/>
      <c r="R178" s="62"/>
      <c r="S178" s="62"/>
      <c r="T178" s="58"/>
      <c r="U178" s="33"/>
      <c r="V178" s="58"/>
      <c r="W178" s="63"/>
      <c r="X178" s="63"/>
      <c r="Y178" s="33"/>
      <c r="Z178" s="63"/>
      <c r="AA178" s="58"/>
      <c r="AB178" s="33"/>
      <c r="AC178" s="32"/>
      <c r="AD178" s="32"/>
      <c r="AE178" s="32"/>
      <c r="AF178" s="33"/>
      <c r="AG178" s="32"/>
      <c r="AI178" s="33"/>
      <c r="AM178" s="33"/>
      <c r="AQ178" s="33"/>
      <c r="AU178" s="33"/>
      <c r="AX178" s="33"/>
      <c r="BB178" s="33"/>
      <c r="BE178" s="33"/>
      <c r="BI178" s="33"/>
      <c r="BL178" s="33"/>
      <c r="BP178" s="33"/>
      <c r="BS178" s="33"/>
      <c r="BV178" s="33"/>
      <c r="BZ178" s="33"/>
      <c r="CC178" s="33"/>
    </row>
    <row r="179" spans="1:81" x14ac:dyDescent="0.3">
      <c r="A179" s="85" t="s">
        <v>47</v>
      </c>
      <c r="B179" s="44">
        <v>1</v>
      </c>
      <c r="C179" s="33" t="s">
        <v>180</v>
      </c>
      <c r="D179" s="56">
        <v>3.40835</v>
      </c>
      <c r="E179" s="33" t="s">
        <v>158</v>
      </c>
      <c r="F179" s="56">
        <f>D179*D180/D149</f>
        <v>5.9646125000000003</v>
      </c>
      <c r="G179" s="33" t="s">
        <v>147</v>
      </c>
      <c r="I179" s="33"/>
      <c r="M179" s="33"/>
      <c r="O179" s="62"/>
      <c r="P179" s="62"/>
      <c r="Q179" s="33"/>
      <c r="R179" s="62"/>
      <c r="S179" s="62"/>
      <c r="T179" s="58"/>
      <c r="U179" s="33"/>
      <c r="V179" s="58"/>
      <c r="W179" s="63"/>
      <c r="X179" s="63"/>
      <c r="Y179" s="33"/>
      <c r="Z179" s="63"/>
      <c r="AA179" s="58"/>
      <c r="AB179" s="33"/>
      <c r="AC179" s="32"/>
      <c r="AD179" s="32"/>
      <c r="AE179" s="32"/>
      <c r="AF179" s="33"/>
      <c r="AG179" s="32"/>
      <c r="AI179" s="33"/>
      <c r="AM179" s="33"/>
      <c r="AQ179" s="33"/>
      <c r="AU179" s="33"/>
      <c r="AX179" s="33"/>
      <c r="BB179" s="33"/>
      <c r="BE179" s="33"/>
      <c r="BI179" s="33"/>
      <c r="BL179" s="33"/>
      <c r="BP179" s="33"/>
      <c r="BS179" s="33"/>
      <c r="BV179" s="33"/>
      <c r="BZ179" s="33"/>
      <c r="CC179" s="33"/>
    </row>
    <row r="180" spans="1:81" x14ac:dyDescent="0.3">
      <c r="A180" s="85"/>
      <c r="B180" s="44">
        <v>1</v>
      </c>
      <c r="C180" s="33" t="s">
        <v>158</v>
      </c>
      <c r="D180" s="61">
        <v>196</v>
      </c>
      <c r="E180" s="33" t="s">
        <v>140</v>
      </c>
      <c r="F180" s="56"/>
      <c r="G180" s="32"/>
      <c r="I180" s="33"/>
      <c r="M180" s="33"/>
      <c r="O180" s="62"/>
      <c r="P180" s="62"/>
      <c r="Q180" s="33"/>
      <c r="R180" s="62"/>
      <c r="S180" s="62"/>
      <c r="T180" s="58"/>
      <c r="U180" s="33"/>
      <c r="V180" s="58"/>
      <c r="W180" s="63"/>
      <c r="X180" s="63"/>
      <c r="Y180" s="33"/>
      <c r="Z180" s="63"/>
      <c r="AA180" s="58"/>
      <c r="AB180" s="33"/>
      <c r="AC180" s="32"/>
      <c r="AD180" s="32"/>
      <c r="AE180" s="32"/>
      <c r="AF180" s="33"/>
      <c r="AG180" s="32"/>
      <c r="AI180" s="33"/>
      <c r="AM180" s="33"/>
      <c r="AQ180" s="33"/>
      <c r="AU180" s="33"/>
      <c r="AX180" s="33"/>
      <c r="BB180" s="33"/>
      <c r="BE180" s="33"/>
      <c r="BI180" s="33"/>
      <c r="BL180" s="33"/>
      <c r="BP180" s="33"/>
      <c r="BS180" s="33"/>
      <c r="BV180" s="33"/>
      <c r="BZ180" s="33"/>
      <c r="CC180" s="33"/>
    </row>
    <row r="181" spans="1:81" x14ac:dyDescent="0.3">
      <c r="A181" s="85" t="s">
        <v>130</v>
      </c>
      <c r="B181" s="44">
        <v>1</v>
      </c>
      <c r="C181" s="33" t="s">
        <v>181</v>
      </c>
      <c r="D181" s="61">
        <v>1</v>
      </c>
      <c r="E181" s="33" t="s">
        <v>164</v>
      </c>
      <c r="F181" s="56">
        <f>F182</f>
        <v>3.0446428571428572</v>
      </c>
      <c r="G181" s="33" t="s">
        <v>147</v>
      </c>
      <c r="I181" s="33"/>
      <c r="M181" s="33"/>
      <c r="O181" s="62"/>
      <c r="P181" s="62"/>
      <c r="Q181" s="33"/>
      <c r="R181" s="62"/>
      <c r="S181" s="62"/>
      <c r="T181" s="58"/>
      <c r="U181" s="33"/>
      <c r="V181" s="58"/>
      <c r="W181" s="63"/>
      <c r="X181" s="63"/>
      <c r="Y181" s="33"/>
      <c r="Z181" s="63"/>
      <c r="AA181" s="58"/>
      <c r="AB181" s="33"/>
      <c r="AC181" s="32"/>
      <c r="AD181" s="32"/>
      <c r="AE181" s="32"/>
      <c r="AF181" s="33"/>
      <c r="AG181" s="32"/>
      <c r="AI181" s="33"/>
      <c r="AM181" s="33"/>
      <c r="AQ181" s="33"/>
      <c r="AU181" s="33"/>
      <c r="AX181" s="33"/>
      <c r="BB181" s="33"/>
      <c r="BE181" s="33"/>
      <c r="BI181" s="33"/>
      <c r="BL181" s="33"/>
      <c r="BP181" s="33"/>
      <c r="BS181" s="33"/>
      <c r="BV181" s="33"/>
      <c r="BZ181" s="33"/>
      <c r="CC181" s="33"/>
    </row>
    <row r="182" spans="1:81" x14ac:dyDescent="0.3">
      <c r="A182" s="85"/>
      <c r="B182" s="44">
        <v>1</v>
      </c>
      <c r="C182" s="33" t="s">
        <v>164</v>
      </c>
      <c r="D182" s="61">
        <f>(355+327)/2</f>
        <v>341</v>
      </c>
      <c r="E182" s="33" t="s">
        <v>140</v>
      </c>
      <c r="F182" s="56">
        <f>D182/D149</f>
        <v>3.0446428571428572</v>
      </c>
      <c r="G182" s="33" t="s">
        <v>147</v>
      </c>
      <c r="I182" s="33"/>
      <c r="M182" s="33"/>
      <c r="O182" s="62"/>
      <c r="P182" s="62"/>
      <c r="Q182" s="33"/>
      <c r="R182" s="62"/>
      <c r="S182" s="62"/>
      <c r="T182" s="58"/>
      <c r="U182" s="33"/>
      <c r="V182" s="58"/>
      <c r="W182" s="63"/>
      <c r="X182" s="63"/>
      <c r="Y182" s="33"/>
      <c r="Z182" s="63"/>
      <c r="AA182" s="58"/>
      <c r="AB182" s="33"/>
      <c r="AC182" s="32"/>
      <c r="AD182" s="32"/>
      <c r="AE182" s="32"/>
      <c r="AF182" s="33"/>
      <c r="AG182" s="32"/>
      <c r="AI182" s="33"/>
      <c r="AM182" s="33"/>
      <c r="AQ182" s="33"/>
      <c r="AU182" s="33"/>
      <c r="AX182" s="33"/>
      <c r="BB182" s="33"/>
      <c r="BE182" s="33"/>
      <c r="BI182" s="33"/>
      <c r="BL182" s="33"/>
      <c r="BP182" s="33"/>
      <c r="BS182" s="33"/>
      <c r="BV182" s="33"/>
      <c r="BZ182" s="33"/>
      <c r="CC182" s="33"/>
    </row>
    <row r="183" spans="1:81" x14ac:dyDescent="0.3">
      <c r="A183" s="85" t="s">
        <v>161</v>
      </c>
      <c r="B183" s="44">
        <v>1</v>
      </c>
      <c r="C183" s="34" t="s">
        <v>156</v>
      </c>
      <c r="D183" s="61">
        <v>140.63</v>
      </c>
      <c r="E183" s="33" t="s">
        <v>140</v>
      </c>
      <c r="F183" s="56">
        <f>D183/D149</f>
        <v>1.255625</v>
      </c>
      <c r="G183" s="33" t="s">
        <v>147</v>
      </c>
      <c r="I183" s="33"/>
      <c r="M183" s="33"/>
      <c r="O183" s="62"/>
      <c r="P183" s="62"/>
      <c r="Q183" s="33"/>
      <c r="R183" s="62"/>
      <c r="S183" s="62"/>
      <c r="T183" s="58"/>
      <c r="U183" s="33"/>
      <c r="V183" s="58"/>
      <c r="W183" s="63"/>
      <c r="X183" s="63"/>
      <c r="Y183" s="33"/>
      <c r="Z183" s="63"/>
      <c r="AA183" s="58"/>
      <c r="AB183" s="33"/>
      <c r="AC183" s="32"/>
      <c r="AD183" s="32"/>
      <c r="AE183" s="32"/>
      <c r="AF183" s="33"/>
      <c r="AG183" s="32"/>
      <c r="AI183" s="33"/>
      <c r="AM183" s="33"/>
      <c r="AQ183" s="33"/>
      <c r="AU183" s="33"/>
      <c r="AX183" s="33"/>
      <c r="BB183" s="33"/>
      <c r="BE183" s="33"/>
      <c r="BI183" s="33"/>
      <c r="BL183" s="33"/>
      <c r="BP183" s="33"/>
      <c r="BS183" s="33"/>
      <c r="BV183" s="33"/>
      <c r="BZ183" s="33"/>
      <c r="CC183" s="33"/>
    </row>
    <row r="184" spans="1:81" x14ac:dyDescent="0.3">
      <c r="A184" s="85"/>
      <c r="B184" s="44">
        <v>1</v>
      </c>
      <c r="C184" s="34" t="s">
        <v>182</v>
      </c>
      <c r="D184" s="61">
        <v>0.91576999999999997</v>
      </c>
      <c r="E184" s="33" t="s">
        <v>156</v>
      </c>
      <c r="F184" s="56">
        <f>F183*D184</f>
        <v>1.1498637062499999</v>
      </c>
      <c r="G184" s="33" t="s">
        <v>147</v>
      </c>
      <c r="I184" s="33"/>
      <c r="M184" s="33"/>
      <c r="O184" s="62"/>
      <c r="P184" s="62"/>
      <c r="Q184" s="33"/>
      <c r="R184" s="62"/>
      <c r="S184" s="62"/>
      <c r="T184" s="58"/>
      <c r="U184" s="33"/>
      <c r="V184" s="58"/>
      <c r="W184" s="63"/>
      <c r="X184" s="63"/>
      <c r="Y184" s="33"/>
      <c r="Z184" s="63"/>
      <c r="AA184" s="58"/>
      <c r="AB184" s="33"/>
      <c r="AC184" s="32"/>
      <c r="AD184" s="32"/>
      <c r="AE184" s="32"/>
      <c r="AF184" s="33"/>
      <c r="AG184" s="32"/>
      <c r="AI184" s="33"/>
      <c r="AM184" s="33"/>
      <c r="AQ184" s="33"/>
      <c r="AU184" s="33"/>
      <c r="AX184" s="33"/>
      <c r="BB184" s="33"/>
      <c r="BE184" s="33"/>
      <c r="BI184" s="33"/>
      <c r="BL184" s="33"/>
      <c r="BP184" s="33"/>
      <c r="BS184" s="33"/>
      <c r="BV184" s="33"/>
      <c r="BZ184" s="33"/>
      <c r="CC184" s="33"/>
    </row>
    <row r="185" spans="1:81" x14ac:dyDescent="0.3">
      <c r="A185" s="85" t="s">
        <v>27</v>
      </c>
      <c r="B185" s="32">
        <v>1</v>
      </c>
      <c r="C185" s="34" t="s">
        <v>164</v>
      </c>
      <c r="D185" s="61">
        <v>2.37609</v>
      </c>
      <c r="E185" s="34" t="s">
        <v>158</v>
      </c>
      <c r="F185" s="56">
        <f>D185*D186</f>
        <v>4.1366063637000003</v>
      </c>
      <c r="G185" s="33" t="s">
        <v>147</v>
      </c>
      <c r="I185" s="34"/>
      <c r="M185" s="34"/>
      <c r="O185" s="62"/>
      <c r="P185" s="62"/>
      <c r="Q185" s="34"/>
      <c r="R185" s="62"/>
      <c r="S185" s="62"/>
      <c r="T185" s="58"/>
      <c r="U185" s="34"/>
      <c r="V185" s="58"/>
      <c r="W185" s="63"/>
      <c r="X185" s="63"/>
      <c r="Y185" s="34"/>
      <c r="Z185" s="63"/>
      <c r="AA185" s="58"/>
      <c r="AB185" s="34"/>
      <c r="AC185" s="32"/>
      <c r="AD185" s="32"/>
      <c r="AE185" s="32"/>
      <c r="AF185" s="34"/>
      <c r="AG185" s="32"/>
      <c r="AI185" s="34"/>
      <c r="AM185" s="34"/>
      <c r="AQ185" s="34"/>
      <c r="AU185" s="34"/>
      <c r="AX185" s="34"/>
      <c r="BB185" s="34"/>
      <c r="BE185" s="34"/>
      <c r="BI185" s="34"/>
      <c r="BL185" s="34"/>
      <c r="BP185" s="34"/>
      <c r="BS185" s="34"/>
      <c r="BV185" s="34"/>
      <c r="BZ185" s="34"/>
      <c r="CC185" s="34"/>
    </row>
    <row r="186" spans="1:81" x14ac:dyDescent="0.3">
      <c r="A186" s="85"/>
      <c r="B186" s="44">
        <v>1</v>
      </c>
      <c r="C186" s="34" t="s">
        <v>158</v>
      </c>
      <c r="D186" s="61">
        <v>1.7409300000000001</v>
      </c>
      <c r="E186" s="33" t="s">
        <v>147</v>
      </c>
      <c r="F186" s="56"/>
      <c r="G186" s="33"/>
      <c r="I186" s="33"/>
      <c r="M186" s="33"/>
      <c r="O186" s="62"/>
      <c r="P186" s="62"/>
      <c r="Q186" s="33"/>
      <c r="R186" s="62"/>
      <c r="S186" s="62"/>
      <c r="T186" s="58"/>
      <c r="U186" s="33"/>
      <c r="V186" s="58"/>
      <c r="W186" s="63"/>
      <c r="X186" s="63"/>
      <c r="Y186" s="33"/>
      <c r="Z186" s="63"/>
      <c r="AA186" s="58"/>
      <c r="AB186" s="33"/>
      <c r="AC186" s="32"/>
      <c r="AD186" s="32"/>
      <c r="AE186" s="32"/>
      <c r="AF186" s="33"/>
      <c r="AG186" s="32"/>
      <c r="AI186" s="33"/>
      <c r="AM186" s="33"/>
      <c r="AQ186" s="33"/>
      <c r="AU186" s="33"/>
      <c r="AX186" s="33"/>
      <c r="BB186" s="33"/>
      <c r="BE186" s="33"/>
      <c r="BI186" s="33"/>
      <c r="BL186" s="33"/>
      <c r="BP186" s="33"/>
      <c r="BS186" s="33"/>
      <c r="BV186" s="33"/>
      <c r="BZ186" s="33"/>
      <c r="CC186" s="33"/>
    </row>
    <row r="187" spans="1:81" x14ac:dyDescent="0.3">
      <c r="A187" s="32" t="s">
        <v>183</v>
      </c>
      <c r="B187" s="44">
        <v>1</v>
      </c>
      <c r="C187" s="34" t="s">
        <v>164</v>
      </c>
      <c r="D187" s="61">
        <v>242</v>
      </c>
      <c r="E187" s="33" t="s">
        <v>140</v>
      </c>
      <c r="F187" s="56">
        <f>D187/D149</f>
        <v>2.1607142857142856</v>
      </c>
      <c r="G187" s="33" t="s">
        <v>147</v>
      </c>
      <c r="I187" s="33"/>
      <c r="M187" s="33"/>
      <c r="O187" s="62"/>
      <c r="P187" s="62"/>
      <c r="Q187" s="33"/>
      <c r="R187" s="62"/>
      <c r="S187" s="62"/>
      <c r="T187" s="58"/>
      <c r="U187" s="33"/>
      <c r="V187" s="58"/>
      <c r="W187" s="63"/>
      <c r="X187" s="63"/>
      <c r="Y187" s="33"/>
      <c r="Z187" s="63"/>
      <c r="AA187" s="58"/>
      <c r="AB187" s="33"/>
      <c r="AC187" s="32"/>
      <c r="AD187" s="32"/>
      <c r="AE187" s="32"/>
      <c r="AF187" s="33"/>
      <c r="AG187" s="32"/>
      <c r="AI187" s="33"/>
      <c r="AM187" s="33"/>
      <c r="AQ187" s="33"/>
      <c r="AU187" s="33"/>
      <c r="AX187" s="33"/>
      <c r="BB187" s="33"/>
      <c r="BE187" s="33"/>
      <c r="BI187" s="33"/>
      <c r="BL187" s="33"/>
      <c r="BP187" s="33"/>
      <c r="BS187" s="33"/>
      <c r="BV187" s="33"/>
      <c r="BZ187" s="33"/>
      <c r="CC187" s="33"/>
    </row>
    <row r="188" spans="1:81" x14ac:dyDescent="0.3">
      <c r="A188" s="32" t="s">
        <v>184</v>
      </c>
      <c r="B188" s="44">
        <v>1</v>
      </c>
      <c r="C188" s="34" t="s">
        <v>185</v>
      </c>
      <c r="D188" s="61">
        <v>294</v>
      </c>
      <c r="E188" s="33" t="s">
        <v>140</v>
      </c>
      <c r="F188" s="56">
        <f>D188/D149</f>
        <v>2.625</v>
      </c>
      <c r="G188" s="33" t="s">
        <v>147</v>
      </c>
      <c r="I188" s="33"/>
      <c r="M188" s="33"/>
      <c r="O188" s="62"/>
      <c r="P188" s="62"/>
      <c r="Q188" s="33"/>
      <c r="R188" s="62"/>
      <c r="S188" s="62"/>
      <c r="T188" s="58"/>
      <c r="U188" s="33"/>
      <c r="V188" s="58"/>
      <c r="W188" s="63"/>
      <c r="X188" s="63"/>
      <c r="Y188" s="33"/>
      <c r="Z188" s="63"/>
      <c r="AA188" s="58"/>
      <c r="AB188" s="33"/>
      <c r="AC188" s="32"/>
      <c r="AD188" s="32"/>
      <c r="AE188" s="32"/>
      <c r="AF188" s="33"/>
      <c r="AG188" s="32"/>
      <c r="AI188" s="33"/>
      <c r="AM188" s="33"/>
      <c r="AQ188" s="33"/>
      <c r="AU188" s="33"/>
      <c r="AX188" s="33"/>
      <c r="BB188" s="33"/>
      <c r="BE188" s="33"/>
      <c r="BI188" s="33"/>
      <c r="BL188" s="33"/>
      <c r="BP188" s="33"/>
      <c r="BS188" s="33"/>
      <c r="BV188" s="33"/>
      <c r="BZ188" s="33"/>
      <c r="CC188" s="33"/>
    </row>
    <row r="189" spans="1:81" x14ac:dyDescent="0.3">
      <c r="A189" s="32" t="s">
        <v>32</v>
      </c>
      <c r="B189" s="44">
        <v>1</v>
      </c>
      <c r="C189" s="34" t="s">
        <v>156</v>
      </c>
      <c r="D189" s="56">
        <v>0.88400000000000001</v>
      </c>
      <c r="E189" s="33" t="s">
        <v>147</v>
      </c>
      <c r="I189" s="33"/>
      <c r="M189" s="33"/>
      <c r="O189" s="62"/>
      <c r="P189" s="62"/>
      <c r="Q189" s="33"/>
      <c r="R189" s="62"/>
      <c r="S189" s="62"/>
      <c r="T189" s="58"/>
      <c r="U189" s="33"/>
      <c r="V189" s="58"/>
      <c r="W189" s="63"/>
      <c r="X189" s="63"/>
      <c r="Y189" s="33"/>
      <c r="Z189" s="63"/>
      <c r="AA189" s="58"/>
      <c r="AB189" s="33"/>
      <c r="AC189" s="32"/>
      <c r="AD189" s="32"/>
      <c r="AE189" s="32"/>
      <c r="AF189" s="33"/>
      <c r="AG189" s="32"/>
      <c r="AI189" s="33"/>
      <c r="AM189" s="33"/>
      <c r="AQ189" s="33"/>
      <c r="AU189" s="33"/>
      <c r="AX189" s="33"/>
      <c r="BB189" s="33"/>
      <c r="BE189" s="33"/>
      <c r="BI189" s="33"/>
      <c r="BL189" s="33"/>
      <c r="BP189" s="33"/>
      <c r="BS189" s="33"/>
      <c r="BV189" s="33"/>
      <c r="BZ189" s="33"/>
      <c r="CC189" s="33"/>
    </row>
    <row r="190" spans="1:81" x14ac:dyDescent="0.3">
      <c r="A190" s="32" t="s">
        <v>2</v>
      </c>
      <c r="B190" s="44">
        <v>1</v>
      </c>
      <c r="C190" s="34" t="s">
        <v>158</v>
      </c>
      <c r="D190" s="61">
        <v>149</v>
      </c>
      <c r="E190" s="33" t="s">
        <v>140</v>
      </c>
      <c r="F190" s="56">
        <f>D190/D149</f>
        <v>1.3303571428571428</v>
      </c>
      <c r="G190" s="33" t="s">
        <v>147</v>
      </c>
      <c r="I190" s="33"/>
      <c r="M190" s="33"/>
      <c r="O190" s="62"/>
      <c r="P190" s="62"/>
      <c r="Q190" s="33"/>
      <c r="R190" s="62"/>
      <c r="S190" s="62"/>
      <c r="T190" s="58"/>
      <c r="U190" s="33"/>
      <c r="V190" s="58"/>
      <c r="W190" s="63"/>
      <c r="X190" s="63"/>
      <c r="Y190" s="33"/>
      <c r="Z190" s="63"/>
      <c r="AA190" s="58"/>
      <c r="AB190" s="33"/>
      <c r="AC190" s="32"/>
      <c r="AD190" s="32"/>
      <c r="AE190" s="32"/>
      <c r="AF190" s="33"/>
      <c r="AG190" s="32"/>
      <c r="AI190" s="33"/>
      <c r="AM190" s="33"/>
      <c r="AQ190" s="33"/>
      <c r="AU190" s="33"/>
      <c r="AX190" s="33"/>
      <c r="BB190" s="33"/>
      <c r="BE190" s="33"/>
      <c r="BI190" s="33"/>
      <c r="BL190" s="33"/>
      <c r="BP190" s="33"/>
      <c r="BS190" s="33"/>
      <c r="BV190" s="33"/>
      <c r="BZ190" s="33"/>
      <c r="CC190" s="33"/>
    </row>
    <row r="191" spans="1:81" x14ac:dyDescent="0.3">
      <c r="A191" s="32" t="s">
        <v>174</v>
      </c>
      <c r="B191" s="44">
        <v>1</v>
      </c>
      <c r="C191" s="34" t="s">
        <v>156</v>
      </c>
      <c r="D191" s="61">
        <v>164</v>
      </c>
      <c r="E191" s="33" t="s">
        <v>140</v>
      </c>
      <c r="F191" s="56">
        <f>D191/D149</f>
        <v>1.4642857142857142</v>
      </c>
      <c r="G191" s="33" t="s">
        <v>147</v>
      </c>
      <c r="I191" s="33"/>
      <c r="M191" s="33"/>
      <c r="O191" s="62"/>
      <c r="P191" s="62"/>
      <c r="Q191" s="33"/>
      <c r="R191" s="62"/>
      <c r="S191" s="62"/>
      <c r="T191" s="58"/>
      <c r="U191" s="33"/>
      <c r="V191" s="58"/>
      <c r="W191" s="63"/>
      <c r="X191" s="63"/>
      <c r="Y191" s="33"/>
      <c r="Z191" s="63"/>
      <c r="AA191" s="58"/>
      <c r="AB191" s="33"/>
      <c r="AC191" s="32"/>
      <c r="AD191" s="32"/>
      <c r="AE191" s="32"/>
      <c r="AF191" s="33"/>
      <c r="AG191" s="32"/>
      <c r="AI191" s="33"/>
      <c r="AM191" s="33"/>
      <c r="AQ191" s="33"/>
      <c r="AU191" s="33"/>
      <c r="AX191" s="33"/>
      <c r="BB191" s="33"/>
      <c r="BE191" s="33"/>
      <c r="BI191" s="33"/>
      <c r="BL191" s="33"/>
      <c r="BP191" s="33"/>
      <c r="BS191" s="33"/>
      <c r="BV191" s="33"/>
      <c r="BZ191" s="33"/>
      <c r="CC191" s="33"/>
    </row>
    <row r="192" spans="1:81" x14ac:dyDescent="0.3">
      <c r="A192" s="85" t="s">
        <v>186</v>
      </c>
      <c r="B192" s="44">
        <v>1</v>
      </c>
      <c r="C192" s="34" t="s">
        <v>185</v>
      </c>
      <c r="D192" s="61">
        <v>2.0271699999999999</v>
      </c>
      <c r="E192" s="33" t="s">
        <v>164</v>
      </c>
      <c r="F192" s="56">
        <f>D193*D192/D149</f>
        <v>6.0815099999999997</v>
      </c>
      <c r="G192" s="33" t="s">
        <v>147</v>
      </c>
      <c r="I192" s="33"/>
      <c r="M192" s="33"/>
      <c r="O192" s="62"/>
      <c r="P192" s="62"/>
      <c r="Q192" s="33"/>
      <c r="R192" s="62"/>
      <c r="S192" s="62"/>
      <c r="T192" s="58"/>
      <c r="U192" s="33"/>
      <c r="V192" s="58"/>
      <c r="W192" s="63"/>
      <c r="X192" s="63"/>
      <c r="Y192" s="33"/>
      <c r="Z192" s="63"/>
      <c r="AA192" s="58"/>
      <c r="AB192" s="33"/>
      <c r="AC192" s="32"/>
      <c r="AD192" s="32"/>
      <c r="AE192" s="32"/>
      <c r="AF192" s="33"/>
      <c r="AG192" s="32"/>
      <c r="AI192" s="33"/>
      <c r="AM192" s="33"/>
      <c r="AQ192" s="33"/>
      <c r="AU192" s="33"/>
      <c r="AX192" s="33"/>
      <c r="BB192" s="33"/>
      <c r="BE192" s="33"/>
      <c r="BI192" s="33"/>
      <c r="BL192" s="33"/>
      <c r="BP192" s="33"/>
      <c r="BS192" s="33"/>
      <c r="BV192" s="33"/>
      <c r="BZ192" s="33"/>
      <c r="CC192" s="33"/>
    </row>
    <row r="193" spans="1:81" x14ac:dyDescent="0.3">
      <c r="A193" s="85"/>
      <c r="B193" s="44">
        <v>1</v>
      </c>
      <c r="C193" s="34" t="s">
        <v>164</v>
      </c>
      <c r="D193" s="61">
        <v>336</v>
      </c>
      <c r="E193" s="33" t="s">
        <v>140</v>
      </c>
      <c r="F193" s="56">
        <f>D193/D149</f>
        <v>3</v>
      </c>
      <c r="G193" s="33" t="s">
        <v>147</v>
      </c>
      <c r="I193" s="33"/>
      <c r="M193" s="33"/>
      <c r="O193" s="62"/>
      <c r="P193" s="62"/>
      <c r="Q193" s="33"/>
      <c r="R193" s="62"/>
      <c r="S193" s="62"/>
      <c r="T193" s="58"/>
      <c r="U193" s="33"/>
      <c r="V193" s="58"/>
      <c r="W193" s="63"/>
      <c r="X193" s="63"/>
      <c r="Y193" s="33"/>
      <c r="Z193" s="63"/>
      <c r="AA193" s="58"/>
      <c r="AB193" s="33"/>
      <c r="AC193" s="32"/>
      <c r="AD193" s="32"/>
      <c r="AE193" s="32"/>
      <c r="AF193" s="33"/>
      <c r="AG193" s="32"/>
      <c r="AI193" s="33"/>
      <c r="AM193" s="33"/>
      <c r="AQ193" s="33"/>
      <c r="AU193" s="33"/>
      <c r="AX193" s="33"/>
      <c r="BB193" s="33"/>
      <c r="BE193" s="33"/>
      <c r="BI193" s="33"/>
      <c r="BL193" s="33"/>
      <c r="BP193" s="33"/>
      <c r="BS193" s="33"/>
      <c r="BV193" s="33"/>
      <c r="BZ193" s="33"/>
      <c r="CC193" s="33"/>
    </row>
    <row r="194" spans="1:81" x14ac:dyDescent="0.3">
      <c r="A194" s="64" t="s">
        <v>187</v>
      </c>
      <c r="B194" s="44">
        <v>1</v>
      </c>
      <c r="C194" s="34" t="s">
        <v>156</v>
      </c>
      <c r="D194" s="61">
        <v>746.66700000000003</v>
      </c>
      <c r="E194" s="33" t="s">
        <v>140</v>
      </c>
      <c r="F194" s="56">
        <f>D194/D149</f>
        <v>6.6666696428571433</v>
      </c>
      <c r="G194" s="33" t="s">
        <v>147</v>
      </c>
      <c r="I194" s="33"/>
      <c r="M194" s="33"/>
      <c r="O194" s="62"/>
      <c r="P194" s="62"/>
      <c r="Q194" s="33"/>
      <c r="R194" s="62"/>
      <c r="S194" s="62"/>
      <c r="T194" s="58"/>
      <c r="U194" s="33"/>
      <c r="V194" s="58"/>
      <c r="W194" s="63"/>
      <c r="X194" s="63"/>
      <c r="Y194" s="33"/>
      <c r="Z194" s="63"/>
      <c r="AA194" s="58"/>
      <c r="AB194" s="33"/>
      <c r="AC194" s="32"/>
      <c r="AD194" s="32"/>
      <c r="AE194" s="32"/>
      <c r="AF194" s="33"/>
      <c r="AG194" s="32"/>
      <c r="AI194" s="33"/>
      <c r="AM194" s="33"/>
      <c r="AQ194" s="33"/>
      <c r="AU194" s="33"/>
      <c r="AX194" s="33"/>
      <c r="BB194" s="33"/>
      <c r="BE194" s="33"/>
      <c r="BI194" s="33"/>
      <c r="BL194" s="33"/>
      <c r="BP194" s="33"/>
      <c r="BS194" s="33"/>
      <c r="BV194" s="33"/>
      <c r="BZ194" s="33"/>
      <c r="CC194" s="33"/>
    </row>
    <row r="195" spans="1:81" x14ac:dyDescent="0.3">
      <c r="A195" s="85" t="s">
        <v>117</v>
      </c>
      <c r="B195" s="44">
        <v>1</v>
      </c>
      <c r="C195" s="34" t="s">
        <v>182</v>
      </c>
      <c r="D195" s="61">
        <v>260</v>
      </c>
      <c r="E195" s="33" t="s">
        <v>140</v>
      </c>
      <c r="F195" s="56">
        <f>D195/D149</f>
        <v>2.3214285714285716</v>
      </c>
      <c r="G195" s="33" t="s">
        <v>147</v>
      </c>
      <c r="I195" s="33"/>
      <c r="M195" s="33"/>
      <c r="Q195" s="33"/>
      <c r="T195" s="58"/>
      <c r="U195" s="33"/>
      <c r="V195" s="58"/>
      <c r="W195" s="32"/>
      <c r="X195" s="32"/>
      <c r="Y195" s="33"/>
      <c r="Z195" s="32"/>
      <c r="AA195" s="58"/>
      <c r="AB195" s="33"/>
      <c r="AC195" s="32"/>
      <c r="AD195" s="32"/>
      <c r="AE195" s="32"/>
      <c r="AF195" s="33"/>
      <c r="AG195" s="32"/>
      <c r="AI195" s="33"/>
      <c r="AM195" s="33"/>
      <c r="AQ195" s="33"/>
      <c r="AU195" s="33"/>
      <c r="AX195" s="33"/>
      <c r="BB195" s="33"/>
      <c r="BE195" s="33"/>
      <c r="BI195" s="33"/>
      <c r="BL195" s="33"/>
      <c r="BP195" s="33"/>
      <c r="BS195" s="33"/>
      <c r="BV195" s="33"/>
      <c r="BZ195" s="33"/>
      <c r="CC195" s="33"/>
    </row>
    <row r="196" spans="1:81" x14ac:dyDescent="0.3">
      <c r="A196" s="85"/>
      <c r="B196" s="44">
        <v>1</v>
      </c>
      <c r="C196" s="34" t="s">
        <v>156</v>
      </c>
      <c r="D196" s="61">
        <v>1.5662799999999999</v>
      </c>
      <c r="E196" s="33" t="s">
        <v>147</v>
      </c>
      <c r="F196" s="56"/>
      <c r="G196" s="33"/>
      <c r="I196" s="33"/>
      <c r="M196" s="33"/>
      <c r="Q196" s="33"/>
      <c r="T196" s="58"/>
      <c r="U196" s="33"/>
      <c r="V196" s="58"/>
      <c r="W196" s="32"/>
      <c r="X196" s="32"/>
      <c r="Y196" s="33"/>
      <c r="Z196" s="32"/>
      <c r="AA196" s="58"/>
      <c r="AB196" s="33"/>
      <c r="AC196" s="32"/>
      <c r="AD196" s="32"/>
      <c r="AE196" s="32"/>
      <c r="AF196" s="33"/>
      <c r="AG196" s="32"/>
      <c r="AI196" s="33"/>
      <c r="AM196" s="33"/>
      <c r="AQ196" s="33"/>
      <c r="AU196" s="33"/>
      <c r="AX196" s="33"/>
      <c r="BB196" s="33"/>
      <c r="BE196" s="33"/>
      <c r="BI196" s="33"/>
      <c r="BL196" s="33"/>
      <c r="BP196" s="33"/>
      <c r="BS196" s="33"/>
      <c r="BV196" s="33"/>
      <c r="BZ196" s="33"/>
      <c r="CC196" s="33"/>
    </row>
    <row r="197" spans="1:81" x14ac:dyDescent="0.3">
      <c r="A197" s="85"/>
      <c r="B197" s="44">
        <v>1</v>
      </c>
      <c r="C197" s="34" t="s">
        <v>139</v>
      </c>
      <c r="D197" s="61">
        <v>560</v>
      </c>
      <c r="E197" s="33" t="s">
        <v>140</v>
      </c>
      <c r="F197" s="56">
        <f>D197/D149</f>
        <v>5</v>
      </c>
      <c r="G197" s="33" t="s">
        <v>147</v>
      </c>
      <c r="H197" s="58"/>
      <c r="I197" s="33"/>
      <c r="K197" s="58"/>
      <c r="L197" s="58"/>
      <c r="M197" s="33"/>
      <c r="Q197" s="33"/>
      <c r="U197" s="33"/>
      <c r="X197" s="32"/>
      <c r="Y197" s="33"/>
      <c r="AB197" s="33"/>
      <c r="AC197" s="58"/>
      <c r="AD197" s="58"/>
      <c r="AF197" s="33"/>
      <c r="AI197" s="33"/>
      <c r="AM197" s="33"/>
      <c r="AQ197" s="33"/>
      <c r="AU197" s="33"/>
      <c r="AV197" s="58"/>
      <c r="AX197" s="33"/>
      <c r="BB197" s="33"/>
      <c r="BE197" s="33"/>
      <c r="BI197" s="33"/>
      <c r="BL197" s="33"/>
      <c r="BP197" s="33"/>
      <c r="BS197" s="33"/>
      <c r="BV197" s="33"/>
      <c r="BZ197" s="33"/>
      <c r="CC197" s="33"/>
    </row>
    <row r="198" spans="1:81" s="32" customFormat="1" x14ac:dyDescent="0.3">
      <c r="A198" s="85" t="s">
        <v>131</v>
      </c>
      <c r="B198" s="44">
        <v>1</v>
      </c>
      <c r="C198" s="33" t="s">
        <v>164</v>
      </c>
      <c r="D198" s="65">
        <v>80</v>
      </c>
      <c r="E198" s="33" t="s">
        <v>140</v>
      </c>
      <c r="F198" s="66">
        <f>D198/D199</f>
        <v>0.7142857142857143</v>
      </c>
      <c r="G198" s="33" t="s">
        <v>147</v>
      </c>
      <c r="H198" s="65"/>
      <c r="I198" s="33"/>
      <c r="J198" s="65"/>
      <c r="K198" s="65"/>
      <c r="L198" s="65"/>
      <c r="M198" s="33"/>
      <c r="N198" s="65"/>
      <c r="O198" s="65"/>
      <c r="Q198" s="33"/>
      <c r="U198" s="33"/>
      <c r="Y198" s="33"/>
      <c r="AB198" s="33"/>
      <c r="AF198" s="33"/>
      <c r="AI198" s="33"/>
      <c r="AM198" s="33"/>
      <c r="AQ198" s="33"/>
      <c r="AU198" s="33"/>
      <c r="AX198" s="33"/>
      <c r="BB198" s="33"/>
      <c r="BE198" s="33"/>
      <c r="BI198" s="33"/>
      <c r="BL198" s="33"/>
      <c r="BP198" s="33"/>
      <c r="BS198" s="33"/>
      <c r="BV198" s="33"/>
      <c r="BZ198" s="33"/>
      <c r="CC198" s="33"/>
    </row>
    <row r="199" spans="1:81" s="32" customFormat="1" x14ac:dyDescent="0.3">
      <c r="A199" s="85"/>
      <c r="B199" s="44">
        <v>1</v>
      </c>
      <c r="C199" s="33" t="s">
        <v>147</v>
      </c>
      <c r="D199" s="65">
        <v>112</v>
      </c>
      <c r="E199" s="33" t="s">
        <v>140</v>
      </c>
      <c r="F199" s="65"/>
      <c r="G199" s="65"/>
      <c r="H199" s="65"/>
      <c r="I199" s="33"/>
      <c r="J199" s="65"/>
      <c r="K199" s="65"/>
      <c r="L199" s="65"/>
      <c r="M199" s="33"/>
      <c r="N199" s="65"/>
      <c r="O199" s="65"/>
      <c r="Q199" s="33"/>
      <c r="U199" s="33"/>
      <c r="Y199" s="33"/>
      <c r="AB199" s="33"/>
      <c r="AF199" s="33"/>
      <c r="AI199" s="33"/>
      <c r="AM199" s="33"/>
      <c r="AQ199" s="33"/>
      <c r="AU199" s="33"/>
      <c r="AX199" s="33"/>
      <c r="BB199" s="33"/>
      <c r="BE199" s="33"/>
      <c r="BI199" s="33"/>
      <c r="BL199" s="33"/>
      <c r="BP199" s="33"/>
      <c r="BS199" s="33"/>
      <c r="BV199" s="33"/>
      <c r="BZ199" s="33"/>
      <c r="CC199" s="33"/>
    </row>
    <row r="200" spans="1:81" s="32" customFormat="1" x14ac:dyDescent="0.3">
      <c r="A200" s="64" t="s">
        <v>188</v>
      </c>
      <c r="B200" s="44">
        <v>1</v>
      </c>
      <c r="C200" s="34" t="s">
        <v>164</v>
      </c>
      <c r="D200" s="61">
        <v>336</v>
      </c>
      <c r="E200" s="33" t="s">
        <v>140</v>
      </c>
      <c r="F200" s="56">
        <f>D200/D199</f>
        <v>3</v>
      </c>
      <c r="G200" s="33" t="s">
        <v>147</v>
      </c>
      <c r="H200" s="65"/>
      <c r="I200" s="33"/>
      <c r="J200" s="65"/>
      <c r="K200" s="65"/>
      <c r="L200" s="65"/>
      <c r="M200" s="33"/>
      <c r="N200" s="65"/>
      <c r="O200" s="65"/>
      <c r="Q200" s="33"/>
      <c r="U200" s="33"/>
      <c r="Y200" s="33"/>
      <c r="AB200" s="33"/>
      <c r="AF200" s="33"/>
      <c r="AI200" s="33"/>
      <c r="AM200" s="33"/>
      <c r="AQ200" s="33"/>
      <c r="AU200" s="33"/>
      <c r="AX200" s="33"/>
      <c r="BB200" s="33"/>
      <c r="BE200" s="33"/>
      <c r="BI200" s="33"/>
      <c r="BL200" s="33"/>
      <c r="BP200" s="33"/>
      <c r="BS200" s="33"/>
      <c r="BV200" s="33"/>
      <c r="BZ200" s="33"/>
      <c r="CC200" s="33"/>
    </row>
    <row r="201" spans="1:81" s="32" customFormat="1" x14ac:dyDescent="0.3">
      <c r="A201" s="32" t="s">
        <v>189</v>
      </c>
      <c r="B201" s="44">
        <v>1</v>
      </c>
      <c r="C201" s="34" t="s">
        <v>190</v>
      </c>
      <c r="D201" s="61">
        <v>9</v>
      </c>
      <c r="E201" s="33" t="s">
        <v>167</v>
      </c>
      <c r="F201" s="65"/>
      <c r="G201" s="65"/>
      <c r="H201" s="65"/>
      <c r="I201" s="33"/>
      <c r="J201" s="65"/>
      <c r="K201" s="65"/>
      <c r="L201" s="65"/>
      <c r="M201" s="33"/>
      <c r="N201" s="65"/>
      <c r="O201" s="65"/>
      <c r="Q201" s="33"/>
      <c r="U201" s="33"/>
      <c r="Y201" s="33"/>
      <c r="AB201" s="33"/>
      <c r="AF201" s="33"/>
      <c r="AI201" s="33"/>
      <c r="AM201" s="33"/>
      <c r="AQ201" s="33"/>
      <c r="AU201" s="33"/>
      <c r="AX201" s="33"/>
      <c r="BB201" s="33"/>
      <c r="BE201" s="33"/>
      <c r="BI201" s="33"/>
      <c r="BL201" s="33"/>
      <c r="BP201" s="33"/>
      <c r="BS201" s="33"/>
      <c r="BV201" s="33"/>
      <c r="BZ201" s="33"/>
      <c r="CC201" s="33"/>
    </row>
    <row r="202" spans="1:81" s="32" customFormat="1" x14ac:dyDescent="0.3">
      <c r="A202" s="32" t="s">
        <v>9</v>
      </c>
      <c r="B202" s="44">
        <v>1</v>
      </c>
      <c r="C202" s="34" t="s">
        <v>156</v>
      </c>
      <c r="D202" s="61">
        <f>756/3720</f>
        <v>0.20322580645161289</v>
      </c>
      <c r="E202" s="33" t="s">
        <v>147</v>
      </c>
      <c r="F202" s="65"/>
      <c r="G202" s="65"/>
      <c r="H202" s="65"/>
      <c r="I202" s="33"/>
      <c r="J202" s="65"/>
      <c r="K202" s="65"/>
      <c r="L202" s="65"/>
      <c r="M202" s="33"/>
      <c r="N202" s="65"/>
      <c r="O202" s="65"/>
      <c r="Q202" s="33"/>
      <c r="U202" s="33"/>
      <c r="Y202" s="33"/>
      <c r="AB202" s="33"/>
      <c r="AF202" s="33"/>
      <c r="AI202" s="33"/>
      <c r="AM202" s="33"/>
      <c r="AQ202" s="33"/>
      <c r="AU202" s="33"/>
      <c r="AX202" s="33"/>
      <c r="BB202" s="33"/>
      <c r="BE202" s="33"/>
      <c r="BI202" s="33"/>
      <c r="BL202" s="33"/>
      <c r="BP202" s="33"/>
      <c r="BS202" s="33"/>
      <c r="BV202" s="33"/>
      <c r="BZ202" s="33"/>
      <c r="CC202" s="33"/>
    </row>
    <row r="203" spans="1:81" s="32" customFormat="1" x14ac:dyDescent="0.3">
      <c r="A203" s="32" t="s">
        <v>30</v>
      </c>
      <c r="B203" s="44">
        <v>1</v>
      </c>
      <c r="C203" s="34" t="s">
        <v>158</v>
      </c>
      <c r="D203" s="61">
        <f>600/400</f>
        <v>1.5</v>
      </c>
      <c r="E203" s="33" t="s">
        <v>147</v>
      </c>
      <c r="F203" s="65"/>
      <c r="G203" s="65"/>
      <c r="H203" s="65"/>
      <c r="I203" s="33"/>
      <c r="J203" s="65"/>
      <c r="K203" s="65"/>
      <c r="L203" s="65"/>
      <c r="M203" s="33"/>
      <c r="N203" s="65"/>
      <c r="O203" s="65"/>
      <c r="Q203" s="33"/>
      <c r="U203" s="33"/>
      <c r="Y203" s="33"/>
      <c r="AB203" s="33"/>
      <c r="AF203" s="33"/>
      <c r="AI203" s="33"/>
      <c r="AM203" s="33"/>
      <c r="AQ203" s="33"/>
      <c r="AU203" s="33"/>
      <c r="AX203" s="33"/>
      <c r="BB203" s="33"/>
      <c r="BE203" s="33"/>
      <c r="BI203" s="33"/>
      <c r="BL203" s="33"/>
      <c r="BP203" s="33"/>
      <c r="BS203" s="33"/>
      <c r="BV203" s="33"/>
      <c r="BZ203" s="33"/>
      <c r="CC203" s="33"/>
    </row>
    <row r="204" spans="1:81" s="32" customFormat="1" x14ac:dyDescent="0.3">
      <c r="A204" s="32" t="s">
        <v>191</v>
      </c>
      <c r="B204" s="44">
        <v>1</v>
      </c>
      <c r="C204" s="34" t="s">
        <v>164</v>
      </c>
      <c r="D204" s="61">
        <f>600/400</f>
        <v>1.5</v>
      </c>
      <c r="E204" s="33" t="s">
        <v>147</v>
      </c>
      <c r="F204" s="65"/>
      <c r="G204" s="65"/>
      <c r="H204" s="65"/>
      <c r="I204" s="33"/>
      <c r="J204" s="65"/>
      <c r="K204" s="65"/>
      <c r="L204" s="65"/>
      <c r="M204" s="33"/>
      <c r="N204" s="65"/>
      <c r="O204" s="65"/>
      <c r="Q204" s="33"/>
      <c r="U204" s="33"/>
      <c r="Y204" s="33"/>
      <c r="AB204" s="33"/>
      <c r="AF204" s="33"/>
      <c r="AI204" s="33"/>
      <c r="AM204" s="33"/>
      <c r="AQ204" s="33"/>
      <c r="AU204" s="33"/>
      <c r="AX204" s="33"/>
      <c r="BB204" s="33"/>
      <c r="BE204" s="33"/>
      <c r="BI204" s="33"/>
      <c r="BL204" s="33"/>
      <c r="BP204" s="33"/>
      <c r="BS204" s="33"/>
      <c r="BV204" s="33"/>
      <c r="BZ204" s="33"/>
      <c r="CC204" s="33"/>
    </row>
    <row r="205" spans="1:81" s="32" customFormat="1" x14ac:dyDescent="0.3">
      <c r="A205" s="32" t="s">
        <v>45</v>
      </c>
      <c r="B205" s="44">
        <v>1</v>
      </c>
      <c r="C205" s="34" t="s">
        <v>156</v>
      </c>
      <c r="D205" s="61">
        <f>3600/2400</f>
        <v>1.5</v>
      </c>
      <c r="E205" s="33" t="s">
        <v>147</v>
      </c>
      <c r="F205" s="65"/>
      <c r="G205" s="65"/>
      <c r="H205" s="65"/>
      <c r="I205" s="33"/>
      <c r="J205" s="65"/>
      <c r="K205" s="65"/>
      <c r="L205" s="65"/>
      <c r="M205" s="33"/>
      <c r="N205" s="65"/>
      <c r="O205" s="65"/>
      <c r="Q205" s="33"/>
      <c r="U205" s="33"/>
      <c r="Y205" s="33"/>
      <c r="AB205" s="33"/>
      <c r="AF205" s="33"/>
      <c r="AI205" s="33"/>
      <c r="AM205" s="33"/>
      <c r="AQ205" s="33"/>
      <c r="AU205" s="33"/>
      <c r="AX205" s="33"/>
      <c r="BB205" s="33"/>
      <c r="BE205" s="33"/>
      <c r="BI205" s="33"/>
      <c r="BL205" s="33"/>
      <c r="BP205" s="33"/>
      <c r="BS205" s="33"/>
      <c r="BV205" s="33"/>
      <c r="BZ205" s="33"/>
      <c r="CC205" s="33"/>
    </row>
    <row r="206" spans="1:81" x14ac:dyDescent="0.3">
      <c r="A206" s="32" t="s">
        <v>192</v>
      </c>
      <c r="B206" s="44">
        <v>1</v>
      </c>
      <c r="C206" s="34" t="s">
        <v>156</v>
      </c>
      <c r="D206" s="44">
        <v>153.125</v>
      </c>
      <c r="E206" s="33" t="s">
        <v>140</v>
      </c>
      <c r="F206" s="56">
        <f>D206/D149</f>
        <v>1.3671875</v>
      </c>
      <c r="G206" s="33" t="s">
        <v>147</v>
      </c>
      <c r="H206" s="58"/>
      <c r="I206" s="33"/>
      <c r="K206" s="58"/>
      <c r="L206" s="58"/>
      <c r="M206" s="33"/>
      <c r="Q206" s="33"/>
      <c r="U206" s="33"/>
      <c r="X206" s="32"/>
      <c r="Y206" s="33"/>
      <c r="AB206" s="33"/>
      <c r="AC206" s="58"/>
      <c r="AD206" s="58"/>
      <c r="AF206" s="33"/>
      <c r="AI206" s="33"/>
      <c r="AM206" s="33"/>
      <c r="AQ206" s="33"/>
      <c r="AU206" s="33"/>
      <c r="AV206" s="58"/>
      <c r="AX206" s="33"/>
      <c r="BB206" s="33"/>
      <c r="BE206" s="33"/>
      <c r="BI206" s="33"/>
      <c r="BL206" s="33"/>
      <c r="BP206" s="33"/>
      <c r="BS206" s="33"/>
      <c r="BV206" s="33"/>
      <c r="BZ206" s="33"/>
      <c r="CC206" s="33"/>
    </row>
    <row r="207" spans="1:81" s="32" customFormat="1" x14ac:dyDescent="0.3">
      <c r="A207" s="85" t="s">
        <v>130</v>
      </c>
      <c r="B207" s="44">
        <v>1</v>
      </c>
      <c r="C207" s="33" t="s">
        <v>181</v>
      </c>
      <c r="D207" s="61">
        <v>1</v>
      </c>
      <c r="E207" s="33" t="s">
        <v>164</v>
      </c>
      <c r="F207" s="56">
        <f>F208</f>
        <v>3.0446428571428572</v>
      </c>
      <c r="G207" s="33" t="s">
        <v>147</v>
      </c>
      <c r="I207" s="33"/>
      <c r="M207" s="33"/>
      <c r="Q207" s="33"/>
      <c r="U207" s="33"/>
      <c r="Y207" s="33"/>
      <c r="AB207" s="33"/>
      <c r="AF207" s="33"/>
      <c r="AI207" s="33"/>
      <c r="AM207" s="33"/>
      <c r="AQ207" s="33"/>
      <c r="AU207" s="33"/>
      <c r="AX207" s="33"/>
      <c r="BB207" s="33"/>
      <c r="BE207" s="33"/>
      <c r="BI207" s="33"/>
      <c r="BL207" s="33"/>
      <c r="BP207" s="33"/>
      <c r="BS207" s="33"/>
      <c r="BV207" s="33"/>
      <c r="BZ207" s="33"/>
      <c r="CC207" s="33"/>
    </row>
    <row r="208" spans="1:81" s="32" customFormat="1" x14ac:dyDescent="0.3">
      <c r="A208" s="85"/>
      <c r="B208" s="44">
        <v>1</v>
      </c>
      <c r="C208" s="33" t="s">
        <v>164</v>
      </c>
      <c r="D208" s="61">
        <f>(355+327)/2</f>
        <v>341</v>
      </c>
      <c r="E208" s="33" t="s">
        <v>140</v>
      </c>
      <c r="F208" s="56">
        <f>D208/D149</f>
        <v>3.0446428571428572</v>
      </c>
      <c r="G208" s="33" t="s">
        <v>147</v>
      </c>
      <c r="I208" s="33"/>
      <c r="M208" s="33"/>
      <c r="Q208" s="33"/>
      <c r="U208" s="33"/>
      <c r="Y208" s="33"/>
      <c r="AB208" s="33"/>
      <c r="AF208" s="33"/>
      <c r="AI208" s="33"/>
      <c r="AM208" s="33"/>
      <c r="AQ208" s="33"/>
      <c r="AU208" s="33"/>
      <c r="AX208" s="33"/>
      <c r="BB208" s="33"/>
      <c r="BE208" s="33"/>
      <c r="BI208" s="33"/>
      <c r="BL208" s="33"/>
      <c r="BP208" s="33"/>
      <c r="BS208" s="33"/>
      <c r="BV208" s="33"/>
      <c r="BZ208" s="33"/>
      <c r="CC208" s="33"/>
    </row>
    <row r="209" spans="1:81" s="32" customFormat="1" x14ac:dyDescent="0.3">
      <c r="A209" s="85"/>
      <c r="B209" s="44">
        <v>1</v>
      </c>
      <c r="C209" s="34" t="s">
        <v>193</v>
      </c>
      <c r="D209" s="61">
        <f>(2.2+2.5)/2</f>
        <v>2.35</v>
      </c>
      <c r="E209" s="33" t="s">
        <v>140</v>
      </c>
      <c r="F209" s="56">
        <f>D209/D149</f>
        <v>2.0982142857142859E-2</v>
      </c>
      <c r="G209" s="33" t="s">
        <v>147</v>
      </c>
      <c r="I209" s="33"/>
      <c r="M209" s="33"/>
      <c r="Q209" s="33"/>
      <c r="U209" s="33"/>
      <c r="Y209" s="33"/>
      <c r="AB209" s="33"/>
      <c r="AF209" s="33"/>
      <c r="AI209" s="33"/>
      <c r="AM209" s="33"/>
      <c r="AQ209" s="33"/>
      <c r="AU209" s="33"/>
      <c r="AX209" s="33"/>
      <c r="BB209" s="33"/>
      <c r="BE209" s="33"/>
      <c r="BI209" s="33"/>
      <c r="BL209" s="33"/>
      <c r="BP209" s="33"/>
      <c r="BS209" s="33"/>
      <c r="BV209" s="33"/>
      <c r="BZ209" s="33"/>
      <c r="CC209" s="33"/>
    </row>
    <row r="210" spans="1:81" s="43" customFormat="1" x14ac:dyDescent="0.3">
      <c r="A210" s="38" t="s">
        <v>194</v>
      </c>
      <c r="B210" s="44">
        <v>1</v>
      </c>
      <c r="C210" s="34" t="s">
        <v>181</v>
      </c>
      <c r="D210" s="61">
        <v>640</v>
      </c>
      <c r="E210" s="33" t="s">
        <v>140</v>
      </c>
      <c r="F210" s="56">
        <f>D210/D149</f>
        <v>5.7142857142857144</v>
      </c>
      <c r="G210" s="33" t="s">
        <v>147</v>
      </c>
      <c r="H210" s="39"/>
      <c r="I210" s="33"/>
      <c r="J210" s="40"/>
      <c r="K210" s="39"/>
      <c r="L210" s="39"/>
      <c r="M210" s="33"/>
      <c r="N210" s="40"/>
      <c r="O210" s="39"/>
      <c r="P210" s="39"/>
      <c r="Q210" s="33"/>
      <c r="R210" s="39"/>
      <c r="S210" s="40"/>
      <c r="T210" s="39"/>
      <c r="U210" s="33"/>
      <c r="V210" s="39"/>
      <c r="W210" s="39"/>
      <c r="X210" s="40"/>
      <c r="Y210" s="33"/>
      <c r="Z210" s="39"/>
      <c r="AA210" s="41"/>
      <c r="AB210" s="33"/>
      <c r="AC210" s="39"/>
      <c r="AD210" s="42"/>
      <c r="AE210" s="39"/>
      <c r="AF210" s="33"/>
      <c r="AG210" s="40"/>
      <c r="AH210" s="39"/>
      <c r="AI210" s="33"/>
      <c r="AJ210" s="39"/>
      <c r="AK210" s="39"/>
      <c r="AL210" s="40"/>
      <c r="AM210" s="33"/>
      <c r="AN210" s="39"/>
      <c r="AO210" s="40"/>
      <c r="AP210" s="39"/>
      <c r="AQ210" s="33"/>
      <c r="AR210" s="40"/>
      <c r="AS210" s="39"/>
      <c r="AT210" s="40"/>
      <c r="AU210" s="33"/>
      <c r="AV210" s="39"/>
      <c r="AW210" s="40"/>
      <c r="AX210" s="33"/>
      <c r="AY210" s="39"/>
      <c r="AZ210" s="42"/>
      <c r="BA210" s="39"/>
      <c r="BB210" s="33"/>
      <c r="BE210" s="33"/>
      <c r="BI210" s="33"/>
      <c r="BL210" s="33"/>
      <c r="BP210" s="33"/>
      <c r="BS210" s="33"/>
      <c r="BV210" s="33"/>
      <c r="BZ210" s="33"/>
      <c r="CC210" s="33"/>
    </row>
    <row r="211" spans="1:81" s="43" customFormat="1" x14ac:dyDescent="0.3">
      <c r="A211" s="85" t="s">
        <v>135</v>
      </c>
      <c r="B211" s="44">
        <v>1</v>
      </c>
      <c r="C211" s="34" t="s">
        <v>195</v>
      </c>
      <c r="D211" s="61">
        <v>196</v>
      </c>
      <c r="E211" s="33" t="s">
        <v>140</v>
      </c>
      <c r="F211" s="56">
        <f>D211/D149</f>
        <v>1.75</v>
      </c>
      <c r="G211" s="33" t="s">
        <v>147</v>
      </c>
      <c r="H211" s="39"/>
      <c r="I211" s="33"/>
      <c r="J211" s="39"/>
      <c r="K211" s="42"/>
      <c r="L211" s="39"/>
      <c r="M211" s="33"/>
      <c r="N211" s="39"/>
      <c r="O211" s="42"/>
      <c r="P211" s="39"/>
      <c r="Q211" s="33"/>
      <c r="R211" s="39"/>
      <c r="S211" s="39"/>
      <c r="T211" s="42"/>
      <c r="U211" s="33"/>
      <c r="V211" s="39"/>
      <c r="W211" s="39"/>
      <c r="X211" s="39"/>
      <c r="Y211" s="33"/>
      <c r="Z211" s="42"/>
      <c r="AA211" s="39"/>
      <c r="AB211" s="33"/>
      <c r="AD211" s="39"/>
      <c r="AE211" s="42"/>
      <c r="AF211" s="33"/>
      <c r="AG211" s="39"/>
      <c r="AH211" s="42"/>
      <c r="AI211" s="33"/>
      <c r="AJ211" s="39"/>
      <c r="AK211" s="39"/>
      <c r="AL211" s="39"/>
      <c r="AM211" s="33"/>
      <c r="AN211" s="42"/>
      <c r="AO211" s="39"/>
      <c r="AP211" s="42"/>
      <c r="AQ211" s="33"/>
      <c r="AR211" s="39"/>
      <c r="AS211" s="42"/>
      <c r="AT211" s="39"/>
      <c r="AU211" s="33"/>
      <c r="AV211" s="40"/>
      <c r="AW211" s="39"/>
      <c r="AX211" s="33"/>
      <c r="AY211" s="42"/>
      <c r="AZ211" s="39"/>
      <c r="BA211" s="42"/>
      <c r="BB211" s="33"/>
      <c r="BC211" s="39"/>
      <c r="BE211" s="33"/>
      <c r="BI211" s="33"/>
      <c r="BL211" s="33"/>
      <c r="BP211" s="33"/>
      <c r="BS211" s="33"/>
      <c r="BV211" s="33"/>
      <c r="BZ211" s="33"/>
      <c r="CC211" s="33"/>
    </row>
    <row r="212" spans="1:81" ht="13.8" customHeight="1" x14ac:dyDescent="0.3">
      <c r="A212" s="85"/>
      <c r="B212" s="44">
        <v>1</v>
      </c>
      <c r="C212" s="34" t="s">
        <v>196</v>
      </c>
      <c r="D212" s="61">
        <v>280</v>
      </c>
      <c r="E212" s="33" t="s">
        <v>140</v>
      </c>
      <c r="F212" s="56">
        <f>D212/D149</f>
        <v>2.5</v>
      </c>
      <c r="G212" s="33" t="s">
        <v>147</v>
      </c>
      <c r="I212" s="33"/>
      <c r="M212" s="33"/>
      <c r="Q212" s="33"/>
      <c r="U212" s="33"/>
      <c r="Y212" s="33"/>
      <c r="AB212" s="33"/>
      <c r="AF212" s="33"/>
      <c r="AI212" s="33"/>
      <c r="AM212" s="33"/>
      <c r="AQ212" s="33"/>
      <c r="AU212" s="33"/>
      <c r="AX212" s="33"/>
      <c r="BB212" s="33"/>
      <c r="BE212" s="33"/>
      <c r="BI212" s="33"/>
      <c r="BL212" s="33"/>
      <c r="BP212" s="33"/>
      <c r="BS212" s="33"/>
      <c r="BV212" s="33"/>
      <c r="BZ212" s="33"/>
      <c r="CC212" s="33"/>
    </row>
    <row r="213" spans="1:81" x14ac:dyDescent="0.3">
      <c r="A213" s="37" t="s">
        <v>120</v>
      </c>
      <c r="B213" s="44">
        <v>1</v>
      </c>
      <c r="C213" s="34" t="s">
        <v>158</v>
      </c>
      <c r="D213" s="61">
        <v>112</v>
      </c>
      <c r="E213" s="33" t="s">
        <v>140</v>
      </c>
      <c r="F213" s="56">
        <f>D213/D149</f>
        <v>1</v>
      </c>
      <c r="G213" s="33" t="s">
        <v>147</v>
      </c>
      <c r="I213" s="33"/>
      <c r="M213" s="33"/>
      <c r="Q213" s="33"/>
      <c r="U213" s="33"/>
      <c r="Y213" s="33"/>
      <c r="AB213" s="33"/>
      <c r="AF213" s="33"/>
      <c r="AI213" s="33"/>
      <c r="AM213" s="33"/>
      <c r="AQ213" s="33"/>
      <c r="AU213" s="33"/>
      <c r="AX213" s="33"/>
      <c r="BB213" s="33"/>
      <c r="BE213" s="33"/>
      <c r="BI213" s="33"/>
      <c r="BL213" s="33"/>
      <c r="BP213" s="33"/>
      <c r="BS213" s="33"/>
      <c r="BV213" s="33"/>
      <c r="BZ213" s="33"/>
      <c r="CC213" s="33"/>
    </row>
    <row r="214" spans="1:81" x14ac:dyDescent="0.3">
      <c r="A214" s="37" t="s">
        <v>126</v>
      </c>
      <c r="B214" s="44">
        <v>1</v>
      </c>
      <c r="C214" s="34" t="s">
        <v>164</v>
      </c>
      <c r="D214" s="61">
        <v>0.67513000000000001</v>
      </c>
      <c r="E214" s="33" t="s">
        <v>147</v>
      </c>
      <c r="F214" s="56"/>
      <c r="G214" s="33"/>
      <c r="I214" s="33"/>
      <c r="M214" s="33"/>
      <c r="Q214" s="33"/>
      <c r="U214" s="33"/>
      <c r="Y214" s="33"/>
      <c r="AB214" s="33"/>
      <c r="AF214" s="33"/>
      <c r="AI214" s="33"/>
      <c r="AM214" s="33"/>
      <c r="AQ214" s="33"/>
      <c r="AU214" s="33"/>
      <c r="AX214" s="33"/>
      <c r="BB214" s="33"/>
      <c r="BE214" s="33"/>
      <c r="BI214" s="33"/>
      <c r="BL214" s="33"/>
      <c r="BP214" s="33"/>
      <c r="BS214" s="33"/>
      <c r="BV214" s="33"/>
      <c r="BZ214" s="33"/>
      <c r="CC214" s="33"/>
    </row>
    <row r="215" spans="1:81" x14ac:dyDescent="0.3">
      <c r="A215" s="44"/>
    </row>
  </sheetData>
  <mergeCells count="63">
    <mergeCell ref="BU1:BW1"/>
    <mergeCell ref="BY1:CA1"/>
    <mergeCell ref="CB1:CD1"/>
    <mergeCell ref="A192:A193"/>
    <mergeCell ref="A195:A197"/>
    <mergeCell ref="BR2:BS2"/>
    <mergeCell ref="BU2:BV2"/>
    <mergeCell ref="BY2:BZ2"/>
    <mergeCell ref="CB2:CC2"/>
    <mergeCell ref="A175:A176"/>
    <mergeCell ref="BA2:BB2"/>
    <mergeCell ref="BD2:BE2"/>
    <mergeCell ref="BH2:BI2"/>
    <mergeCell ref="BK2:BL2"/>
    <mergeCell ref="BO2:BP2"/>
    <mergeCell ref="D2:E2"/>
    <mergeCell ref="T2:U2"/>
    <mergeCell ref="X2:Y2"/>
    <mergeCell ref="A198:A199"/>
    <mergeCell ref="A207:A209"/>
    <mergeCell ref="A211:A212"/>
    <mergeCell ref="A177:A178"/>
    <mergeCell ref="A179:A180"/>
    <mergeCell ref="A181:A182"/>
    <mergeCell ref="A183:A184"/>
    <mergeCell ref="A185:A186"/>
    <mergeCell ref="B150:B151"/>
    <mergeCell ref="C150:C151"/>
    <mergeCell ref="D150:D151"/>
    <mergeCell ref="E150:E151"/>
    <mergeCell ref="AA2:AB2"/>
    <mergeCell ref="AE2:AF2"/>
    <mergeCell ref="AH2:AI2"/>
    <mergeCell ref="AL2:AM2"/>
    <mergeCell ref="AP2:AQ2"/>
    <mergeCell ref="AT2:AU2"/>
    <mergeCell ref="AW2:AX2"/>
    <mergeCell ref="BD1:BF1"/>
    <mergeCell ref="BH1:BJ1"/>
    <mergeCell ref="BK1:BM1"/>
    <mergeCell ref="BO1:BQ1"/>
    <mergeCell ref="BR1:BT1"/>
    <mergeCell ref="AL1:AN1"/>
    <mergeCell ref="AP1:AR1"/>
    <mergeCell ref="AT1:AV1"/>
    <mergeCell ref="AW1:AY1"/>
    <mergeCell ref="BA1:BC1"/>
    <mergeCell ref="X1:Y1"/>
    <mergeCell ref="T1:V1"/>
    <mergeCell ref="AA1:AC1"/>
    <mergeCell ref="AE1:AG1"/>
    <mergeCell ref="AH1:AJ1"/>
    <mergeCell ref="H1:J1"/>
    <mergeCell ref="L1:N1"/>
    <mergeCell ref="P1:R1"/>
    <mergeCell ref="B136:B137"/>
    <mergeCell ref="C136:C137"/>
    <mergeCell ref="D136:D137"/>
    <mergeCell ref="E136:E137"/>
    <mergeCell ref="H2:I2"/>
    <mergeCell ref="L2:M2"/>
    <mergeCell ref="P2:Q2"/>
    <mergeCell ref="D1:F1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D213"/>
  <sheetViews>
    <sheetView zoomScale="50" zoomScaleNormal="50" workbookViewId="0">
      <pane xSplit="3" ySplit="3" topLeftCell="D151" activePane="bottomRight" state="frozen"/>
      <selection pane="topRight" activeCell="D1" sqref="D1"/>
      <selection pane="bottomLeft" activeCell="A4" sqref="A4"/>
      <selection pane="bottomRight" activeCell="F168" sqref="F168"/>
    </sheetView>
  </sheetViews>
  <sheetFormatPr defaultRowHeight="14.4" x14ac:dyDescent="0.3"/>
  <cols>
    <col min="1" max="1" width="28.33203125" style="49" customWidth="1"/>
    <col min="2" max="2" width="11" style="44" customWidth="1"/>
    <col min="3" max="3" width="10.33203125" style="44" customWidth="1"/>
    <col min="4" max="4" width="9.88671875" style="44" customWidth="1"/>
    <col min="5" max="5" width="10.33203125" style="44" customWidth="1"/>
    <col min="6" max="6" width="10" style="44" customWidth="1"/>
    <col min="7" max="7" width="10.33203125" style="44" customWidth="1"/>
    <col min="8" max="8" width="12.77734375" style="44" customWidth="1"/>
    <col min="9" max="9" width="10.33203125" style="44" customWidth="1"/>
    <col min="10" max="10" width="10" style="44" customWidth="1"/>
    <col min="11" max="13" width="10.33203125" style="44" customWidth="1"/>
    <col min="14" max="14" width="10" style="44" customWidth="1"/>
    <col min="15" max="17" width="10.33203125" style="44" customWidth="1"/>
    <col min="18" max="18" width="10" style="44" customWidth="1"/>
    <col min="19" max="21" width="10.33203125" style="44" customWidth="1"/>
    <col min="22" max="22" width="10" style="44" customWidth="1"/>
    <col min="23" max="25" width="10.33203125" style="44" customWidth="1"/>
    <col min="26" max="26" width="10" style="44" customWidth="1"/>
    <col min="27" max="28" width="10.33203125" style="44" customWidth="1"/>
    <col min="29" max="29" width="10" style="44" customWidth="1"/>
    <col min="30" max="32" width="10.33203125" style="44" customWidth="1"/>
    <col min="33" max="33" width="10" style="44" customWidth="1"/>
    <col min="34" max="35" width="10.33203125" style="44" customWidth="1"/>
    <col min="36" max="36" width="10" style="44" customWidth="1"/>
    <col min="37" max="39" width="10.33203125" style="44" customWidth="1"/>
    <col min="40" max="40" width="10" style="44" customWidth="1"/>
    <col min="41" max="43" width="10.33203125" style="44" customWidth="1"/>
    <col min="44" max="44" width="10" style="44" customWidth="1"/>
    <col min="45" max="47" width="10.33203125" style="44" customWidth="1"/>
    <col min="48" max="48" width="10" style="44" customWidth="1"/>
    <col min="49" max="50" width="10.33203125" style="44" customWidth="1"/>
    <col min="51" max="51" width="10" style="44" customWidth="1"/>
    <col min="52" max="54" width="10.33203125" style="44" customWidth="1"/>
    <col min="55" max="55" width="10" style="44" customWidth="1"/>
    <col min="56" max="57" width="10.33203125" style="44" customWidth="1"/>
    <col min="58" max="58" width="10" style="44" customWidth="1"/>
    <col min="59" max="61" width="10.33203125" style="44" customWidth="1"/>
    <col min="62" max="62" width="10" style="44" customWidth="1"/>
    <col min="63" max="64" width="10.33203125" style="44" customWidth="1"/>
    <col min="65" max="65" width="10" style="44" customWidth="1"/>
    <col min="66" max="68" width="10.33203125" style="44" customWidth="1"/>
    <col min="69" max="69" width="10" style="44" customWidth="1"/>
    <col min="70" max="71" width="10.33203125" style="44" customWidth="1"/>
    <col min="72" max="72" width="10" style="44" customWidth="1"/>
    <col min="73" max="74" width="10.33203125" style="44" customWidth="1"/>
    <col min="75" max="75" width="10" style="44" customWidth="1"/>
    <col min="76" max="78" width="10.33203125" style="44" customWidth="1"/>
    <col min="79" max="79" width="10" style="44" customWidth="1"/>
    <col min="80" max="80" width="10.33203125" style="44" customWidth="1"/>
    <col min="81" max="81" width="8.88671875" style="44" customWidth="1"/>
    <col min="82" max="82" width="10" style="44" customWidth="1"/>
    <col min="83" max="16384" width="8.88671875" style="44"/>
  </cols>
  <sheetData>
    <row r="1" spans="1:82" s="47" customFormat="1" ht="29.4" customHeight="1" x14ac:dyDescent="0.3">
      <c r="A1" s="46"/>
      <c r="B1" s="49"/>
      <c r="D1" s="83" t="s">
        <v>323</v>
      </c>
      <c r="E1" s="83"/>
      <c r="F1" s="83"/>
      <c r="H1" s="83" t="s">
        <v>324</v>
      </c>
      <c r="I1" s="83"/>
      <c r="J1" s="83"/>
      <c r="L1" s="83" t="s">
        <v>325</v>
      </c>
      <c r="M1" s="83"/>
      <c r="N1" s="83"/>
      <c r="P1" s="83" t="s">
        <v>326</v>
      </c>
      <c r="Q1" s="83"/>
      <c r="R1" s="83"/>
      <c r="T1" s="83" t="s">
        <v>327</v>
      </c>
      <c r="U1" s="83"/>
      <c r="V1" s="83"/>
      <c r="W1" s="48"/>
      <c r="X1" s="83" t="s">
        <v>328</v>
      </c>
      <c r="Y1" s="83"/>
      <c r="Z1" s="48"/>
      <c r="AA1" s="83" t="s">
        <v>329</v>
      </c>
      <c r="AB1" s="83"/>
      <c r="AC1" s="83"/>
      <c r="AE1" s="83" t="s">
        <v>330</v>
      </c>
      <c r="AF1" s="83"/>
      <c r="AG1" s="83"/>
      <c r="AH1" s="83" t="s">
        <v>331</v>
      </c>
      <c r="AI1" s="83"/>
      <c r="AJ1" s="83"/>
      <c r="AL1" s="83" t="s">
        <v>332</v>
      </c>
      <c r="AM1" s="83"/>
      <c r="AN1" s="83"/>
      <c r="AP1" s="83" t="s">
        <v>333</v>
      </c>
      <c r="AQ1" s="83"/>
      <c r="AR1" s="83"/>
      <c r="AT1" s="83" t="s">
        <v>334</v>
      </c>
      <c r="AU1" s="83"/>
      <c r="AV1" s="83"/>
      <c r="AW1" s="83" t="s">
        <v>335</v>
      </c>
      <c r="AX1" s="83"/>
      <c r="AY1" s="83"/>
      <c r="BA1" s="83" t="s">
        <v>336</v>
      </c>
      <c r="BB1" s="83"/>
      <c r="BC1" s="83"/>
      <c r="BD1" s="83" t="s">
        <v>337</v>
      </c>
      <c r="BE1" s="83"/>
      <c r="BF1" s="83"/>
      <c r="BH1" s="83" t="s">
        <v>222</v>
      </c>
      <c r="BI1" s="83"/>
      <c r="BJ1" s="83"/>
      <c r="BK1" s="83" t="s">
        <v>223</v>
      </c>
      <c r="BL1" s="83"/>
      <c r="BM1" s="83"/>
      <c r="BO1" s="83" t="s">
        <v>224</v>
      </c>
      <c r="BP1" s="83"/>
      <c r="BQ1" s="83"/>
      <c r="BR1" s="83" t="s">
        <v>225</v>
      </c>
      <c r="BS1" s="83"/>
      <c r="BT1" s="83"/>
      <c r="BU1" s="83" t="s">
        <v>56</v>
      </c>
      <c r="BV1" s="83"/>
      <c r="BW1" s="83"/>
      <c r="BY1" s="83" t="s">
        <v>57</v>
      </c>
      <c r="BZ1" s="83"/>
      <c r="CA1" s="83"/>
      <c r="CB1" s="83" t="s">
        <v>58</v>
      </c>
      <c r="CC1" s="83"/>
      <c r="CD1" s="83"/>
    </row>
    <row r="2" spans="1:82" ht="15" hidden="1" customHeight="1" x14ac:dyDescent="0.3">
      <c r="B2" s="49"/>
      <c r="C2" s="50"/>
      <c r="D2" s="84">
        <v>1887</v>
      </c>
      <c r="E2" s="84"/>
      <c r="F2" s="51"/>
      <c r="G2" s="50"/>
      <c r="H2" s="84">
        <v>1888</v>
      </c>
      <c r="I2" s="84"/>
      <c r="J2" s="51"/>
      <c r="K2" s="50"/>
      <c r="L2" s="84">
        <v>1889</v>
      </c>
      <c r="M2" s="84"/>
      <c r="N2" s="51"/>
      <c r="O2" s="50"/>
      <c r="P2" s="84">
        <v>1890</v>
      </c>
      <c r="Q2" s="84"/>
      <c r="R2" s="51"/>
      <c r="S2" s="50"/>
      <c r="T2" s="84">
        <v>1891</v>
      </c>
      <c r="U2" s="84"/>
      <c r="V2" s="51"/>
      <c r="W2" s="51"/>
      <c r="X2" s="84">
        <v>1892</v>
      </c>
      <c r="Y2" s="84"/>
      <c r="Z2" s="51"/>
      <c r="AA2" s="84">
        <v>1893</v>
      </c>
      <c r="AB2" s="84"/>
      <c r="AC2" s="51"/>
      <c r="AE2" s="84">
        <v>1894</v>
      </c>
      <c r="AF2" s="84"/>
      <c r="AG2" s="51"/>
      <c r="AH2" s="84">
        <v>1895</v>
      </c>
      <c r="AI2" s="84"/>
      <c r="AJ2" s="51"/>
      <c r="AK2" s="50"/>
      <c r="AL2" s="84">
        <v>1896</v>
      </c>
      <c r="AM2" s="84"/>
      <c r="AN2" s="51"/>
      <c r="AO2" s="50"/>
      <c r="AP2" s="84">
        <v>1897</v>
      </c>
      <c r="AQ2" s="84"/>
      <c r="AR2" s="51"/>
      <c r="AS2" s="50"/>
      <c r="AT2" s="84">
        <v>1898</v>
      </c>
      <c r="AU2" s="84"/>
      <c r="AV2" s="51"/>
      <c r="AW2" s="84">
        <v>1899</v>
      </c>
      <c r="AX2" s="84"/>
      <c r="AY2" s="51"/>
      <c r="AZ2" s="50"/>
      <c r="BA2" s="84">
        <v>1900</v>
      </c>
      <c r="BB2" s="84"/>
      <c r="BC2" s="51"/>
      <c r="BD2" s="84">
        <v>1901</v>
      </c>
      <c r="BE2" s="84"/>
      <c r="BF2" s="51"/>
      <c r="BG2" s="50"/>
      <c r="BH2" s="84">
        <v>1906</v>
      </c>
      <c r="BI2" s="84"/>
      <c r="BJ2" s="51"/>
      <c r="BK2" s="84">
        <v>1907</v>
      </c>
      <c r="BL2" s="84"/>
      <c r="BM2" s="51"/>
      <c r="BN2" s="50"/>
      <c r="BO2" s="84">
        <v>1908</v>
      </c>
      <c r="BP2" s="84"/>
      <c r="BQ2" s="51"/>
      <c r="BR2" s="84">
        <v>1909</v>
      </c>
      <c r="BS2" s="84"/>
      <c r="BT2" s="51"/>
      <c r="BU2" s="84">
        <v>1910</v>
      </c>
      <c r="BV2" s="84"/>
      <c r="BW2" s="51"/>
      <c r="BX2" s="50"/>
      <c r="BY2" s="84">
        <v>1911</v>
      </c>
      <c r="BZ2" s="84"/>
      <c r="CA2" s="51"/>
      <c r="CB2" s="84">
        <v>1912</v>
      </c>
      <c r="CC2" s="84"/>
      <c r="CD2" s="51"/>
    </row>
    <row r="3" spans="1:82" s="47" customFormat="1" ht="27.6" customHeight="1" x14ac:dyDescent="0.3">
      <c r="A3" s="68" t="s">
        <v>0</v>
      </c>
      <c r="B3" s="69" t="s">
        <v>283</v>
      </c>
      <c r="C3" s="69" t="s">
        <v>3</v>
      </c>
      <c r="D3" s="70" t="s">
        <v>4</v>
      </c>
      <c r="E3" s="71" t="s">
        <v>201</v>
      </c>
      <c r="F3" s="71" t="s">
        <v>285</v>
      </c>
      <c r="G3" s="69" t="s">
        <v>3</v>
      </c>
      <c r="H3" s="70" t="s">
        <v>4</v>
      </c>
      <c r="I3" s="71" t="s">
        <v>201</v>
      </c>
      <c r="J3" s="71" t="s">
        <v>285</v>
      </c>
      <c r="K3" s="69" t="s">
        <v>3</v>
      </c>
      <c r="L3" s="70" t="s">
        <v>4</v>
      </c>
      <c r="M3" s="71" t="s">
        <v>201</v>
      </c>
      <c r="N3" s="71" t="s">
        <v>285</v>
      </c>
      <c r="O3" s="69" t="s">
        <v>3</v>
      </c>
      <c r="P3" s="70" t="s">
        <v>4</v>
      </c>
      <c r="Q3" s="71" t="s">
        <v>201</v>
      </c>
      <c r="R3" s="71" t="s">
        <v>285</v>
      </c>
      <c r="S3" s="69" t="s">
        <v>3</v>
      </c>
      <c r="T3" s="70" t="s">
        <v>4</v>
      </c>
      <c r="U3" s="71" t="s">
        <v>201</v>
      </c>
      <c r="V3" s="71" t="s">
        <v>285</v>
      </c>
      <c r="W3" s="69" t="s">
        <v>3</v>
      </c>
      <c r="X3" s="70" t="s">
        <v>4</v>
      </c>
      <c r="Y3" s="71" t="s">
        <v>201</v>
      </c>
      <c r="Z3" s="71" t="s">
        <v>285</v>
      </c>
      <c r="AA3" s="70" t="s">
        <v>4</v>
      </c>
      <c r="AB3" s="71" t="s">
        <v>201</v>
      </c>
      <c r="AC3" s="71" t="s">
        <v>285</v>
      </c>
      <c r="AD3" s="69" t="s">
        <v>3</v>
      </c>
      <c r="AE3" s="70" t="s">
        <v>4</v>
      </c>
      <c r="AF3" s="71" t="s">
        <v>201</v>
      </c>
      <c r="AG3" s="71" t="s">
        <v>285</v>
      </c>
      <c r="AH3" s="70" t="s">
        <v>4</v>
      </c>
      <c r="AI3" s="71" t="s">
        <v>201</v>
      </c>
      <c r="AJ3" s="71" t="s">
        <v>285</v>
      </c>
      <c r="AK3" s="69" t="s">
        <v>3</v>
      </c>
      <c r="AL3" s="70" t="s">
        <v>4</v>
      </c>
      <c r="AM3" s="71" t="s">
        <v>201</v>
      </c>
      <c r="AN3" s="71" t="s">
        <v>285</v>
      </c>
      <c r="AO3" s="69" t="s">
        <v>3</v>
      </c>
      <c r="AP3" s="70" t="s">
        <v>4</v>
      </c>
      <c r="AQ3" s="71" t="s">
        <v>201</v>
      </c>
      <c r="AR3" s="71" t="s">
        <v>285</v>
      </c>
      <c r="AS3" s="69" t="s">
        <v>3</v>
      </c>
      <c r="AT3" s="70" t="s">
        <v>4</v>
      </c>
      <c r="AU3" s="71" t="s">
        <v>201</v>
      </c>
      <c r="AV3" s="71" t="s">
        <v>285</v>
      </c>
      <c r="AW3" s="70" t="s">
        <v>4</v>
      </c>
      <c r="AX3" s="71" t="s">
        <v>201</v>
      </c>
      <c r="AY3" s="71" t="s">
        <v>285</v>
      </c>
      <c r="AZ3" s="69" t="s">
        <v>3</v>
      </c>
      <c r="BA3" s="70" t="s">
        <v>4</v>
      </c>
      <c r="BB3" s="71" t="s">
        <v>201</v>
      </c>
      <c r="BC3" s="71" t="s">
        <v>285</v>
      </c>
      <c r="BD3" s="70" t="s">
        <v>4</v>
      </c>
      <c r="BE3" s="71" t="s">
        <v>201</v>
      </c>
      <c r="BF3" s="71" t="s">
        <v>285</v>
      </c>
      <c r="BG3" s="69" t="s">
        <v>3</v>
      </c>
      <c r="BH3" s="70" t="s">
        <v>4</v>
      </c>
      <c r="BI3" s="71" t="s">
        <v>201</v>
      </c>
      <c r="BJ3" s="71" t="s">
        <v>285</v>
      </c>
      <c r="BK3" s="70" t="s">
        <v>4</v>
      </c>
      <c r="BL3" s="71" t="s">
        <v>201</v>
      </c>
      <c r="BM3" s="71" t="s">
        <v>285</v>
      </c>
      <c r="BN3" s="69" t="s">
        <v>3</v>
      </c>
      <c r="BO3" s="70" t="s">
        <v>4</v>
      </c>
      <c r="BP3" s="71" t="s">
        <v>201</v>
      </c>
      <c r="BQ3" s="71" t="s">
        <v>285</v>
      </c>
      <c r="BR3" s="70" t="s">
        <v>4</v>
      </c>
      <c r="BS3" s="71" t="s">
        <v>201</v>
      </c>
      <c r="BT3" s="71" t="s">
        <v>285</v>
      </c>
      <c r="BU3" s="70" t="s">
        <v>4</v>
      </c>
      <c r="BV3" s="71" t="s">
        <v>201</v>
      </c>
      <c r="BW3" s="71" t="s">
        <v>285</v>
      </c>
      <c r="BX3" s="69" t="s">
        <v>3</v>
      </c>
      <c r="BY3" s="70" t="s">
        <v>4</v>
      </c>
      <c r="BZ3" s="71" t="s">
        <v>201</v>
      </c>
      <c r="CA3" s="71" t="s">
        <v>285</v>
      </c>
      <c r="CB3" s="70" t="s">
        <v>4</v>
      </c>
      <c r="CC3" s="71" t="s">
        <v>201</v>
      </c>
      <c r="CD3" s="71" t="s">
        <v>285</v>
      </c>
    </row>
    <row r="4" spans="1:82" x14ac:dyDescent="0.3">
      <c r="A4" s="49" t="s">
        <v>5</v>
      </c>
      <c r="B4" s="49" t="s">
        <v>112</v>
      </c>
      <c r="C4" s="44" t="s">
        <v>34</v>
      </c>
      <c r="D4" s="44">
        <v>254</v>
      </c>
      <c r="E4" s="44">
        <v>729</v>
      </c>
      <c r="F4" s="62">
        <f>IFERROR(E4/D4,"")</f>
        <v>2.8700787401574801</v>
      </c>
      <c r="G4" s="44" t="s">
        <v>34</v>
      </c>
      <c r="H4" s="44">
        <v>193</v>
      </c>
      <c r="I4" s="44">
        <v>473</v>
      </c>
      <c r="J4" s="62">
        <f>IFERROR(I4/H4,"")</f>
        <v>2.4507772020725387</v>
      </c>
      <c r="K4" s="44" t="s">
        <v>34</v>
      </c>
      <c r="L4" s="44">
        <v>159</v>
      </c>
      <c r="M4" s="44">
        <v>615</v>
      </c>
      <c r="N4" s="62">
        <f>IFERROR(M4/L4,"")</f>
        <v>3.8679245283018866</v>
      </c>
      <c r="O4" s="44" t="s">
        <v>34</v>
      </c>
      <c r="P4" s="44">
        <v>78</v>
      </c>
      <c r="Q4" s="44">
        <v>186</v>
      </c>
      <c r="R4" s="62">
        <f>IFERROR(Q4/P4,"")</f>
        <v>2.3846153846153846</v>
      </c>
      <c r="V4" s="62" t="str">
        <f>IFERROR(U4/T4,"")</f>
        <v/>
      </c>
      <c r="Z4" s="62" t="str">
        <f>IFERROR(Y4/X4,"")</f>
        <v/>
      </c>
      <c r="AC4" s="62" t="str">
        <f>IFERROR(AB4/AA4,"")</f>
        <v/>
      </c>
      <c r="AD4" s="44" t="s">
        <v>39</v>
      </c>
      <c r="AE4" s="44">
        <v>252</v>
      </c>
      <c r="AF4" s="44">
        <v>556</v>
      </c>
      <c r="AG4" s="62">
        <f>IFERROR(AF4/AE4,"")</f>
        <v>2.2063492063492065</v>
      </c>
      <c r="AJ4" s="62" t="str">
        <f>IFERROR(AI4/AH4,"")</f>
        <v/>
      </c>
      <c r="AN4" s="62" t="str">
        <f>IFERROR(AM4/AL4,"")</f>
        <v/>
      </c>
      <c r="AR4" s="62" t="str">
        <f>IFERROR(AQ4/AP4,"")</f>
        <v/>
      </c>
      <c r="AV4" s="62" t="str">
        <f>IFERROR(AU4/AT4,"")</f>
        <v/>
      </c>
      <c r="AY4" s="62" t="str">
        <f>IFERROR(AX4/AW4,"")</f>
        <v/>
      </c>
      <c r="BC4" s="62" t="str">
        <f>IFERROR(BB4/BA4,"")</f>
        <v/>
      </c>
      <c r="BF4" s="62" t="str">
        <f>IFERROR(BE4/BD4,"")</f>
        <v/>
      </c>
      <c r="BJ4" s="62" t="str">
        <f>IFERROR(BI4/BH4,"")</f>
        <v/>
      </c>
      <c r="BM4" s="62" t="str">
        <f>IFERROR(BL4/BK4,"")</f>
        <v/>
      </c>
      <c r="BQ4" s="62" t="str">
        <f>IFERROR(BP4/BO4,"")</f>
        <v/>
      </c>
      <c r="BT4" s="62" t="str">
        <f>IFERROR(BS4/BR4,"")</f>
        <v/>
      </c>
      <c r="BW4" s="62" t="str">
        <f>IFERROR(BV4/BU4,"")</f>
        <v/>
      </c>
      <c r="CA4" s="62" t="str">
        <f>IFERROR(BZ4/BY4,"")</f>
        <v/>
      </c>
      <c r="CD4" s="62" t="str">
        <f>IFERROR(CC4/CB4,"")</f>
        <v/>
      </c>
    </row>
    <row r="5" spans="1:82" x14ac:dyDescent="0.3">
      <c r="A5" s="49" t="s">
        <v>202</v>
      </c>
      <c r="B5" s="49" t="s">
        <v>112</v>
      </c>
      <c r="C5" s="44" t="s">
        <v>34</v>
      </c>
      <c r="F5" s="62" t="str">
        <f t="shared" ref="F5:F67" si="0">IFERROR(E5/D5,"")</f>
        <v/>
      </c>
      <c r="J5" s="62" t="str">
        <f t="shared" ref="J5:J67" si="1">IFERROR(I5/H5,"")</f>
        <v/>
      </c>
      <c r="N5" s="62" t="str">
        <f t="shared" ref="N5:N67" si="2">IFERROR(M5/L5,"")</f>
        <v/>
      </c>
      <c r="R5" s="62" t="str">
        <f t="shared" ref="R5:R67" si="3">IFERROR(Q5/P5,"")</f>
        <v/>
      </c>
      <c r="V5" s="62" t="str">
        <f t="shared" ref="V5:V67" si="4">IFERROR(U5/T5,"")</f>
        <v/>
      </c>
      <c r="Z5" s="62" t="str">
        <f t="shared" ref="Z5:Z67" si="5">IFERROR(Y5/X5,"")</f>
        <v/>
      </c>
      <c r="AC5" s="62" t="str">
        <f t="shared" ref="AC5:AC67" si="6">IFERROR(AB5/AA5,"")</f>
        <v/>
      </c>
      <c r="AG5" s="62" t="str">
        <f t="shared" ref="AG5:AG67" si="7">IFERROR(AF5/AE5,"")</f>
        <v/>
      </c>
      <c r="AJ5" s="62" t="str">
        <f t="shared" ref="AJ5:AJ67" si="8">IFERROR(AI5/AH5,"")</f>
        <v/>
      </c>
      <c r="AN5" s="62" t="str">
        <f t="shared" ref="AN5:AN67" si="9">IFERROR(AM5/AL5,"")</f>
        <v/>
      </c>
      <c r="AR5" s="62" t="str">
        <f t="shared" ref="AR5:AR67" si="10">IFERROR(AQ5/AP5,"")</f>
        <v/>
      </c>
      <c r="AV5" s="62" t="str">
        <f t="shared" ref="AV5:AV67" si="11">IFERROR(AU5/AT5,"")</f>
        <v/>
      </c>
      <c r="AY5" s="62" t="str">
        <f t="shared" ref="AY5:AY67" si="12">IFERROR(AX5/AW5,"")</f>
        <v/>
      </c>
      <c r="BC5" s="62" t="str">
        <f t="shared" ref="BC5:BC67" si="13">IFERROR(BB5/BA5,"")</f>
        <v/>
      </c>
      <c r="BF5" s="62" t="str">
        <f t="shared" ref="BF5:BF67" si="14">IFERROR(BE5/BD5,"")</f>
        <v/>
      </c>
      <c r="BG5" s="44" t="s">
        <v>39</v>
      </c>
      <c r="BH5" s="44">
        <v>12</v>
      </c>
      <c r="BI5" s="44">
        <v>192</v>
      </c>
      <c r="BJ5" s="62">
        <f t="shared" ref="BJ5:BJ67" si="15">IFERROR(BI5/BH5,"")</f>
        <v>16</v>
      </c>
      <c r="BK5" s="44">
        <v>3</v>
      </c>
      <c r="BL5" s="44">
        <v>42</v>
      </c>
      <c r="BM5" s="62">
        <f t="shared" ref="BM5:BM67" si="16">IFERROR(BL5/BK5,"")</f>
        <v>14</v>
      </c>
      <c r="BN5" s="44" t="s">
        <v>39</v>
      </c>
      <c r="BO5" s="44">
        <v>1</v>
      </c>
      <c r="BP5" s="44">
        <v>20</v>
      </c>
      <c r="BQ5" s="62">
        <f t="shared" ref="BQ5:BQ67" si="17">IFERROR(BP5/BO5,"")</f>
        <v>20</v>
      </c>
      <c r="BT5" s="62" t="str">
        <f t="shared" ref="BT5:BT67" si="18">IFERROR(BS5/BR5,"")</f>
        <v/>
      </c>
      <c r="BW5" s="62" t="str">
        <f t="shared" ref="BW5:BW67" si="19">IFERROR(BV5/BU5,"")</f>
        <v/>
      </c>
      <c r="BX5" s="44" t="s">
        <v>39</v>
      </c>
      <c r="BY5" s="44">
        <v>1</v>
      </c>
      <c r="BZ5" s="44">
        <v>16</v>
      </c>
      <c r="CA5" s="62">
        <f t="shared" ref="CA5:CA67" si="20">IFERROR(BZ5/BY5,"")</f>
        <v>16</v>
      </c>
      <c r="CB5" s="44">
        <v>1</v>
      </c>
      <c r="CC5" s="44">
        <v>4</v>
      </c>
      <c r="CD5" s="62">
        <f t="shared" ref="CD5:CD67" si="21">IFERROR(CC5/CB5,"")</f>
        <v>4</v>
      </c>
    </row>
    <row r="6" spans="1:82" x14ac:dyDescent="0.3">
      <c r="A6" s="49" t="s">
        <v>203</v>
      </c>
      <c r="B6" s="49" t="s">
        <v>112</v>
      </c>
      <c r="C6" s="44" t="s">
        <v>34</v>
      </c>
      <c r="F6" s="62" t="str">
        <f t="shared" si="0"/>
        <v/>
      </c>
      <c r="J6" s="62" t="str">
        <f t="shared" si="1"/>
        <v/>
      </c>
      <c r="N6" s="62" t="str">
        <f t="shared" si="2"/>
        <v/>
      </c>
      <c r="R6" s="62" t="str">
        <f t="shared" si="3"/>
        <v/>
      </c>
      <c r="V6" s="62" t="str">
        <f t="shared" si="4"/>
        <v/>
      </c>
      <c r="Z6" s="62" t="str">
        <f t="shared" si="5"/>
        <v/>
      </c>
      <c r="AC6" s="62" t="str">
        <f t="shared" si="6"/>
        <v/>
      </c>
      <c r="AG6" s="62" t="str">
        <f t="shared" si="7"/>
        <v/>
      </c>
      <c r="AJ6" s="62" t="str">
        <f t="shared" si="8"/>
        <v/>
      </c>
      <c r="AN6" s="62" t="str">
        <f t="shared" si="9"/>
        <v/>
      </c>
      <c r="AO6" s="44" t="s">
        <v>39</v>
      </c>
      <c r="AP6" s="44">
        <v>40</v>
      </c>
      <c r="AQ6" s="44">
        <v>75</v>
      </c>
      <c r="AR6" s="62">
        <f t="shared" si="10"/>
        <v>1.875</v>
      </c>
      <c r="AS6" s="44" t="s">
        <v>39</v>
      </c>
      <c r="AT6" s="44">
        <v>10</v>
      </c>
      <c r="AU6" s="44">
        <v>19</v>
      </c>
      <c r="AV6" s="62">
        <f t="shared" si="11"/>
        <v>1.9</v>
      </c>
      <c r="AW6" s="44">
        <v>12</v>
      </c>
      <c r="AX6" s="44">
        <v>24</v>
      </c>
      <c r="AY6" s="62">
        <f t="shared" si="12"/>
        <v>2</v>
      </c>
      <c r="BC6" s="62" t="str">
        <f t="shared" si="13"/>
        <v/>
      </c>
      <c r="BF6" s="62" t="str">
        <f t="shared" si="14"/>
        <v/>
      </c>
      <c r="BG6" s="44" t="s">
        <v>39</v>
      </c>
      <c r="BH6" s="44">
        <v>8</v>
      </c>
      <c r="BI6" s="44">
        <v>21</v>
      </c>
      <c r="BJ6" s="62">
        <f t="shared" si="15"/>
        <v>2.625</v>
      </c>
      <c r="BK6" s="44">
        <v>13</v>
      </c>
      <c r="BL6" s="44">
        <v>39</v>
      </c>
      <c r="BM6" s="62">
        <f t="shared" si="16"/>
        <v>3</v>
      </c>
      <c r="BN6" s="44" t="s">
        <v>39</v>
      </c>
      <c r="BO6" s="44">
        <v>15</v>
      </c>
      <c r="BP6" s="44">
        <v>39</v>
      </c>
      <c r="BQ6" s="62">
        <f t="shared" si="17"/>
        <v>2.6</v>
      </c>
      <c r="BR6" s="44">
        <v>7</v>
      </c>
      <c r="BS6" s="44">
        <v>28</v>
      </c>
      <c r="BT6" s="62">
        <f t="shared" si="18"/>
        <v>4</v>
      </c>
      <c r="BU6" s="44">
        <v>6</v>
      </c>
      <c r="BV6" s="44">
        <v>20</v>
      </c>
      <c r="BW6" s="62">
        <f t="shared" si="19"/>
        <v>3.3333333333333335</v>
      </c>
      <c r="BX6" s="44" t="s">
        <v>39</v>
      </c>
      <c r="BY6" s="44">
        <v>14</v>
      </c>
      <c r="BZ6" s="44">
        <v>75</v>
      </c>
      <c r="CA6" s="62">
        <f t="shared" si="20"/>
        <v>5.3571428571428568</v>
      </c>
      <c r="CB6" s="44">
        <v>16</v>
      </c>
      <c r="CC6" s="44">
        <v>103</v>
      </c>
      <c r="CD6" s="62">
        <f t="shared" si="21"/>
        <v>6.4375</v>
      </c>
    </row>
    <row r="7" spans="1:82" x14ac:dyDescent="0.3">
      <c r="A7" s="49" t="s">
        <v>204</v>
      </c>
      <c r="B7" s="49" t="s">
        <v>112</v>
      </c>
      <c r="C7" s="44" t="s">
        <v>34</v>
      </c>
      <c r="F7" s="62" t="str">
        <f t="shared" si="0"/>
        <v/>
      </c>
      <c r="J7" s="62" t="str">
        <f t="shared" si="1"/>
        <v/>
      </c>
      <c r="N7" s="62" t="str">
        <f t="shared" si="2"/>
        <v/>
      </c>
      <c r="R7" s="62" t="str">
        <f t="shared" si="3"/>
        <v/>
      </c>
      <c r="V7" s="62" t="str">
        <f t="shared" si="4"/>
        <v/>
      </c>
      <c r="Z7" s="62" t="str">
        <f t="shared" si="5"/>
        <v/>
      </c>
      <c r="AC7" s="62" t="str">
        <f t="shared" si="6"/>
        <v/>
      </c>
      <c r="AG7" s="62" t="str">
        <f t="shared" si="7"/>
        <v/>
      </c>
      <c r="AJ7" s="62" t="str">
        <f t="shared" si="8"/>
        <v/>
      </c>
      <c r="AN7" s="62" t="str">
        <f t="shared" si="9"/>
        <v/>
      </c>
      <c r="AO7" s="44" t="s">
        <v>39</v>
      </c>
      <c r="AP7" s="44">
        <v>30</v>
      </c>
      <c r="AQ7" s="44">
        <v>75</v>
      </c>
      <c r="AR7" s="62">
        <f t="shared" si="10"/>
        <v>2.5</v>
      </c>
      <c r="AS7" s="44" t="s">
        <v>39</v>
      </c>
      <c r="AT7" s="44">
        <v>20</v>
      </c>
      <c r="AU7" s="44">
        <v>50</v>
      </c>
      <c r="AV7" s="62">
        <f t="shared" si="11"/>
        <v>2.5</v>
      </c>
      <c r="AY7" s="62" t="str">
        <f t="shared" si="12"/>
        <v/>
      </c>
      <c r="BC7" s="62" t="str">
        <f t="shared" si="13"/>
        <v/>
      </c>
      <c r="BF7" s="62" t="str">
        <f t="shared" si="14"/>
        <v/>
      </c>
      <c r="BJ7" s="62" t="str">
        <f t="shared" si="15"/>
        <v/>
      </c>
      <c r="BM7" s="62" t="str">
        <f t="shared" si="16"/>
        <v/>
      </c>
      <c r="BQ7" s="62" t="str">
        <f t="shared" si="17"/>
        <v/>
      </c>
      <c r="BT7" s="62" t="str">
        <f t="shared" si="18"/>
        <v/>
      </c>
      <c r="BW7" s="62" t="str">
        <f t="shared" si="19"/>
        <v/>
      </c>
      <c r="BX7" s="44" t="s">
        <v>39</v>
      </c>
      <c r="BY7" s="44">
        <v>2</v>
      </c>
      <c r="BZ7" s="44">
        <v>16</v>
      </c>
      <c r="CA7" s="62">
        <f t="shared" si="20"/>
        <v>8</v>
      </c>
      <c r="CB7" s="44">
        <v>1</v>
      </c>
      <c r="CC7" s="44">
        <v>6</v>
      </c>
      <c r="CD7" s="62">
        <f t="shared" si="21"/>
        <v>6</v>
      </c>
    </row>
    <row r="8" spans="1:82" x14ac:dyDescent="0.3">
      <c r="A8" s="52" t="s">
        <v>227</v>
      </c>
      <c r="B8" s="49" t="s">
        <v>112</v>
      </c>
      <c r="C8" s="44" t="s">
        <v>34</v>
      </c>
      <c r="D8" s="44">
        <v>7500</v>
      </c>
      <c r="E8" s="44">
        <v>1900</v>
      </c>
      <c r="F8" s="62">
        <f t="shared" si="0"/>
        <v>0.25333333333333335</v>
      </c>
      <c r="G8" s="44" t="s">
        <v>39</v>
      </c>
      <c r="H8" s="44">
        <v>4700</v>
      </c>
      <c r="I8" s="44">
        <v>1114</v>
      </c>
      <c r="J8" s="62">
        <f t="shared" si="1"/>
        <v>0.23702127659574468</v>
      </c>
      <c r="K8" s="44" t="s">
        <v>39</v>
      </c>
      <c r="L8" s="44">
        <v>4800</v>
      </c>
      <c r="M8" s="44">
        <v>991</v>
      </c>
      <c r="N8" s="62">
        <f t="shared" si="2"/>
        <v>0.20645833333333333</v>
      </c>
      <c r="O8" s="44" t="s">
        <v>39</v>
      </c>
      <c r="P8" s="44">
        <v>4000</v>
      </c>
      <c r="Q8" s="44">
        <v>923</v>
      </c>
      <c r="R8" s="62">
        <f t="shared" si="3"/>
        <v>0.23075000000000001</v>
      </c>
      <c r="V8" s="62" t="str">
        <f t="shared" si="4"/>
        <v/>
      </c>
      <c r="W8" s="44" t="s">
        <v>39</v>
      </c>
      <c r="X8" s="44">
        <v>4000</v>
      </c>
      <c r="Y8" s="44">
        <v>625</v>
      </c>
      <c r="Z8" s="62">
        <f t="shared" si="5"/>
        <v>0.15625</v>
      </c>
      <c r="AA8" s="44">
        <v>3140</v>
      </c>
      <c r="AB8" s="44">
        <v>677</v>
      </c>
      <c r="AC8" s="62">
        <f t="shared" si="6"/>
        <v>0.21560509554140128</v>
      </c>
      <c r="AD8" s="44" t="s">
        <v>39</v>
      </c>
      <c r="AE8" s="44">
        <v>2857</v>
      </c>
      <c r="AF8" s="44">
        <v>556</v>
      </c>
      <c r="AG8" s="62">
        <f t="shared" si="7"/>
        <v>0.19460973048652433</v>
      </c>
      <c r="AH8" s="44">
        <v>3000</v>
      </c>
      <c r="AI8" s="44">
        <v>583</v>
      </c>
      <c r="AJ8" s="62">
        <f t="shared" si="8"/>
        <v>0.19433333333333333</v>
      </c>
      <c r="AK8" s="44" t="s">
        <v>39</v>
      </c>
      <c r="AL8" s="44">
        <v>1000</v>
      </c>
      <c r="AM8" s="44">
        <v>235</v>
      </c>
      <c r="AN8" s="62">
        <f t="shared" si="9"/>
        <v>0.23499999999999999</v>
      </c>
      <c r="AO8" s="44" t="s">
        <v>39</v>
      </c>
      <c r="AP8" s="44">
        <v>800</v>
      </c>
      <c r="AQ8" s="44">
        <v>200</v>
      </c>
      <c r="AR8" s="62">
        <f t="shared" si="10"/>
        <v>0.25</v>
      </c>
      <c r="AS8" s="44" t="s">
        <v>39</v>
      </c>
      <c r="AT8" s="44">
        <v>600</v>
      </c>
      <c r="AU8" s="44">
        <v>94</v>
      </c>
      <c r="AV8" s="62">
        <f t="shared" si="11"/>
        <v>0.15666666666666668</v>
      </c>
      <c r="AW8" s="44">
        <v>600</v>
      </c>
      <c r="AX8" s="44">
        <v>160</v>
      </c>
      <c r="AY8" s="62">
        <f t="shared" si="12"/>
        <v>0.26666666666666666</v>
      </c>
      <c r="AZ8" s="44" t="s">
        <v>39</v>
      </c>
      <c r="BA8" s="44">
        <v>300</v>
      </c>
      <c r="BB8" s="44">
        <v>80</v>
      </c>
      <c r="BC8" s="62">
        <f t="shared" si="13"/>
        <v>0.26666666666666666</v>
      </c>
      <c r="BD8" s="44">
        <v>200</v>
      </c>
      <c r="BE8" s="44">
        <v>53</v>
      </c>
      <c r="BF8" s="62">
        <f t="shared" si="14"/>
        <v>0.26500000000000001</v>
      </c>
      <c r="BG8" s="44" t="s">
        <v>39</v>
      </c>
      <c r="BH8" s="44">
        <v>19</v>
      </c>
      <c r="BI8" s="44">
        <v>45</v>
      </c>
      <c r="BJ8" s="62">
        <f t="shared" si="15"/>
        <v>2.3684210526315788</v>
      </c>
      <c r="BM8" s="62" t="str">
        <f t="shared" si="16"/>
        <v/>
      </c>
      <c r="BN8" s="44" t="s">
        <v>39</v>
      </c>
      <c r="BQ8" s="62" t="str">
        <f t="shared" si="17"/>
        <v/>
      </c>
      <c r="BR8" s="44">
        <v>11</v>
      </c>
      <c r="BS8" s="44">
        <v>18</v>
      </c>
      <c r="BT8" s="62">
        <f t="shared" si="18"/>
        <v>1.6363636363636365</v>
      </c>
      <c r="BU8" s="44">
        <v>9</v>
      </c>
      <c r="BV8" s="44">
        <v>23</v>
      </c>
      <c r="BW8" s="62">
        <f t="shared" si="19"/>
        <v>2.5555555555555554</v>
      </c>
      <c r="BX8" s="44" t="s">
        <v>39</v>
      </c>
      <c r="BY8" s="44">
        <v>16</v>
      </c>
      <c r="BZ8" s="44">
        <v>38</v>
      </c>
      <c r="CA8" s="62">
        <f t="shared" si="20"/>
        <v>2.375</v>
      </c>
      <c r="CB8" s="44">
        <v>55</v>
      </c>
      <c r="CC8" s="44">
        <v>126</v>
      </c>
      <c r="CD8" s="62">
        <f t="shared" si="21"/>
        <v>2.290909090909091</v>
      </c>
    </row>
    <row r="9" spans="1:82" x14ac:dyDescent="0.3">
      <c r="A9" s="49" t="s">
        <v>205</v>
      </c>
      <c r="B9" s="49" t="s">
        <v>112</v>
      </c>
      <c r="C9" s="44" t="s">
        <v>34</v>
      </c>
      <c r="F9" s="62" t="str">
        <f t="shared" si="0"/>
        <v/>
      </c>
      <c r="J9" s="62" t="str">
        <f t="shared" si="1"/>
        <v/>
      </c>
      <c r="N9" s="62" t="str">
        <f t="shared" si="2"/>
        <v/>
      </c>
      <c r="R9" s="62" t="str">
        <f t="shared" si="3"/>
        <v/>
      </c>
      <c r="V9" s="62" t="str">
        <f t="shared" si="4"/>
        <v/>
      </c>
      <c r="Z9" s="62" t="str">
        <f t="shared" si="5"/>
        <v/>
      </c>
      <c r="AC9" s="62" t="str">
        <f t="shared" si="6"/>
        <v/>
      </c>
      <c r="AG9" s="62" t="str">
        <f t="shared" si="7"/>
        <v/>
      </c>
      <c r="AJ9" s="62" t="str">
        <f t="shared" si="8"/>
        <v/>
      </c>
      <c r="AN9" s="62" t="str">
        <f t="shared" si="9"/>
        <v/>
      </c>
      <c r="AR9" s="62" t="str">
        <f t="shared" si="10"/>
        <v/>
      </c>
      <c r="AV9" s="62" t="str">
        <f t="shared" si="11"/>
        <v/>
      </c>
      <c r="AY9" s="62" t="str">
        <f t="shared" si="12"/>
        <v/>
      </c>
      <c r="BC9" s="62" t="str">
        <f t="shared" si="13"/>
        <v/>
      </c>
      <c r="BF9" s="62" t="str">
        <f t="shared" si="14"/>
        <v/>
      </c>
      <c r="BG9" s="44" t="s">
        <v>39</v>
      </c>
      <c r="BH9" s="44">
        <v>1783</v>
      </c>
      <c r="BI9" s="44">
        <v>434</v>
      </c>
      <c r="BJ9" s="62">
        <f t="shared" si="15"/>
        <v>0.24340998317442514</v>
      </c>
      <c r="BK9" s="44">
        <v>7551</v>
      </c>
      <c r="BL9" s="44">
        <v>1573</v>
      </c>
      <c r="BM9" s="62">
        <f t="shared" si="16"/>
        <v>0.20831677923453848</v>
      </c>
      <c r="BN9" s="44" t="s">
        <v>39</v>
      </c>
      <c r="BO9" s="44">
        <v>794</v>
      </c>
      <c r="BP9" s="44">
        <v>231</v>
      </c>
      <c r="BQ9" s="62">
        <f t="shared" si="17"/>
        <v>0.29093198992443325</v>
      </c>
      <c r="BR9" s="44">
        <v>389</v>
      </c>
      <c r="BS9" s="44">
        <v>136</v>
      </c>
      <c r="BT9" s="62">
        <f t="shared" si="18"/>
        <v>0.34961439588688947</v>
      </c>
      <c r="BU9" s="44">
        <v>8449</v>
      </c>
      <c r="BV9" s="44">
        <v>2266</v>
      </c>
      <c r="BW9" s="62">
        <f t="shared" si="19"/>
        <v>0.26819741981299561</v>
      </c>
      <c r="BX9" s="44" t="s">
        <v>39</v>
      </c>
      <c r="BY9" s="44">
        <v>13861</v>
      </c>
      <c r="BZ9" s="44">
        <v>2886</v>
      </c>
      <c r="CA9" s="62">
        <f t="shared" si="20"/>
        <v>0.20821008585239159</v>
      </c>
      <c r="CB9" s="44">
        <v>8692</v>
      </c>
      <c r="CC9" s="44">
        <v>1830</v>
      </c>
      <c r="CD9" s="62">
        <f t="shared" si="21"/>
        <v>0.21053842613897836</v>
      </c>
    </row>
    <row r="10" spans="1:82" x14ac:dyDescent="0.3">
      <c r="A10" s="49" t="s">
        <v>46</v>
      </c>
      <c r="B10" s="49" t="s">
        <v>104</v>
      </c>
      <c r="C10" s="44" t="s">
        <v>38</v>
      </c>
      <c r="F10" s="62" t="str">
        <f t="shared" si="0"/>
        <v/>
      </c>
      <c r="J10" s="62" t="str">
        <f t="shared" si="1"/>
        <v/>
      </c>
      <c r="N10" s="62" t="str">
        <f t="shared" si="2"/>
        <v/>
      </c>
      <c r="R10" s="62" t="str">
        <f t="shared" si="3"/>
        <v/>
      </c>
      <c r="V10" s="62" t="str">
        <f t="shared" si="4"/>
        <v/>
      </c>
      <c r="Z10" s="62" t="str">
        <f t="shared" si="5"/>
        <v/>
      </c>
      <c r="AC10" s="62" t="str">
        <f t="shared" si="6"/>
        <v/>
      </c>
      <c r="AG10" s="62" t="str">
        <f t="shared" si="7"/>
        <v/>
      </c>
      <c r="AJ10" s="62" t="str">
        <f t="shared" si="8"/>
        <v/>
      </c>
      <c r="AN10" s="62" t="str">
        <f t="shared" si="9"/>
        <v/>
      </c>
      <c r="AR10" s="62" t="str">
        <f t="shared" si="10"/>
        <v/>
      </c>
      <c r="AV10" s="62" t="str">
        <f t="shared" si="11"/>
        <v/>
      </c>
      <c r="AY10" s="62" t="str">
        <f t="shared" si="12"/>
        <v/>
      </c>
      <c r="BC10" s="62" t="str">
        <f t="shared" si="13"/>
        <v/>
      </c>
      <c r="BF10" s="62" t="str">
        <f t="shared" si="14"/>
        <v/>
      </c>
      <c r="BG10" s="44" t="s">
        <v>38</v>
      </c>
      <c r="BJ10" s="62" t="str">
        <f t="shared" si="15"/>
        <v/>
      </c>
      <c r="BK10" s="44">
        <v>847</v>
      </c>
      <c r="BL10" s="44">
        <v>138</v>
      </c>
      <c r="BM10" s="62">
        <f t="shared" si="16"/>
        <v>0.16292798110979928</v>
      </c>
      <c r="BN10" s="44" t="s">
        <v>38</v>
      </c>
      <c r="BQ10" s="62" t="str">
        <f t="shared" si="17"/>
        <v/>
      </c>
      <c r="BR10" s="44">
        <v>4.75</v>
      </c>
      <c r="BS10" s="44">
        <v>42</v>
      </c>
      <c r="BT10" s="62">
        <f t="shared" si="18"/>
        <v>8.8421052631578956</v>
      </c>
      <c r="BU10" s="44">
        <v>427</v>
      </c>
      <c r="BV10" s="44">
        <v>138</v>
      </c>
      <c r="BW10" s="62">
        <f t="shared" si="19"/>
        <v>0.3231850117096019</v>
      </c>
      <c r="BX10" s="44" t="s">
        <v>38</v>
      </c>
      <c r="CA10" s="62" t="str">
        <f t="shared" si="20"/>
        <v/>
      </c>
      <c r="CB10" s="44">
        <v>35</v>
      </c>
      <c r="CC10" s="44">
        <v>24</v>
      </c>
      <c r="CD10" s="62">
        <f t="shared" si="21"/>
        <v>0.68571428571428572</v>
      </c>
    </row>
    <row r="11" spans="1:82" x14ac:dyDescent="0.3">
      <c r="A11" s="53" t="s">
        <v>206</v>
      </c>
      <c r="B11" s="49" t="s">
        <v>293</v>
      </c>
      <c r="C11" s="44" t="s">
        <v>37</v>
      </c>
      <c r="F11" s="62" t="str">
        <f t="shared" si="0"/>
        <v/>
      </c>
      <c r="J11" s="62" t="str">
        <f t="shared" si="1"/>
        <v/>
      </c>
      <c r="N11" s="62" t="str">
        <f t="shared" si="2"/>
        <v/>
      </c>
      <c r="R11" s="62" t="str">
        <f t="shared" si="3"/>
        <v/>
      </c>
      <c r="V11" s="62" t="str">
        <f t="shared" si="4"/>
        <v/>
      </c>
      <c r="Z11" s="62" t="str">
        <f t="shared" si="5"/>
        <v/>
      </c>
      <c r="AC11" s="62" t="str">
        <f t="shared" si="6"/>
        <v/>
      </c>
      <c r="AG11" s="62" t="str">
        <f t="shared" si="7"/>
        <v/>
      </c>
      <c r="AJ11" s="62" t="str">
        <f t="shared" si="8"/>
        <v/>
      </c>
      <c r="AK11" s="44" t="s">
        <v>37</v>
      </c>
      <c r="AL11" s="44">
        <v>4</v>
      </c>
      <c r="AM11" s="44">
        <v>882</v>
      </c>
      <c r="AN11" s="62">
        <f t="shared" si="9"/>
        <v>220.5</v>
      </c>
      <c r="AO11" s="44" t="s">
        <v>37</v>
      </c>
      <c r="AP11" s="44">
        <v>2</v>
      </c>
      <c r="AQ11" s="44">
        <v>624</v>
      </c>
      <c r="AR11" s="62">
        <f t="shared" si="10"/>
        <v>312</v>
      </c>
      <c r="AV11" s="62" t="str">
        <f t="shared" si="11"/>
        <v/>
      </c>
      <c r="AY11" s="62" t="str">
        <f t="shared" si="12"/>
        <v/>
      </c>
      <c r="BC11" s="62" t="str">
        <f t="shared" si="13"/>
        <v/>
      </c>
      <c r="BF11" s="62" t="str">
        <f t="shared" si="14"/>
        <v/>
      </c>
      <c r="BJ11" s="62" t="str">
        <f t="shared" si="15"/>
        <v/>
      </c>
      <c r="BM11" s="62" t="str">
        <f t="shared" si="16"/>
        <v/>
      </c>
      <c r="BQ11" s="62" t="str">
        <f t="shared" si="17"/>
        <v/>
      </c>
      <c r="BT11" s="62" t="str">
        <f t="shared" si="18"/>
        <v/>
      </c>
      <c r="BW11" s="62" t="str">
        <f t="shared" si="19"/>
        <v/>
      </c>
      <c r="CA11" s="62" t="str">
        <f t="shared" si="20"/>
        <v/>
      </c>
      <c r="CD11" s="62" t="str">
        <f t="shared" si="21"/>
        <v/>
      </c>
    </row>
    <row r="12" spans="1:82" x14ac:dyDescent="0.3">
      <c r="A12" s="53" t="s">
        <v>275</v>
      </c>
      <c r="B12" s="49" t="s">
        <v>293</v>
      </c>
      <c r="C12" s="44" t="s">
        <v>37</v>
      </c>
      <c r="F12" s="62" t="str">
        <f t="shared" si="0"/>
        <v/>
      </c>
      <c r="J12" s="62" t="str">
        <f t="shared" si="1"/>
        <v/>
      </c>
      <c r="N12" s="62" t="str">
        <f t="shared" si="2"/>
        <v/>
      </c>
      <c r="R12" s="62" t="str">
        <f t="shared" si="3"/>
        <v/>
      </c>
      <c r="V12" s="62" t="str">
        <f t="shared" si="4"/>
        <v/>
      </c>
      <c r="Z12" s="62" t="str">
        <f t="shared" si="5"/>
        <v/>
      </c>
      <c r="AC12" s="62" t="str">
        <f t="shared" si="6"/>
        <v/>
      </c>
      <c r="AG12" s="62" t="str">
        <f t="shared" si="7"/>
        <v/>
      </c>
      <c r="AJ12" s="62" t="str">
        <f t="shared" si="8"/>
        <v/>
      </c>
      <c r="AN12" s="62" t="str">
        <f t="shared" si="9"/>
        <v/>
      </c>
      <c r="AO12" s="44" t="s">
        <v>37</v>
      </c>
      <c r="AP12" s="44">
        <v>4</v>
      </c>
      <c r="AQ12" s="44">
        <v>126</v>
      </c>
      <c r="AR12" s="62">
        <f t="shared" si="10"/>
        <v>31.5</v>
      </c>
      <c r="AV12" s="62" t="str">
        <f t="shared" si="11"/>
        <v/>
      </c>
      <c r="AY12" s="62" t="str">
        <f t="shared" si="12"/>
        <v/>
      </c>
      <c r="BC12" s="62" t="str">
        <f t="shared" si="13"/>
        <v/>
      </c>
      <c r="BF12" s="62" t="str">
        <f t="shared" si="14"/>
        <v/>
      </c>
      <c r="BJ12" s="62" t="str">
        <f t="shared" si="15"/>
        <v/>
      </c>
      <c r="BM12" s="62" t="str">
        <f t="shared" si="16"/>
        <v/>
      </c>
      <c r="BQ12" s="62" t="str">
        <f t="shared" si="17"/>
        <v/>
      </c>
      <c r="BT12" s="62" t="str">
        <f t="shared" si="18"/>
        <v/>
      </c>
      <c r="BW12" s="62" t="str">
        <f t="shared" si="19"/>
        <v/>
      </c>
      <c r="CA12" s="62" t="str">
        <f t="shared" si="20"/>
        <v/>
      </c>
      <c r="CD12" s="62" t="str">
        <f t="shared" si="21"/>
        <v/>
      </c>
    </row>
    <row r="13" spans="1:82" x14ac:dyDescent="0.3">
      <c r="A13" s="53" t="s">
        <v>170</v>
      </c>
      <c r="B13" s="49" t="s">
        <v>104</v>
      </c>
      <c r="C13" s="44" t="s">
        <v>38</v>
      </c>
      <c r="F13" s="62" t="str">
        <f t="shared" si="0"/>
        <v/>
      </c>
      <c r="J13" s="62" t="str">
        <f t="shared" si="1"/>
        <v/>
      </c>
      <c r="N13" s="62" t="str">
        <f t="shared" si="2"/>
        <v/>
      </c>
      <c r="R13" s="62" t="str">
        <f t="shared" si="3"/>
        <v/>
      </c>
      <c r="V13" s="62" t="str">
        <f t="shared" si="4"/>
        <v/>
      </c>
      <c r="Z13" s="62" t="str">
        <f t="shared" si="5"/>
        <v/>
      </c>
      <c r="AC13" s="62" t="str">
        <f t="shared" si="6"/>
        <v/>
      </c>
      <c r="AG13" s="62" t="str">
        <f t="shared" si="7"/>
        <v/>
      </c>
      <c r="AJ13" s="62" t="str">
        <f t="shared" si="8"/>
        <v/>
      </c>
      <c r="AN13" s="62" t="str">
        <f t="shared" si="9"/>
        <v/>
      </c>
      <c r="AR13" s="62" t="str">
        <f t="shared" si="10"/>
        <v/>
      </c>
      <c r="AV13" s="62" t="str">
        <f t="shared" si="11"/>
        <v/>
      </c>
      <c r="AY13" s="62" t="str">
        <f t="shared" si="12"/>
        <v/>
      </c>
      <c r="BC13" s="62" t="str">
        <f t="shared" si="13"/>
        <v/>
      </c>
      <c r="BF13" s="62" t="str">
        <f t="shared" si="14"/>
        <v/>
      </c>
      <c r="BG13" s="44" t="s">
        <v>38</v>
      </c>
      <c r="BJ13" s="62" t="str">
        <f t="shared" si="15"/>
        <v/>
      </c>
      <c r="BK13" s="44">
        <v>64</v>
      </c>
      <c r="BL13" s="44">
        <v>56</v>
      </c>
      <c r="BM13" s="62">
        <f t="shared" si="16"/>
        <v>0.875</v>
      </c>
      <c r="BN13" s="44" t="s">
        <v>38</v>
      </c>
      <c r="BO13" s="44">
        <v>32</v>
      </c>
      <c r="BP13" s="44">
        <v>36</v>
      </c>
      <c r="BQ13" s="62">
        <f t="shared" si="17"/>
        <v>1.125</v>
      </c>
      <c r="BT13" s="62" t="str">
        <f t="shared" si="18"/>
        <v/>
      </c>
      <c r="BW13" s="62" t="str">
        <f t="shared" si="19"/>
        <v/>
      </c>
      <c r="CA13" s="62" t="str">
        <f t="shared" si="20"/>
        <v/>
      </c>
      <c r="CD13" s="62" t="str">
        <f t="shared" si="21"/>
        <v/>
      </c>
    </row>
    <row r="14" spans="1:82" x14ac:dyDescent="0.3">
      <c r="A14" s="53" t="s">
        <v>72</v>
      </c>
      <c r="B14" s="49" t="s">
        <v>104</v>
      </c>
      <c r="C14" s="44" t="s">
        <v>38</v>
      </c>
      <c r="F14" s="62" t="str">
        <f t="shared" si="0"/>
        <v/>
      </c>
      <c r="J14" s="62" t="str">
        <f t="shared" si="1"/>
        <v/>
      </c>
      <c r="N14" s="62" t="str">
        <f t="shared" si="2"/>
        <v/>
      </c>
      <c r="R14" s="62" t="str">
        <f t="shared" si="3"/>
        <v/>
      </c>
      <c r="V14" s="62" t="str">
        <f t="shared" si="4"/>
        <v/>
      </c>
      <c r="Z14" s="62" t="str">
        <f t="shared" si="5"/>
        <v/>
      </c>
      <c r="AC14" s="62" t="str">
        <f t="shared" si="6"/>
        <v/>
      </c>
      <c r="AG14" s="62" t="str">
        <f t="shared" si="7"/>
        <v/>
      </c>
      <c r="AJ14" s="62" t="str">
        <f t="shared" si="8"/>
        <v/>
      </c>
      <c r="AN14" s="62" t="str">
        <f t="shared" si="9"/>
        <v/>
      </c>
      <c r="AR14" s="62" t="str">
        <f t="shared" si="10"/>
        <v/>
      </c>
      <c r="AV14" s="62" t="str">
        <f t="shared" si="11"/>
        <v/>
      </c>
      <c r="AY14" s="62" t="str">
        <f t="shared" si="12"/>
        <v/>
      </c>
      <c r="BC14" s="62" t="str">
        <f t="shared" si="13"/>
        <v/>
      </c>
      <c r="BF14" s="62" t="str">
        <f t="shared" si="14"/>
        <v/>
      </c>
      <c r="BJ14" s="62" t="str">
        <f t="shared" si="15"/>
        <v/>
      </c>
      <c r="BM14" s="62" t="str">
        <f t="shared" si="16"/>
        <v/>
      </c>
      <c r="BQ14" s="62" t="str">
        <f t="shared" si="17"/>
        <v/>
      </c>
      <c r="BT14" s="62" t="str">
        <f t="shared" si="18"/>
        <v/>
      </c>
      <c r="BW14" s="62" t="str">
        <f t="shared" si="19"/>
        <v/>
      </c>
      <c r="CA14" s="62" t="str">
        <f t="shared" si="20"/>
        <v/>
      </c>
      <c r="CD14" s="62" t="str">
        <f t="shared" si="21"/>
        <v/>
      </c>
    </row>
    <row r="15" spans="1:82" x14ac:dyDescent="0.3">
      <c r="A15" s="53" t="s">
        <v>276</v>
      </c>
      <c r="B15" s="49" t="s">
        <v>104</v>
      </c>
      <c r="C15" s="44" t="s">
        <v>38</v>
      </c>
      <c r="F15" s="62" t="str">
        <f t="shared" si="0"/>
        <v/>
      </c>
      <c r="J15" s="62" t="str">
        <f t="shared" si="1"/>
        <v/>
      </c>
      <c r="N15" s="62" t="str">
        <f t="shared" si="2"/>
        <v/>
      </c>
      <c r="R15" s="62" t="str">
        <f t="shared" si="3"/>
        <v/>
      </c>
      <c r="V15" s="62" t="str">
        <f t="shared" si="4"/>
        <v/>
      </c>
      <c r="Z15" s="62" t="str">
        <f t="shared" si="5"/>
        <v/>
      </c>
      <c r="AC15" s="62" t="str">
        <f t="shared" si="6"/>
        <v/>
      </c>
      <c r="AG15" s="62" t="str">
        <f t="shared" si="7"/>
        <v/>
      </c>
      <c r="AJ15" s="62" t="str">
        <f t="shared" si="8"/>
        <v/>
      </c>
      <c r="AN15" s="62" t="str">
        <f t="shared" si="9"/>
        <v/>
      </c>
      <c r="AR15" s="62" t="str">
        <f t="shared" si="10"/>
        <v/>
      </c>
      <c r="AV15" s="62" t="str">
        <f t="shared" si="11"/>
        <v/>
      </c>
      <c r="AY15" s="62" t="str">
        <f t="shared" si="12"/>
        <v/>
      </c>
      <c r="BC15" s="62" t="str">
        <f t="shared" si="13"/>
        <v/>
      </c>
      <c r="BF15" s="62" t="str">
        <f t="shared" si="14"/>
        <v/>
      </c>
      <c r="BJ15" s="62" t="str">
        <f t="shared" si="15"/>
        <v/>
      </c>
      <c r="BM15" s="62" t="str">
        <f t="shared" si="16"/>
        <v/>
      </c>
      <c r="BN15" s="44" t="s">
        <v>38</v>
      </c>
      <c r="BQ15" s="62" t="str">
        <f t="shared" si="17"/>
        <v/>
      </c>
      <c r="BT15" s="62" t="str">
        <f t="shared" si="18"/>
        <v/>
      </c>
      <c r="BU15" s="44">
        <v>42</v>
      </c>
      <c r="BV15" s="44">
        <v>34</v>
      </c>
      <c r="BW15" s="62">
        <f t="shared" si="19"/>
        <v>0.80952380952380953</v>
      </c>
      <c r="BX15" s="44" t="s">
        <v>38</v>
      </c>
      <c r="BY15" s="44">
        <v>33</v>
      </c>
      <c r="BZ15" s="44">
        <v>23</v>
      </c>
      <c r="CA15" s="62">
        <f t="shared" si="20"/>
        <v>0.69696969696969702</v>
      </c>
      <c r="CB15" s="44">
        <v>27</v>
      </c>
      <c r="CC15" s="44">
        <v>20</v>
      </c>
      <c r="CD15" s="62">
        <f t="shared" si="21"/>
        <v>0.7407407407407407</v>
      </c>
    </row>
    <row r="16" spans="1:82" x14ac:dyDescent="0.3">
      <c r="A16" s="52" t="s">
        <v>7</v>
      </c>
      <c r="B16" s="49" t="s">
        <v>293</v>
      </c>
      <c r="C16" s="44" t="s">
        <v>37</v>
      </c>
      <c r="F16" s="62" t="str">
        <f t="shared" si="0"/>
        <v/>
      </c>
      <c r="J16" s="62" t="str">
        <f t="shared" si="1"/>
        <v/>
      </c>
      <c r="N16" s="62" t="str">
        <f t="shared" si="2"/>
        <v/>
      </c>
      <c r="R16" s="62" t="str">
        <f t="shared" si="3"/>
        <v/>
      </c>
      <c r="V16" s="62" t="str">
        <f t="shared" si="4"/>
        <v/>
      </c>
      <c r="W16" s="44" t="s">
        <v>37</v>
      </c>
      <c r="X16" s="44">
        <v>25</v>
      </c>
      <c r="Y16" s="44">
        <v>625</v>
      </c>
      <c r="Z16" s="62">
        <f t="shared" si="5"/>
        <v>25</v>
      </c>
      <c r="AC16" s="62" t="str">
        <f t="shared" si="6"/>
        <v/>
      </c>
      <c r="AG16" s="62" t="str">
        <f t="shared" si="7"/>
        <v/>
      </c>
      <c r="AJ16" s="62" t="str">
        <f t="shared" si="8"/>
        <v/>
      </c>
      <c r="AN16" s="62" t="str">
        <f t="shared" si="9"/>
        <v/>
      </c>
      <c r="AR16" s="62" t="str">
        <f t="shared" si="10"/>
        <v/>
      </c>
      <c r="AV16" s="62" t="str">
        <f t="shared" si="11"/>
        <v/>
      </c>
      <c r="AY16" s="62" t="str">
        <f t="shared" si="12"/>
        <v/>
      </c>
      <c r="BC16" s="62" t="str">
        <f t="shared" si="13"/>
        <v/>
      </c>
      <c r="BF16" s="62" t="str">
        <f t="shared" si="14"/>
        <v/>
      </c>
      <c r="BJ16" s="62" t="str">
        <f t="shared" si="15"/>
        <v/>
      </c>
      <c r="BM16" s="62" t="str">
        <f t="shared" si="16"/>
        <v/>
      </c>
      <c r="BQ16" s="62" t="str">
        <f t="shared" si="17"/>
        <v/>
      </c>
      <c r="BT16" s="62" t="str">
        <f t="shared" si="18"/>
        <v/>
      </c>
      <c r="BW16" s="62" t="str">
        <f t="shared" si="19"/>
        <v/>
      </c>
      <c r="CA16" s="62" t="str">
        <f t="shared" si="20"/>
        <v/>
      </c>
      <c r="CD16" s="62" t="str">
        <f t="shared" si="21"/>
        <v/>
      </c>
    </row>
    <row r="17" spans="1:82" x14ac:dyDescent="0.3">
      <c r="A17" s="52" t="s">
        <v>8</v>
      </c>
      <c r="B17" s="49" t="s">
        <v>104</v>
      </c>
      <c r="C17" s="44" t="s">
        <v>38</v>
      </c>
      <c r="F17" s="62" t="str">
        <f t="shared" si="0"/>
        <v/>
      </c>
      <c r="J17" s="62" t="str">
        <f t="shared" si="1"/>
        <v/>
      </c>
      <c r="N17" s="62" t="str">
        <f t="shared" si="2"/>
        <v/>
      </c>
      <c r="R17" s="62" t="str">
        <f t="shared" si="3"/>
        <v/>
      </c>
      <c r="V17" s="62" t="str">
        <f t="shared" si="4"/>
        <v/>
      </c>
      <c r="Z17" s="62" t="str">
        <f t="shared" si="5"/>
        <v/>
      </c>
      <c r="AC17" s="62" t="str">
        <f t="shared" si="6"/>
        <v/>
      </c>
      <c r="AG17" s="62" t="str">
        <f t="shared" si="7"/>
        <v/>
      </c>
      <c r="AJ17" s="62" t="str">
        <f t="shared" si="8"/>
        <v/>
      </c>
      <c r="AN17" s="62" t="str">
        <f t="shared" si="9"/>
        <v/>
      </c>
      <c r="AR17" s="62" t="str">
        <f t="shared" si="10"/>
        <v/>
      </c>
      <c r="AV17" s="62" t="str">
        <f t="shared" si="11"/>
        <v/>
      </c>
      <c r="AY17" s="62" t="str">
        <f t="shared" si="12"/>
        <v/>
      </c>
      <c r="BC17" s="62" t="str">
        <f t="shared" si="13"/>
        <v/>
      </c>
      <c r="BF17" s="62" t="str">
        <f t="shared" si="14"/>
        <v/>
      </c>
      <c r="BJ17" s="62" t="str">
        <f t="shared" si="15"/>
        <v/>
      </c>
      <c r="BM17" s="62" t="str">
        <f t="shared" si="16"/>
        <v/>
      </c>
      <c r="BQ17" s="62" t="str">
        <f t="shared" si="17"/>
        <v/>
      </c>
      <c r="BT17" s="62" t="str">
        <f t="shared" si="18"/>
        <v/>
      </c>
      <c r="BW17" s="62" t="str">
        <f t="shared" si="19"/>
        <v/>
      </c>
      <c r="BX17" s="44" t="s">
        <v>38</v>
      </c>
      <c r="BY17" s="44">
        <v>4009.5</v>
      </c>
      <c r="BZ17" s="44">
        <v>423.5</v>
      </c>
      <c r="CA17" s="62">
        <f t="shared" si="20"/>
        <v>0.1056241426611797</v>
      </c>
      <c r="CB17" s="44">
        <v>6802.5</v>
      </c>
      <c r="CC17" s="44">
        <v>1293</v>
      </c>
      <c r="CD17" s="62">
        <f t="shared" si="21"/>
        <v>0.19007717750826902</v>
      </c>
    </row>
    <row r="18" spans="1:82" x14ac:dyDescent="0.3">
      <c r="A18" s="53" t="s">
        <v>9</v>
      </c>
      <c r="B18" s="49" t="s">
        <v>104</v>
      </c>
      <c r="C18" s="44" t="s">
        <v>38</v>
      </c>
      <c r="F18" s="62" t="str">
        <f t="shared" si="0"/>
        <v/>
      </c>
      <c r="J18" s="62" t="str">
        <f t="shared" si="1"/>
        <v/>
      </c>
      <c r="N18" s="62" t="str">
        <f t="shared" si="2"/>
        <v/>
      </c>
      <c r="R18" s="62" t="str">
        <f t="shared" si="3"/>
        <v/>
      </c>
      <c r="V18" s="62" t="str">
        <f t="shared" si="4"/>
        <v/>
      </c>
      <c r="Z18" s="62" t="str">
        <f t="shared" si="5"/>
        <v/>
      </c>
      <c r="AC18" s="62" t="str">
        <f t="shared" si="6"/>
        <v/>
      </c>
      <c r="AG18" s="62" t="str">
        <f t="shared" si="7"/>
        <v/>
      </c>
      <c r="AJ18" s="62" t="str">
        <f t="shared" si="8"/>
        <v/>
      </c>
      <c r="AN18" s="62" t="str">
        <f t="shared" si="9"/>
        <v/>
      </c>
      <c r="AR18" s="62" t="str">
        <f t="shared" si="10"/>
        <v/>
      </c>
      <c r="AV18" s="62" t="str">
        <f t="shared" si="11"/>
        <v/>
      </c>
      <c r="AY18" s="62" t="str">
        <f t="shared" si="12"/>
        <v/>
      </c>
      <c r="BC18" s="62" t="str">
        <f t="shared" si="13"/>
        <v/>
      </c>
      <c r="BF18" s="62" t="str">
        <f t="shared" si="14"/>
        <v/>
      </c>
      <c r="BJ18" s="62" t="str">
        <f t="shared" si="15"/>
        <v/>
      </c>
      <c r="BM18" s="62" t="str">
        <f t="shared" si="16"/>
        <v/>
      </c>
      <c r="BN18" s="44" t="s">
        <v>38</v>
      </c>
      <c r="BQ18" s="62" t="str">
        <f t="shared" si="17"/>
        <v/>
      </c>
      <c r="BR18" s="44">
        <v>3.25</v>
      </c>
      <c r="BS18" s="44">
        <v>7</v>
      </c>
      <c r="BT18" s="62">
        <f t="shared" si="18"/>
        <v>2.1538461538461537</v>
      </c>
      <c r="BW18" s="62" t="str">
        <f t="shared" si="19"/>
        <v/>
      </c>
      <c r="BX18" s="44" t="s">
        <v>38</v>
      </c>
      <c r="BY18" s="44">
        <v>2.5</v>
      </c>
      <c r="BZ18" s="44">
        <v>6</v>
      </c>
      <c r="CA18" s="62">
        <f t="shared" si="20"/>
        <v>2.4</v>
      </c>
      <c r="CB18" s="44">
        <v>2.5</v>
      </c>
      <c r="CC18" s="44">
        <v>4</v>
      </c>
      <c r="CD18" s="62">
        <f t="shared" si="21"/>
        <v>1.6</v>
      </c>
    </row>
    <row r="19" spans="1:82" x14ac:dyDescent="0.3">
      <c r="A19" s="49" t="s">
        <v>67</v>
      </c>
      <c r="B19" s="49" t="s">
        <v>104</v>
      </c>
      <c r="C19" s="44" t="s">
        <v>38</v>
      </c>
      <c r="D19" s="44">
        <v>696</v>
      </c>
      <c r="E19" s="44">
        <v>3482</v>
      </c>
      <c r="F19" s="62">
        <f t="shared" si="0"/>
        <v>5.0028735632183912</v>
      </c>
      <c r="G19" s="44" t="s">
        <v>38</v>
      </c>
      <c r="H19" s="44">
        <v>659</v>
      </c>
      <c r="I19" s="44">
        <v>2781</v>
      </c>
      <c r="J19" s="62">
        <f t="shared" si="1"/>
        <v>4.2200303490136575</v>
      </c>
      <c r="K19" s="44" t="s">
        <v>38</v>
      </c>
      <c r="L19" s="44">
        <v>800</v>
      </c>
      <c r="M19" s="44">
        <v>2940</v>
      </c>
      <c r="N19" s="62">
        <f t="shared" si="2"/>
        <v>3.6749999999999998</v>
      </c>
      <c r="O19" s="44" t="s">
        <v>38</v>
      </c>
      <c r="P19" s="44">
        <v>1250</v>
      </c>
      <c r="Q19" s="44">
        <v>4615</v>
      </c>
      <c r="R19" s="62">
        <f t="shared" si="3"/>
        <v>3.6920000000000002</v>
      </c>
      <c r="S19" s="44" t="s">
        <v>38</v>
      </c>
      <c r="T19" s="44">
        <v>1140</v>
      </c>
      <c r="U19" s="44">
        <v>4071</v>
      </c>
      <c r="V19" s="62">
        <f t="shared" si="4"/>
        <v>3.5710526315789473</v>
      </c>
      <c r="W19" s="44" t="s">
        <v>38</v>
      </c>
      <c r="X19" s="44">
        <v>1100</v>
      </c>
      <c r="Y19" s="44">
        <v>3437</v>
      </c>
      <c r="Z19" s="62">
        <f t="shared" si="5"/>
        <v>3.1245454545454545</v>
      </c>
      <c r="AA19" s="44">
        <v>820</v>
      </c>
      <c r="AB19" s="44">
        <v>2523</v>
      </c>
      <c r="AC19" s="62">
        <f t="shared" si="6"/>
        <v>3.0768292682926828</v>
      </c>
      <c r="AD19" s="44" t="s">
        <v>38</v>
      </c>
      <c r="AE19" s="44">
        <v>840</v>
      </c>
      <c r="AF19" s="44">
        <v>2333</v>
      </c>
      <c r="AG19" s="62">
        <f t="shared" si="7"/>
        <v>2.7773809523809523</v>
      </c>
      <c r="AH19" s="44">
        <v>515</v>
      </c>
      <c r="AI19" s="44">
        <v>2167</v>
      </c>
      <c r="AJ19" s="62">
        <f t="shared" si="8"/>
        <v>4.2077669902912618</v>
      </c>
      <c r="AK19" s="44" t="s">
        <v>38</v>
      </c>
      <c r="AL19" s="44">
        <v>550</v>
      </c>
      <c r="AM19" s="44">
        <v>1940</v>
      </c>
      <c r="AN19" s="62">
        <f t="shared" si="9"/>
        <v>3.5272727272727273</v>
      </c>
      <c r="AO19" s="44" t="s">
        <v>38</v>
      </c>
      <c r="AP19" s="44">
        <v>440</v>
      </c>
      <c r="AQ19" s="44">
        <v>1843</v>
      </c>
      <c r="AR19" s="62">
        <f t="shared" si="10"/>
        <v>4.1886363636363635</v>
      </c>
      <c r="AS19" s="44" t="s">
        <v>38</v>
      </c>
      <c r="AT19" s="44">
        <v>370</v>
      </c>
      <c r="AU19" s="44">
        <v>1155</v>
      </c>
      <c r="AV19" s="62">
        <f t="shared" si="11"/>
        <v>3.1216216216216215</v>
      </c>
      <c r="AW19" s="44">
        <v>690</v>
      </c>
      <c r="AX19" s="44">
        <v>1840</v>
      </c>
      <c r="AY19" s="62">
        <f t="shared" si="12"/>
        <v>2.6666666666666665</v>
      </c>
      <c r="AZ19" s="44" t="s">
        <v>38</v>
      </c>
      <c r="BA19" s="44">
        <v>600</v>
      </c>
      <c r="BB19" s="44">
        <v>1600</v>
      </c>
      <c r="BC19" s="62">
        <f t="shared" si="13"/>
        <v>2.6666666666666665</v>
      </c>
      <c r="BD19" s="44">
        <v>703</v>
      </c>
      <c r="BE19" s="44">
        <v>1875</v>
      </c>
      <c r="BF19" s="62">
        <f t="shared" si="14"/>
        <v>2.6671408250355619</v>
      </c>
      <c r="BJ19" s="62" t="str">
        <f t="shared" si="15"/>
        <v/>
      </c>
      <c r="BM19" s="62" t="str">
        <f t="shared" si="16"/>
        <v/>
      </c>
      <c r="BQ19" s="62" t="str">
        <f t="shared" si="17"/>
        <v/>
      </c>
      <c r="BT19" s="62" t="str">
        <f t="shared" si="18"/>
        <v/>
      </c>
      <c r="BW19" s="62" t="str">
        <f t="shared" si="19"/>
        <v/>
      </c>
      <c r="CA19" s="62" t="str">
        <f t="shared" si="20"/>
        <v/>
      </c>
      <c r="CD19" s="62" t="str">
        <f t="shared" si="21"/>
        <v/>
      </c>
    </row>
    <row r="20" spans="1:82" x14ac:dyDescent="0.3">
      <c r="A20" s="49" t="s">
        <v>66</v>
      </c>
      <c r="B20" s="49" t="s">
        <v>104</v>
      </c>
      <c r="C20" s="44" t="s">
        <v>38</v>
      </c>
      <c r="F20" s="62" t="str">
        <f t="shared" si="0"/>
        <v/>
      </c>
      <c r="J20" s="62" t="str">
        <f t="shared" si="1"/>
        <v/>
      </c>
      <c r="N20" s="62" t="str">
        <f t="shared" si="2"/>
        <v/>
      </c>
      <c r="R20" s="62" t="str">
        <f t="shared" si="3"/>
        <v/>
      </c>
      <c r="V20" s="62" t="str">
        <f t="shared" si="4"/>
        <v/>
      </c>
      <c r="W20" s="44" t="s">
        <v>38</v>
      </c>
      <c r="X20" s="44">
        <v>770</v>
      </c>
      <c r="Y20" s="44">
        <v>625</v>
      </c>
      <c r="Z20" s="62">
        <f t="shared" si="5"/>
        <v>0.81168831168831168</v>
      </c>
      <c r="AC20" s="62" t="str">
        <f t="shared" si="6"/>
        <v/>
      </c>
      <c r="AG20" s="62" t="str">
        <f t="shared" si="7"/>
        <v/>
      </c>
      <c r="AJ20" s="62" t="str">
        <f t="shared" si="8"/>
        <v/>
      </c>
      <c r="AN20" s="62" t="str">
        <f t="shared" si="9"/>
        <v/>
      </c>
      <c r="AR20" s="62" t="str">
        <f t="shared" si="10"/>
        <v/>
      </c>
      <c r="AV20" s="62" t="str">
        <f t="shared" si="11"/>
        <v/>
      </c>
      <c r="AY20" s="62" t="str">
        <f t="shared" si="12"/>
        <v/>
      </c>
      <c r="BC20" s="62" t="str">
        <f t="shared" si="13"/>
        <v/>
      </c>
      <c r="BF20" s="62" t="str">
        <f t="shared" si="14"/>
        <v/>
      </c>
      <c r="BJ20" s="62" t="str">
        <f t="shared" si="15"/>
        <v/>
      </c>
      <c r="BM20" s="62" t="str">
        <f t="shared" si="16"/>
        <v/>
      </c>
      <c r="BQ20" s="62" t="str">
        <f t="shared" si="17"/>
        <v/>
      </c>
      <c r="BT20" s="62" t="str">
        <f t="shared" si="18"/>
        <v/>
      </c>
      <c r="BW20" s="62" t="str">
        <f t="shared" si="19"/>
        <v/>
      </c>
      <c r="CA20" s="62" t="str">
        <f t="shared" si="20"/>
        <v/>
      </c>
      <c r="CD20" s="62" t="str">
        <f t="shared" si="21"/>
        <v/>
      </c>
    </row>
    <row r="21" spans="1:82" x14ac:dyDescent="0.3">
      <c r="A21" s="53" t="s">
        <v>10</v>
      </c>
      <c r="B21" s="49" t="s">
        <v>104</v>
      </c>
      <c r="C21" s="44" t="s">
        <v>38</v>
      </c>
      <c r="D21" s="44">
        <v>2750</v>
      </c>
      <c r="E21" s="44">
        <v>10257</v>
      </c>
      <c r="F21" s="62">
        <f t="shared" si="0"/>
        <v>3.7298181818181817</v>
      </c>
      <c r="G21" s="44" t="s">
        <v>38</v>
      </c>
      <c r="H21" s="44">
        <v>3496</v>
      </c>
      <c r="I21" s="44">
        <v>11747</v>
      </c>
      <c r="J21" s="62">
        <f t="shared" si="1"/>
        <v>3.36012585812357</v>
      </c>
      <c r="K21" s="44" t="s">
        <v>38</v>
      </c>
      <c r="L21" s="44">
        <v>4250</v>
      </c>
      <c r="M21" s="44">
        <v>10639</v>
      </c>
      <c r="N21" s="62">
        <f t="shared" si="2"/>
        <v>2.5032941176470587</v>
      </c>
      <c r="O21" s="44" t="s">
        <v>38</v>
      </c>
      <c r="P21" s="44">
        <v>6300</v>
      </c>
      <c r="Q21" s="44">
        <v>14846</v>
      </c>
      <c r="R21" s="62">
        <f t="shared" si="3"/>
        <v>2.3565079365079367</v>
      </c>
      <c r="S21" s="44" t="s">
        <v>38</v>
      </c>
      <c r="T21" s="44">
        <v>5285</v>
      </c>
      <c r="U21" s="44">
        <v>22650</v>
      </c>
      <c r="V21" s="62">
        <f t="shared" si="4"/>
        <v>4.2857142857142856</v>
      </c>
      <c r="W21" s="44" t="s">
        <v>38</v>
      </c>
      <c r="X21" s="44">
        <v>3500</v>
      </c>
      <c r="Y21" s="44">
        <v>10437</v>
      </c>
      <c r="Z21" s="62">
        <f t="shared" si="5"/>
        <v>2.9820000000000002</v>
      </c>
      <c r="AA21" s="44">
        <v>3000</v>
      </c>
      <c r="AB21" s="44">
        <v>10154</v>
      </c>
      <c r="AC21" s="62">
        <f t="shared" si="6"/>
        <v>3.3846666666666665</v>
      </c>
      <c r="AD21" s="44" t="s">
        <v>38</v>
      </c>
      <c r="AE21" s="44">
        <v>2471.5</v>
      </c>
      <c r="AF21" s="44">
        <v>9611</v>
      </c>
      <c r="AG21" s="62">
        <f t="shared" si="7"/>
        <v>3.8887315395508799</v>
      </c>
      <c r="AH21" s="44">
        <v>1386</v>
      </c>
      <c r="AI21" s="44">
        <v>5389</v>
      </c>
      <c r="AJ21" s="62">
        <f t="shared" si="8"/>
        <v>3.8881673881673882</v>
      </c>
      <c r="AK21" s="44" t="s">
        <v>38</v>
      </c>
      <c r="AL21" s="44">
        <v>630</v>
      </c>
      <c r="AM21" s="44">
        <v>2594</v>
      </c>
      <c r="AN21" s="62">
        <f t="shared" si="9"/>
        <v>4.117460317460317</v>
      </c>
      <c r="AO21" s="44" t="s">
        <v>38</v>
      </c>
      <c r="AP21" s="44">
        <v>880</v>
      </c>
      <c r="AQ21" s="44">
        <v>2750</v>
      </c>
      <c r="AR21" s="62">
        <f t="shared" si="10"/>
        <v>3.125</v>
      </c>
      <c r="AS21" s="44" t="s">
        <v>38</v>
      </c>
      <c r="AT21" s="44">
        <v>2817</v>
      </c>
      <c r="AU21" s="44">
        <v>5282</v>
      </c>
      <c r="AV21" s="62">
        <f t="shared" si="11"/>
        <v>1.8750443734469293</v>
      </c>
      <c r="AW21" s="44">
        <v>3700</v>
      </c>
      <c r="AX21" s="44">
        <v>6169</v>
      </c>
      <c r="AY21" s="62">
        <f t="shared" si="12"/>
        <v>1.6672972972972973</v>
      </c>
      <c r="AZ21" s="44" t="s">
        <v>38</v>
      </c>
      <c r="BA21" s="44">
        <v>2770</v>
      </c>
      <c r="BB21" s="44">
        <v>4583</v>
      </c>
      <c r="BC21" s="62">
        <f t="shared" si="13"/>
        <v>1.6545126353790613</v>
      </c>
      <c r="BD21" s="44">
        <v>2943</v>
      </c>
      <c r="BE21" s="44">
        <v>4905</v>
      </c>
      <c r="BF21" s="62">
        <f t="shared" si="14"/>
        <v>1.6666666666666667</v>
      </c>
      <c r="BJ21" s="62" t="str">
        <f t="shared" si="15"/>
        <v/>
      </c>
      <c r="BM21" s="62" t="str">
        <f t="shared" si="16"/>
        <v/>
      </c>
      <c r="BQ21" s="62" t="str">
        <f t="shared" si="17"/>
        <v/>
      </c>
      <c r="BT21" s="62" t="str">
        <f t="shared" si="18"/>
        <v/>
      </c>
      <c r="BW21" s="62" t="str">
        <f t="shared" si="19"/>
        <v/>
      </c>
      <c r="CA21" s="62" t="str">
        <f t="shared" si="20"/>
        <v/>
      </c>
      <c r="CD21" s="62" t="str">
        <f t="shared" si="21"/>
        <v/>
      </c>
    </row>
    <row r="22" spans="1:82" x14ac:dyDescent="0.3">
      <c r="A22" s="53" t="s">
        <v>228</v>
      </c>
      <c r="B22" s="49" t="s">
        <v>104</v>
      </c>
      <c r="C22" s="44" t="s">
        <v>38</v>
      </c>
      <c r="D22" s="44">
        <v>1507</v>
      </c>
      <c r="E22" s="44">
        <v>1071</v>
      </c>
      <c r="F22" s="62">
        <f t="shared" si="0"/>
        <v>0.71068347710683477</v>
      </c>
      <c r="G22" s="44" t="s">
        <v>38</v>
      </c>
      <c r="H22" s="44">
        <v>1591</v>
      </c>
      <c r="I22" s="44">
        <v>1114</v>
      </c>
      <c r="J22" s="62">
        <f t="shared" si="1"/>
        <v>0.70018856065367696</v>
      </c>
      <c r="K22" s="44" t="s">
        <v>38</v>
      </c>
      <c r="L22" s="44">
        <v>1850</v>
      </c>
      <c r="M22" s="44">
        <v>1518</v>
      </c>
      <c r="N22" s="62">
        <f t="shared" si="2"/>
        <v>0.82054054054054049</v>
      </c>
      <c r="O22" s="44" t="s">
        <v>38</v>
      </c>
      <c r="P22" s="44">
        <v>2500</v>
      </c>
      <c r="Q22" s="44">
        <v>2308</v>
      </c>
      <c r="R22" s="62">
        <f t="shared" si="3"/>
        <v>0.92320000000000002</v>
      </c>
      <c r="S22" s="44" t="s">
        <v>38</v>
      </c>
      <c r="T22" s="44">
        <v>1833</v>
      </c>
      <c r="U22" s="44">
        <v>1571</v>
      </c>
      <c r="V22" s="62">
        <f t="shared" si="4"/>
        <v>0.85706492089470809</v>
      </c>
      <c r="W22" s="44" t="s">
        <v>38</v>
      </c>
      <c r="X22" s="44">
        <v>1375</v>
      </c>
      <c r="Y22" s="44">
        <v>1031</v>
      </c>
      <c r="Z22" s="62">
        <f t="shared" si="5"/>
        <v>0.74981818181818183</v>
      </c>
      <c r="AA22" s="44">
        <v>1208</v>
      </c>
      <c r="AB22" s="44">
        <v>892</v>
      </c>
      <c r="AC22" s="62">
        <f t="shared" si="6"/>
        <v>0.73841059602649006</v>
      </c>
      <c r="AD22" s="44" t="s">
        <v>38</v>
      </c>
      <c r="AE22" s="44">
        <v>1292</v>
      </c>
      <c r="AF22" s="44">
        <v>861</v>
      </c>
      <c r="AG22" s="62">
        <f t="shared" si="7"/>
        <v>0.66640866873065019</v>
      </c>
      <c r="AJ22" s="62" t="str">
        <f t="shared" si="8"/>
        <v/>
      </c>
      <c r="AK22" s="44" t="s">
        <v>38</v>
      </c>
      <c r="AL22" s="44">
        <v>500</v>
      </c>
      <c r="AM22" s="44">
        <v>353</v>
      </c>
      <c r="AN22" s="62">
        <f t="shared" si="9"/>
        <v>0.70599999999999996</v>
      </c>
      <c r="AO22" s="44" t="s">
        <v>38</v>
      </c>
      <c r="AP22" s="44">
        <v>600</v>
      </c>
      <c r="AQ22" s="44">
        <v>450</v>
      </c>
      <c r="AR22" s="62">
        <f t="shared" si="10"/>
        <v>0.75</v>
      </c>
      <c r="AS22" s="44" t="s">
        <v>38</v>
      </c>
      <c r="AT22" s="44">
        <v>550</v>
      </c>
      <c r="AU22" s="44">
        <v>412</v>
      </c>
      <c r="AV22" s="62">
        <f t="shared" si="11"/>
        <v>0.74909090909090914</v>
      </c>
      <c r="AW22" s="44">
        <v>500</v>
      </c>
      <c r="AX22" s="44">
        <v>400</v>
      </c>
      <c r="AY22" s="62">
        <f t="shared" si="12"/>
        <v>0.8</v>
      </c>
      <c r="AZ22" s="44" t="s">
        <v>38</v>
      </c>
      <c r="BA22" s="44">
        <v>600</v>
      </c>
      <c r="BB22" s="44">
        <v>480</v>
      </c>
      <c r="BC22" s="62">
        <f t="shared" si="13"/>
        <v>0.8</v>
      </c>
      <c r="BD22" s="44">
        <v>280</v>
      </c>
      <c r="BE22" s="44">
        <v>224</v>
      </c>
      <c r="BF22" s="62">
        <f t="shared" si="14"/>
        <v>0.8</v>
      </c>
      <c r="BG22" s="44" t="s">
        <v>38</v>
      </c>
      <c r="BH22" s="44">
        <v>8</v>
      </c>
      <c r="BI22" s="44">
        <v>55</v>
      </c>
      <c r="BJ22" s="62">
        <f t="shared" si="15"/>
        <v>6.875</v>
      </c>
      <c r="BM22" s="62" t="str">
        <f t="shared" si="16"/>
        <v/>
      </c>
      <c r="BN22" s="44" t="s">
        <v>38</v>
      </c>
      <c r="BQ22" s="62" t="str">
        <f t="shared" si="17"/>
        <v/>
      </c>
      <c r="BR22" s="44">
        <v>98</v>
      </c>
      <c r="BS22" s="44">
        <v>44</v>
      </c>
      <c r="BT22" s="62">
        <f t="shared" si="18"/>
        <v>0.44897959183673469</v>
      </c>
      <c r="BU22" s="44">
        <v>75</v>
      </c>
      <c r="BV22" s="44">
        <v>85</v>
      </c>
      <c r="BW22" s="62">
        <f t="shared" si="19"/>
        <v>1.1333333333333333</v>
      </c>
      <c r="BX22" s="44" t="s">
        <v>38</v>
      </c>
      <c r="BY22" s="44">
        <v>51.75</v>
      </c>
      <c r="BZ22" s="44">
        <v>38</v>
      </c>
      <c r="CA22" s="62">
        <f t="shared" si="20"/>
        <v>0.7342995169082126</v>
      </c>
      <c r="CB22" s="44">
        <v>25.25</v>
      </c>
      <c r="CC22" s="44">
        <v>17</v>
      </c>
      <c r="CD22" s="62">
        <f t="shared" si="21"/>
        <v>0.67326732673267331</v>
      </c>
    </row>
    <row r="23" spans="1:82" x14ac:dyDescent="0.3">
      <c r="A23" s="49" t="s">
        <v>229</v>
      </c>
      <c r="B23" s="49" t="s">
        <v>294</v>
      </c>
      <c r="C23" s="44" t="s">
        <v>64</v>
      </c>
      <c r="D23" s="44">
        <v>1770</v>
      </c>
      <c r="E23" s="44">
        <v>70357</v>
      </c>
      <c r="F23" s="62">
        <f t="shared" si="0"/>
        <v>39.749717514124292</v>
      </c>
      <c r="G23" s="44" t="s">
        <v>64</v>
      </c>
      <c r="H23" s="44">
        <v>2256</v>
      </c>
      <c r="I23" s="44">
        <v>101266</v>
      </c>
      <c r="J23" s="62">
        <f t="shared" si="1"/>
        <v>44.887411347517734</v>
      </c>
      <c r="K23" s="44" t="s">
        <v>64</v>
      </c>
      <c r="L23" s="44">
        <v>3100</v>
      </c>
      <c r="M23" s="44">
        <v>99829</v>
      </c>
      <c r="N23" s="62">
        <f t="shared" si="2"/>
        <v>32.202903225806452</v>
      </c>
      <c r="O23" s="76" t="s">
        <v>64</v>
      </c>
      <c r="P23" s="44">
        <v>3081</v>
      </c>
      <c r="Q23" s="44">
        <v>111615</v>
      </c>
      <c r="R23" s="62">
        <f t="shared" si="3"/>
        <v>36.226874391431352</v>
      </c>
      <c r="S23" s="44" t="s">
        <v>38</v>
      </c>
      <c r="T23" s="32">
        <f>$F$198*4212</f>
        <v>12636</v>
      </c>
      <c r="U23" s="32">
        <v>95714</v>
      </c>
      <c r="V23" s="62">
        <f t="shared" si="4"/>
        <v>7.5747071858182968</v>
      </c>
      <c r="W23" s="44" t="s">
        <v>38</v>
      </c>
      <c r="X23" s="44">
        <f>$F$198*3800</f>
        <v>11400</v>
      </c>
      <c r="Y23" s="44">
        <v>82937</v>
      </c>
      <c r="Z23" s="62">
        <f t="shared" si="5"/>
        <v>7.2751754385964915</v>
      </c>
      <c r="AA23" s="44">
        <f>$F$198*3353</f>
        <v>10059</v>
      </c>
      <c r="AB23" s="44">
        <v>76111</v>
      </c>
      <c r="AC23" s="62">
        <f t="shared" si="6"/>
        <v>7.5664578983994435</v>
      </c>
      <c r="AD23" s="44" t="s">
        <v>38</v>
      </c>
      <c r="AE23" s="44">
        <f>$F$198*2935</f>
        <v>8805</v>
      </c>
      <c r="AF23" s="44">
        <v>64566</v>
      </c>
      <c r="AG23" s="62">
        <f t="shared" si="7"/>
        <v>7.3328790459965925</v>
      </c>
      <c r="AH23" s="44">
        <f>$F$198*2750</f>
        <v>8250</v>
      </c>
      <c r="AI23" s="44">
        <v>53889</v>
      </c>
      <c r="AJ23" s="62">
        <f t="shared" si="8"/>
        <v>6.532</v>
      </c>
      <c r="AN23" s="62" t="str">
        <f t="shared" si="9"/>
        <v/>
      </c>
      <c r="AR23" s="62" t="str">
        <f t="shared" si="10"/>
        <v/>
      </c>
      <c r="AV23" s="62" t="str">
        <f t="shared" si="11"/>
        <v/>
      </c>
      <c r="AY23" s="62" t="str">
        <f t="shared" si="12"/>
        <v/>
      </c>
      <c r="AZ23" s="44" t="s">
        <v>38</v>
      </c>
      <c r="BA23" s="44">
        <f>$F$198*877</f>
        <v>2631</v>
      </c>
      <c r="BB23" s="44">
        <v>26227</v>
      </c>
      <c r="BC23" s="62">
        <f t="shared" si="13"/>
        <v>9.9684530596731289</v>
      </c>
      <c r="BD23" s="44">
        <f>$F$198*723</f>
        <v>2169</v>
      </c>
      <c r="BE23" s="44">
        <v>23133</v>
      </c>
      <c r="BF23" s="62">
        <f t="shared" si="14"/>
        <v>10.665283540802212</v>
      </c>
      <c r="BJ23" s="62" t="str">
        <f t="shared" si="15"/>
        <v/>
      </c>
      <c r="BM23" s="62" t="str">
        <f t="shared" si="16"/>
        <v/>
      </c>
      <c r="BN23" s="44" t="s">
        <v>38</v>
      </c>
      <c r="BQ23" s="62" t="str">
        <f t="shared" si="17"/>
        <v/>
      </c>
      <c r="BR23" s="44">
        <v>428.25</v>
      </c>
      <c r="BS23" s="44">
        <v>2080</v>
      </c>
      <c r="BT23" s="62">
        <f t="shared" si="18"/>
        <v>4.8569760653823701</v>
      </c>
      <c r="BU23" s="44">
        <v>838</v>
      </c>
      <c r="BV23" s="44">
        <v>4112</v>
      </c>
      <c r="BW23" s="62">
        <f t="shared" si="19"/>
        <v>4.9069212410501191</v>
      </c>
      <c r="BX23" s="44" t="s">
        <v>38</v>
      </c>
      <c r="BY23" s="44">
        <v>287</v>
      </c>
      <c r="BZ23" s="44">
        <v>1404</v>
      </c>
      <c r="CA23" s="62">
        <f t="shared" si="20"/>
        <v>4.8919860627177698</v>
      </c>
      <c r="CB23" s="44">
        <v>893.5</v>
      </c>
      <c r="CC23" s="44">
        <v>5300</v>
      </c>
      <c r="CD23" s="62">
        <f t="shared" si="21"/>
        <v>5.9317291550083944</v>
      </c>
    </row>
    <row r="24" spans="1:82" x14ac:dyDescent="0.3">
      <c r="A24" s="49" t="s">
        <v>230</v>
      </c>
      <c r="B24" s="49" t="s">
        <v>104</v>
      </c>
      <c r="C24" s="44" t="s">
        <v>38</v>
      </c>
      <c r="F24" s="62" t="str">
        <f t="shared" si="0"/>
        <v/>
      </c>
      <c r="J24" s="62" t="str">
        <f t="shared" si="1"/>
        <v/>
      </c>
      <c r="N24" s="62" t="str">
        <f t="shared" si="2"/>
        <v/>
      </c>
      <c r="R24" s="62" t="str">
        <f t="shared" si="3"/>
        <v/>
      </c>
      <c r="T24" s="32"/>
      <c r="U24" s="32"/>
      <c r="V24" s="62" t="str">
        <f t="shared" si="4"/>
        <v/>
      </c>
      <c r="Z24" s="62" t="str">
        <f t="shared" si="5"/>
        <v/>
      </c>
      <c r="AC24" s="62" t="str">
        <f t="shared" si="6"/>
        <v/>
      </c>
      <c r="AG24" s="62" t="str">
        <f t="shared" si="7"/>
        <v/>
      </c>
      <c r="AJ24" s="62" t="str">
        <f t="shared" si="8"/>
        <v/>
      </c>
      <c r="AK24" s="44" t="s">
        <v>38</v>
      </c>
      <c r="AL24" s="44">
        <f>$F$198*200</f>
        <v>600</v>
      </c>
      <c r="AM24" s="44">
        <v>5323</v>
      </c>
      <c r="AN24" s="62">
        <f t="shared" si="9"/>
        <v>8.8716666666666661</v>
      </c>
      <c r="AO24" s="44" t="s">
        <v>38</v>
      </c>
      <c r="AP24" s="54">
        <f>$F$198*236</f>
        <v>708</v>
      </c>
      <c r="AQ24" s="44">
        <v>5900</v>
      </c>
      <c r="AR24" s="62">
        <f t="shared" si="10"/>
        <v>8.3333333333333339</v>
      </c>
      <c r="AS24" s="44" t="s">
        <v>38</v>
      </c>
      <c r="AT24" s="44">
        <f>$F$198*205</f>
        <v>615</v>
      </c>
      <c r="AU24" s="44">
        <v>3203</v>
      </c>
      <c r="AV24" s="62">
        <f t="shared" si="11"/>
        <v>5.2081300813008129</v>
      </c>
      <c r="AW24" s="44">
        <f>$F$198*120</f>
        <v>360</v>
      </c>
      <c r="AX24" s="44">
        <v>4800</v>
      </c>
      <c r="AY24" s="62">
        <f t="shared" si="12"/>
        <v>13.333333333333334</v>
      </c>
      <c r="BC24" s="62" t="str">
        <f t="shared" si="13"/>
        <v/>
      </c>
      <c r="BF24" s="62" t="str">
        <f t="shared" si="14"/>
        <v/>
      </c>
      <c r="BG24" s="44" t="s">
        <v>38</v>
      </c>
      <c r="BH24" s="44">
        <v>658</v>
      </c>
      <c r="BI24" s="44">
        <v>1636</v>
      </c>
      <c r="BJ24" s="62">
        <f t="shared" si="15"/>
        <v>2.4863221884498481</v>
      </c>
      <c r="BK24" s="44">
        <v>496</v>
      </c>
      <c r="BL24" s="44">
        <v>2010</v>
      </c>
      <c r="BM24" s="62">
        <f t="shared" si="16"/>
        <v>4.05241935483871</v>
      </c>
      <c r="BN24" s="44" t="s">
        <v>38</v>
      </c>
      <c r="BO24" s="44">
        <v>295</v>
      </c>
      <c r="BP24" s="44">
        <v>1581</v>
      </c>
      <c r="BQ24" s="62">
        <f t="shared" si="17"/>
        <v>5.3593220338983052</v>
      </c>
      <c r="BT24" s="62" t="str">
        <f t="shared" si="18"/>
        <v/>
      </c>
      <c r="BW24" s="62" t="str">
        <f t="shared" si="19"/>
        <v/>
      </c>
      <c r="CA24" s="62" t="str">
        <f t="shared" si="20"/>
        <v/>
      </c>
      <c r="CD24" s="62" t="str">
        <f t="shared" si="21"/>
        <v/>
      </c>
    </row>
    <row r="25" spans="1:82" x14ac:dyDescent="0.3">
      <c r="A25" s="49" t="s">
        <v>231</v>
      </c>
      <c r="B25" s="49" t="s">
        <v>104</v>
      </c>
      <c r="C25" s="44" t="s">
        <v>38</v>
      </c>
      <c r="F25" s="62" t="str">
        <f t="shared" si="0"/>
        <v/>
      </c>
      <c r="J25" s="62" t="str">
        <f t="shared" si="1"/>
        <v/>
      </c>
      <c r="N25" s="62" t="str">
        <f t="shared" si="2"/>
        <v/>
      </c>
      <c r="R25" s="62" t="str">
        <f t="shared" si="3"/>
        <v/>
      </c>
      <c r="T25" s="32"/>
      <c r="U25" s="32"/>
      <c r="V25" s="62" t="str">
        <f t="shared" si="4"/>
        <v/>
      </c>
      <c r="Z25" s="62" t="str">
        <f t="shared" si="5"/>
        <v/>
      </c>
      <c r="AC25" s="62" t="str">
        <f t="shared" si="6"/>
        <v/>
      </c>
      <c r="AG25" s="62" t="str">
        <f t="shared" si="7"/>
        <v/>
      </c>
      <c r="AJ25" s="62" t="str">
        <f t="shared" si="8"/>
        <v/>
      </c>
      <c r="AK25" s="44" t="s">
        <v>38</v>
      </c>
      <c r="AL25" s="44">
        <f>$F$198*305</f>
        <v>915</v>
      </c>
      <c r="AM25" s="44">
        <v>6235</v>
      </c>
      <c r="AN25" s="62">
        <f t="shared" si="9"/>
        <v>6.8142076502732243</v>
      </c>
      <c r="AO25" s="44" t="s">
        <v>38</v>
      </c>
      <c r="AP25" s="54">
        <f>$F$198*405</f>
        <v>1215</v>
      </c>
      <c r="AQ25" s="44">
        <v>7250</v>
      </c>
      <c r="AR25" s="62">
        <f t="shared" si="10"/>
        <v>5.9670781893004117</v>
      </c>
      <c r="AS25" s="44" t="s">
        <v>38</v>
      </c>
      <c r="AT25" s="44">
        <f>$F$198*282</f>
        <v>846</v>
      </c>
      <c r="AU25" s="44">
        <v>5288</v>
      </c>
      <c r="AV25" s="62">
        <f t="shared" si="11"/>
        <v>6.2505910165484631</v>
      </c>
      <c r="AW25" s="44">
        <f>$F$198*182</f>
        <v>546</v>
      </c>
      <c r="AX25" s="44">
        <v>3640</v>
      </c>
      <c r="AY25" s="62">
        <f t="shared" si="12"/>
        <v>6.666666666666667</v>
      </c>
      <c r="BC25" s="62" t="str">
        <f t="shared" si="13"/>
        <v/>
      </c>
      <c r="BF25" s="62" t="str">
        <f t="shared" si="14"/>
        <v/>
      </c>
      <c r="BJ25" s="62" t="str">
        <f t="shared" si="15"/>
        <v/>
      </c>
      <c r="BM25" s="62" t="str">
        <f t="shared" si="16"/>
        <v/>
      </c>
      <c r="BQ25" s="62" t="str">
        <f t="shared" si="17"/>
        <v/>
      </c>
      <c r="BT25" s="62" t="str">
        <f t="shared" si="18"/>
        <v/>
      </c>
      <c r="BW25" s="62" t="str">
        <f t="shared" si="19"/>
        <v/>
      </c>
      <c r="CA25" s="62" t="str">
        <f t="shared" si="20"/>
        <v/>
      </c>
      <c r="CD25" s="62" t="str">
        <f t="shared" si="21"/>
        <v/>
      </c>
    </row>
    <row r="26" spans="1:82" x14ac:dyDescent="0.3">
      <c r="A26" s="49" t="s">
        <v>233</v>
      </c>
      <c r="B26" s="49" t="s">
        <v>104</v>
      </c>
      <c r="C26" s="44" t="s">
        <v>38</v>
      </c>
      <c r="F26" s="62" t="str">
        <f t="shared" si="0"/>
        <v/>
      </c>
      <c r="J26" s="62" t="str">
        <f t="shared" si="1"/>
        <v/>
      </c>
      <c r="N26" s="62" t="str">
        <f t="shared" si="2"/>
        <v/>
      </c>
      <c r="R26" s="62" t="str">
        <f t="shared" si="3"/>
        <v/>
      </c>
      <c r="T26" s="32"/>
      <c r="U26" s="32"/>
      <c r="V26" s="62" t="str">
        <f t="shared" si="4"/>
        <v/>
      </c>
      <c r="Z26" s="62" t="str">
        <f t="shared" si="5"/>
        <v/>
      </c>
      <c r="AC26" s="62" t="str">
        <f t="shared" si="6"/>
        <v/>
      </c>
      <c r="AG26" s="62" t="str">
        <f t="shared" si="7"/>
        <v/>
      </c>
      <c r="AJ26" s="62" t="str">
        <f t="shared" si="8"/>
        <v/>
      </c>
      <c r="AK26" s="44" t="s">
        <v>38</v>
      </c>
      <c r="AL26" s="44">
        <f>$F$198*439</f>
        <v>1317</v>
      </c>
      <c r="AM26" s="44">
        <v>9647</v>
      </c>
      <c r="AN26" s="62">
        <f t="shared" si="9"/>
        <v>7.3249810174639336</v>
      </c>
      <c r="AO26" s="44" t="s">
        <v>38</v>
      </c>
      <c r="AP26" s="54">
        <f>$F$198*315</f>
        <v>945</v>
      </c>
      <c r="AQ26" s="44">
        <v>8907</v>
      </c>
      <c r="AR26" s="62">
        <f t="shared" si="10"/>
        <v>9.4253968253968257</v>
      </c>
      <c r="AS26" s="44" t="s">
        <v>38</v>
      </c>
      <c r="AT26" s="44">
        <f>$F$198*219</f>
        <v>657</v>
      </c>
      <c r="AU26" s="44">
        <v>6844</v>
      </c>
      <c r="AV26" s="62">
        <f t="shared" si="11"/>
        <v>10.417047184170471</v>
      </c>
      <c r="AW26" s="44">
        <f>$F$198*103</f>
        <v>309</v>
      </c>
      <c r="AX26" s="44">
        <v>3472</v>
      </c>
      <c r="AY26" s="62">
        <f t="shared" si="12"/>
        <v>11.236245954692556</v>
      </c>
      <c r="BC26" s="62" t="str">
        <f t="shared" si="13"/>
        <v/>
      </c>
      <c r="BF26" s="62" t="str">
        <f t="shared" si="14"/>
        <v/>
      </c>
      <c r="BJ26" s="62" t="str">
        <f t="shared" si="15"/>
        <v/>
      </c>
      <c r="BM26" s="62" t="str">
        <f t="shared" si="16"/>
        <v/>
      </c>
      <c r="BQ26" s="62" t="str">
        <f t="shared" si="17"/>
        <v/>
      </c>
      <c r="BT26" s="62" t="str">
        <f t="shared" si="18"/>
        <v/>
      </c>
      <c r="BW26" s="62" t="str">
        <f t="shared" si="19"/>
        <v/>
      </c>
      <c r="CA26" s="62" t="str">
        <f t="shared" si="20"/>
        <v/>
      </c>
      <c r="CD26" s="62" t="str">
        <f t="shared" si="21"/>
        <v/>
      </c>
    </row>
    <row r="27" spans="1:82" x14ac:dyDescent="0.3">
      <c r="A27" s="49" t="s">
        <v>235</v>
      </c>
      <c r="B27" s="49" t="s">
        <v>104</v>
      </c>
      <c r="C27" s="44" t="s">
        <v>38</v>
      </c>
      <c r="F27" s="62" t="str">
        <f t="shared" si="0"/>
        <v/>
      </c>
      <c r="J27" s="62" t="str">
        <f t="shared" si="1"/>
        <v/>
      </c>
      <c r="N27" s="62" t="str">
        <f t="shared" si="2"/>
        <v/>
      </c>
      <c r="R27" s="62" t="str">
        <f t="shared" si="3"/>
        <v/>
      </c>
      <c r="T27" s="32"/>
      <c r="U27" s="32"/>
      <c r="V27" s="62" t="str">
        <f t="shared" si="4"/>
        <v/>
      </c>
      <c r="Z27" s="62" t="str">
        <f t="shared" si="5"/>
        <v/>
      </c>
      <c r="AC27" s="62" t="str">
        <f t="shared" si="6"/>
        <v/>
      </c>
      <c r="AG27" s="62" t="str">
        <f t="shared" si="7"/>
        <v/>
      </c>
      <c r="AJ27" s="62" t="str">
        <f t="shared" si="8"/>
        <v/>
      </c>
      <c r="AK27" s="44" t="s">
        <v>38</v>
      </c>
      <c r="AL27" s="44">
        <f>$F$198*476</f>
        <v>1428</v>
      </c>
      <c r="AM27" s="44">
        <v>10470</v>
      </c>
      <c r="AN27" s="62">
        <f t="shared" si="9"/>
        <v>7.3319327731092434</v>
      </c>
      <c r="AO27" s="44" t="s">
        <v>38</v>
      </c>
      <c r="AP27" s="54">
        <f>$F$198*810</f>
        <v>2430</v>
      </c>
      <c r="AQ27" s="44">
        <v>24687</v>
      </c>
      <c r="AR27" s="62">
        <f t="shared" si="10"/>
        <v>10.15925925925926</v>
      </c>
      <c r="AS27" s="44" t="s">
        <v>38</v>
      </c>
      <c r="AT27" s="44">
        <f>$F$198*490</f>
        <v>1470</v>
      </c>
      <c r="AU27" s="44">
        <v>15312</v>
      </c>
      <c r="AV27" s="62">
        <f t="shared" si="11"/>
        <v>10.416326530612245</v>
      </c>
      <c r="AW27" s="44">
        <f>$F$198*275</f>
        <v>825</v>
      </c>
      <c r="AX27" s="44">
        <v>8832</v>
      </c>
      <c r="AY27" s="62">
        <f t="shared" si="12"/>
        <v>10.705454545454545</v>
      </c>
      <c r="BC27" s="62" t="str">
        <f t="shared" si="13"/>
        <v/>
      </c>
      <c r="BF27" s="62" t="str">
        <f t="shared" si="14"/>
        <v/>
      </c>
      <c r="BG27" s="44" t="s">
        <v>38</v>
      </c>
      <c r="BJ27" s="62" t="str">
        <f t="shared" si="15"/>
        <v/>
      </c>
      <c r="BK27" s="44">
        <v>282</v>
      </c>
      <c r="BL27" s="44">
        <v>256</v>
      </c>
      <c r="BM27" s="62">
        <f t="shared" si="16"/>
        <v>0.90780141843971629</v>
      </c>
      <c r="BN27" s="44" t="s">
        <v>38</v>
      </c>
      <c r="BO27" s="44">
        <v>338</v>
      </c>
      <c r="BP27" s="44">
        <v>774</v>
      </c>
      <c r="BQ27" s="62">
        <f t="shared" si="17"/>
        <v>2.2899408284023668</v>
      </c>
      <c r="BT27" s="62" t="str">
        <f t="shared" si="18"/>
        <v/>
      </c>
      <c r="BW27" s="62" t="str">
        <f t="shared" si="19"/>
        <v/>
      </c>
      <c r="CA27" s="62" t="str">
        <f t="shared" si="20"/>
        <v/>
      </c>
      <c r="CD27" s="62" t="str">
        <f t="shared" si="21"/>
        <v/>
      </c>
    </row>
    <row r="28" spans="1:82" x14ac:dyDescent="0.3">
      <c r="A28" s="49" t="s">
        <v>11</v>
      </c>
      <c r="B28" s="49" t="s">
        <v>104</v>
      </c>
      <c r="C28" s="44" t="s">
        <v>38</v>
      </c>
      <c r="F28" s="62" t="str">
        <f t="shared" si="0"/>
        <v/>
      </c>
      <c r="J28" s="62" t="str">
        <f t="shared" si="1"/>
        <v/>
      </c>
      <c r="N28" s="62" t="str">
        <f t="shared" si="2"/>
        <v/>
      </c>
      <c r="R28" s="62" t="str">
        <f t="shared" si="3"/>
        <v/>
      </c>
      <c r="T28" s="32"/>
      <c r="U28" s="32"/>
      <c r="V28" s="62" t="str">
        <f t="shared" si="4"/>
        <v/>
      </c>
      <c r="Z28" s="62" t="str">
        <f t="shared" si="5"/>
        <v/>
      </c>
      <c r="AC28" s="62" t="str">
        <f t="shared" si="6"/>
        <v/>
      </c>
      <c r="AG28" s="62" t="str">
        <f t="shared" si="7"/>
        <v/>
      </c>
      <c r="AJ28" s="62" t="str">
        <f t="shared" si="8"/>
        <v/>
      </c>
      <c r="AN28" s="62" t="str">
        <f t="shared" si="9"/>
        <v/>
      </c>
      <c r="AO28" s="44" t="s">
        <v>38</v>
      </c>
      <c r="AP28" s="44">
        <v>200</v>
      </c>
      <c r="AQ28" s="44">
        <v>225</v>
      </c>
      <c r="AR28" s="62">
        <f t="shared" si="10"/>
        <v>1.125</v>
      </c>
      <c r="AS28" s="44" t="s">
        <v>38</v>
      </c>
      <c r="AT28" s="44">
        <v>280</v>
      </c>
      <c r="AU28" s="44">
        <v>263</v>
      </c>
      <c r="AV28" s="62">
        <f t="shared" si="11"/>
        <v>0.93928571428571428</v>
      </c>
      <c r="AW28" s="44">
        <v>650</v>
      </c>
      <c r="AX28" s="44">
        <v>650</v>
      </c>
      <c r="AY28" s="62">
        <f t="shared" si="12"/>
        <v>1</v>
      </c>
      <c r="AZ28" s="44" t="s">
        <v>38</v>
      </c>
      <c r="BA28" s="44">
        <v>400</v>
      </c>
      <c r="BB28" s="44">
        <v>400</v>
      </c>
      <c r="BC28" s="62">
        <f t="shared" si="13"/>
        <v>1</v>
      </c>
      <c r="BD28" s="44">
        <v>400</v>
      </c>
      <c r="BE28" s="44">
        <v>384</v>
      </c>
      <c r="BF28" s="62">
        <f t="shared" si="14"/>
        <v>0.96</v>
      </c>
      <c r="BG28" s="44" t="s">
        <v>38</v>
      </c>
      <c r="BH28" s="44">
        <v>228</v>
      </c>
      <c r="BI28" s="44">
        <v>419</v>
      </c>
      <c r="BJ28" s="62">
        <f t="shared" si="15"/>
        <v>1.8377192982456141</v>
      </c>
      <c r="BK28" s="44">
        <v>228</v>
      </c>
      <c r="BL28" s="44">
        <v>446</v>
      </c>
      <c r="BM28" s="62">
        <f t="shared" si="16"/>
        <v>1.9561403508771931</v>
      </c>
      <c r="BN28" s="44" t="s">
        <v>38</v>
      </c>
      <c r="BO28" s="44">
        <v>38</v>
      </c>
      <c r="BP28" s="44">
        <v>63</v>
      </c>
      <c r="BQ28" s="62">
        <f t="shared" si="17"/>
        <v>1.6578947368421053</v>
      </c>
      <c r="BR28" s="44">
        <v>175</v>
      </c>
      <c r="BS28" s="44">
        <v>295</v>
      </c>
      <c r="BT28" s="62">
        <f t="shared" si="18"/>
        <v>1.6857142857142857</v>
      </c>
      <c r="BU28" s="44">
        <v>153</v>
      </c>
      <c r="BV28" s="44">
        <v>331</v>
      </c>
      <c r="BW28" s="62">
        <f t="shared" si="19"/>
        <v>2.1633986928104574</v>
      </c>
      <c r="BX28" s="44" t="s">
        <v>38</v>
      </c>
      <c r="BY28" s="44">
        <v>117</v>
      </c>
      <c r="BZ28" s="44">
        <v>298</v>
      </c>
      <c r="CA28" s="62">
        <f t="shared" si="20"/>
        <v>2.5470085470085468</v>
      </c>
      <c r="CB28" s="44">
        <v>144</v>
      </c>
      <c r="CC28" s="44">
        <v>405</v>
      </c>
      <c r="CD28" s="62">
        <f t="shared" si="21"/>
        <v>2.8125</v>
      </c>
    </row>
    <row r="29" spans="1:82" x14ac:dyDescent="0.3">
      <c r="A29" s="49" t="s">
        <v>339</v>
      </c>
      <c r="B29" s="49" t="s">
        <v>104</v>
      </c>
      <c r="C29" s="44" t="s">
        <v>38</v>
      </c>
      <c r="D29" s="44">
        <v>657</v>
      </c>
      <c r="E29" s="44">
        <v>1757</v>
      </c>
      <c r="F29" s="62">
        <f t="shared" si="0"/>
        <v>2.6742770167427703</v>
      </c>
      <c r="G29" s="44" t="s">
        <v>38</v>
      </c>
      <c r="H29" s="44">
        <v>482</v>
      </c>
      <c r="I29" s="44">
        <v>1654</v>
      </c>
      <c r="J29" s="62">
        <f t="shared" si="1"/>
        <v>3.4315352697095434</v>
      </c>
      <c r="K29" s="44" t="s">
        <v>38</v>
      </c>
      <c r="L29" s="44">
        <v>725</v>
      </c>
      <c r="M29" s="44">
        <v>1983</v>
      </c>
      <c r="N29" s="62">
        <f t="shared" si="2"/>
        <v>2.7351724137931033</v>
      </c>
      <c r="O29" s="44" t="s">
        <v>38</v>
      </c>
      <c r="P29" s="44">
        <v>1000</v>
      </c>
      <c r="Q29" s="44">
        <v>3077</v>
      </c>
      <c r="R29" s="62">
        <f t="shared" si="3"/>
        <v>3.077</v>
      </c>
      <c r="S29" s="44" t="s">
        <v>38</v>
      </c>
      <c r="T29" s="44">
        <v>1236</v>
      </c>
      <c r="U29" s="44">
        <v>3179</v>
      </c>
      <c r="V29" s="62">
        <f t="shared" si="4"/>
        <v>2.5720064724919092</v>
      </c>
      <c r="W29" s="44" t="s">
        <v>38</v>
      </c>
      <c r="X29" s="44">
        <v>1125</v>
      </c>
      <c r="Y29" s="44">
        <v>2531</v>
      </c>
      <c r="Z29" s="62">
        <f t="shared" si="5"/>
        <v>2.2497777777777777</v>
      </c>
      <c r="AA29" s="44">
        <v>1154</v>
      </c>
      <c r="AB29" s="44">
        <v>2557</v>
      </c>
      <c r="AC29" s="62">
        <f t="shared" si="6"/>
        <v>2.2157712305025998</v>
      </c>
      <c r="AD29" s="44" t="s">
        <v>38</v>
      </c>
      <c r="AE29" s="44">
        <v>1236</v>
      </c>
      <c r="AF29" s="44">
        <v>2472</v>
      </c>
      <c r="AG29" s="62">
        <f t="shared" si="7"/>
        <v>2</v>
      </c>
      <c r="AH29" s="44">
        <v>748</v>
      </c>
      <c r="AI29" s="44">
        <v>1667</v>
      </c>
      <c r="AJ29" s="62">
        <f t="shared" si="8"/>
        <v>2.2286096256684491</v>
      </c>
      <c r="AK29" s="44" t="s">
        <v>38</v>
      </c>
      <c r="AL29" s="44">
        <v>300</v>
      </c>
      <c r="AM29" s="44">
        <v>706</v>
      </c>
      <c r="AN29" s="62">
        <f t="shared" si="9"/>
        <v>2.3533333333333335</v>
      </c>
      <c r="AO29" s="44" t="s">
        <v>38</v>
      </c>
      <c r="AP29" s="44">
        <v>150</v>
      </c>
      <c r="AQ29" s="44">
        <v>469</v>
      </c>
      <c r="AR29" s="62">
        <f t="shared" si="10"/>
        <v>3.1266666666666665</v>
      </c>
      <c r="AS29" s="44" t="s">
        <v>38</v>
      </c>
      <c r="AT29" s="44">
        <v>340</v>
      </c>
      <c r="AU29" s="44">
        <v>1062</v>
      </c>
      <c r="AV29" s="62">
        <f t="shared" si="11"/>
        <v>3.1235294117647059</v>
      </c>
      <c r="AW29" s="44">
        <v>70</v>
      </c>
      <c r="AX29" s="44">
        <v>235</v>
      </c>
      <c r="AY29" s="62">
        <f t="shared" si="12"/>
        <v>3.3571428571428572</v>
      </c>
      <c r="AZ29" s="44" t="s">
        <v>38</v>
      </c>
      <c r="BA29" s="44">
        <v>125</v>
      </c>
      <c r="BB29" s="44">
        <v>416</v>
      </c>
      <c r="BC29" s="62">
        <f t="shared" si="13"/>
        <v>3.3279999999999998</v>
      </c>
      <c r="BD29" s="44">
        <v>45</v>
      </c>
      <c r="BE29" s="44">
        <v>150</v>
      </c>
      <c r="BF29" s="62">
        <f t="shared" si="14"/>
        <v>3.3333333333333335</v>
      </c>
      <c r="BJ29" s="62" t="str">
        <f t="shared" si="15"/>
        <v/>
      </c>
      <c r="BM29" s="62" t="str">
        <f t="shared" si="16"/>
        <v/>
      </c>
      <c r="BQ29" s="62" t="str">
        <f t="shared" si="17"/>
        <v/>
      </c>
      <c r="BT29" s="62" t="str">
        <f t="shared" si="18"/>
        <v/>
      </c>
      <c r="BW29" s="62" t="str">
        <f t="shared" si="19"/>
        <v/>
      </c>
      <c r="BX29" s="44" t="s">
        <v>38</v>
      </c>
      <c r="BY29" s="44">
        <v>1.5</v>
      </c>
      <c r="BZ29" s="44">
        <v>1</v>
      </c>
      <c r="CA29" s="62">
        <f t="shared" si="20"/>
        <v>0.66666666666666663</v>
      </c>
      <c r="CB29" s="44">
        <v>5</v>
      </c>
      <c r="CC29" s="44">
        <v>19</v>
      </c>
      <c r="CD29" s="62">
        <f t="shared" si="21"/>
        <v>3.8</v>
      </c>
    </row>
    <row r="30" spans="1:82" x14ac:dyDescent="0.3">
      <c r="A30" s="49" t="s">
        <v>1</v>
      </c>
      <c r="B30" s="49" t="s">
        <v>104</v>
      </c>
      <c r="C30" s="44" t="s">
        <v>38</v>
      </c>
      <c r="D30" s="44">
        <v>25000</v>
      </c>
      <c r="E30" s="44">
        <v>4393</v>
      </c>
      <c r="F30" s="62">
        <f t="shared" si="0"/>
        <v>0.17571999999999999</v>
      </c>
      <c r="G30" s="44" t="s">
        <v>38</v>
      </c>
      <c r="H30" s="44">
        <v>26036</v>
      </c>
      <c r="I30" s="44">
        <v>2869</v>
      </c>
      <c r="J30" s="62">
        <f t="shared" si="1"/>
        <v>0.11019357812259947</v>
      </c>
      <c r="K30" s="44" t="s">
        <v>38</v>
      </c>
      <c r="L30" s="44">
        <v>20400</v>
      </c>
      <c r="M30" s="44">
        <v>2790</v>
      </c>
      <c r="N30" s="62">
        <f t="shared" si="2"/>
        <v>0.13676470588235295</v>
      </c>
      <c r="O30" s="44" t="s">
        <v>38</v>
      </c>
      <c r="P30" s="44">
        <v>21500</v>
      </c>
      <c r="Q30" s="44">
        <v>3308</v>
      </c>
      <c r="R30" s="62">
        <f t="shared" si="3"/>
        <v>0.15386046511627907</v>
      </c>
      <c r="S30" s="44" t="s">
        <v>38</v>
      </c>
      <c r="T30" s="44">
        <v>27500</v>
      </c>
      <c r="U30" s="44">
        <v>3929</v>
      </c>
      <c r="V30" s="62">
        <f t="shared" si="4"/>
        <v>0.14287272727272726</v>
      </c>
      <c r="W30" s="44" t="s">
        <v>38</v>
      </c>
      <c r="X30" s="44">
        <v>42000</v>
      </c>
      <c r="Y30" s="44">
        <v>5312</v>
      </c>
      <c r="Z30" s="62">
        <f t="shared" si="5"/>
        <v>0.12647619047619046</v>
      </c>
      <c r="AA30" s="44">
        <v>37333</v>
      </c>
      <c r="AB30" s="44">
        <v>6892</v>
      </c>
      <c r="AC30" s="62">
        <f t="shared" si="6"/>
        <v>0.18460879114992099</v>
      </c>
      <c r="AD30" s="44" t="s">
        <v>38</v>
      </c>
      <c r="AE30" s="44">
        <v>42000</v>
      </c>
      <c r="AF30" s="44">
        <v>5833</v>
      </c>
      <c r="AG30" s="62">
        <f t="shared" si="7"/>
        <v>0.13888095238095238</v>
      </c>
      <c r="AH30" s="44">
        <v>42000</v>
      </c>
      <c r="AI30" s="44">
        <v>5833</v>
      </c>
      <c r="AJ30" s="62">
        <f t="shared" si="8"/>
        <v>0.13888095238095238</v>
      </c>
      <c r="AK30" s="44" t="s">
        <v>38</v>
      </c>
      <c r="AL30" s="44">
        <v>20000</v>
      </c>
      <c r="AM30" s="44">
        <v>4117</v>
      </c>
      <c r="AN30" s="62">
        <f t="shared" si="9"/>
        <v>0.20585000000000001</v>
      </c>
      <c r="AO30" s="44" t="s">
        <v>38</v>
      </c>
      <c r="AP30" s="44">
        <v>66000</v>
      </c>
      <c r="AQ30" s="44">
        <v>14000</v>
      </c>
      <c r="AR30" s="62">
        <f t="shared" si="10"/>
        <v>0.21212121212121213</v>
      </c>
      <c r="AS30" s="44" t="s">
        <v>38</v>
      </c>
      <c r="AT30" s="44">
        <v>21300</v>
      </c>
      <c r="AU30" s="44">
        <v>8250</v>
      </c>
      <c r="AV30" s="62">
        <f t="shared" si="11"/>
        <v>0.38732394366197181</v>
      </c>
      <c r="AW30" s="44">
        <v>20000</v>
      </c>
      <c r="AX30" s="44">
        <v>6665</v>
      </c>
      <c r="AY30" s="62">
        <f t="shared" si="12"/>
        <v>0.33324999999999999</v>
      </c>
      <c r="AZ30" s="44" t="s">
        <v>38</v>
      </c>
      <c r="BA30" s="44">
        <v>30000</v>
      </c>
      <c r="BB30" s="44">
        <v>8001</v>
      </c>
      <c r="BC30" s="62">
        <f t="shared" si="13"/>
        <v>0.26669999999999999</v>
      </c>
      <c r="BD30" s="44">
        <v>12500</v>
      </c>
      <c r="BE30" s="44">
        <v>3333</v>
      </c>
      <c r="BF30" s="62">
        <f t="shared" si="14"/>
        <v>0.26663999999999999</v>
      </c>
      <c r="BG30" s="44" t="s">
        <v>38</v>
      </c>
      <c r="BH30" s="44">
        <v>460</v>
      </c>
      <c r="BI30" s="44">
        <v>131</v>
      </c>
      <c r="BJ30" s="62">
        <f t="shared" si="15"/>
        <v>0.2847826086956522</v>
      </c>
      <c r="BK30" s="44">
        <v>1989</v>
      </c>
      <c r="BL30" s="44">
        <v>601</v>
      </c>
      <c r="BM30" s="62">
        <f t="shared" si="16"/>
        <v>0.3021618903971845</v>
      </c>
      <c r="BN30" s="44" t="s">
        <v>38</v>
      </c>
      <c r="BO30" s="44">
        <v>7754</v>
      </c>
      <c r="BP30" s="44">
        <v>2474</v>
      </c>
      <c r="BQ30" s="62">
        <f t="shared" si="17"/>
        <v>0.3190611297394893</v>
      </c>
      <c r="BR30" s="44">
        <v>6149.25</v>
      </c>
      <c r="BS30" s="44">
        <v>2195</v>
      </c>
      <c r="BT30" s="62">
        <f t="shared" si="18"/>
        <v>0.35695410009350736</v>
      </c>
      <c r="BU30" s="44">
        <v>2344</v>
      </c>
      <c r="BV30" s="44">
        <v>616</v>
      </c>
      <c r="BW30" s="62">
        <f t="shared" si="19"/>
        <v>0.26279863481228671</v>
      </c>
      <c r="BX30" s="44" t="s">
        <v>38</v>
      </c>
      <c r="BY30" s="44">
        <v>2166</v>
      </c>
      <c r="BZ30" s="44">
        <v>815</v>
      </c>
      <c r="CA30" s="62">
        <f t="shared" si="20"/>
        <v>0.37626962142197601</v>
      </c>
      <c r="CB30" s="44">
        <v>4403</v>
      </c>
      <c r="CC30" s="44">
        <v>1209</v>
      </c>
      <c r="CD30" s="62">
        <f t="shared" si="21"/>
        <v>0.27458550987962754</v>
      </c>
    </row>
    <row r="31" spans="1:82" x14ac:dyDescent="0.3">
      <c r="A31" s="49" t="s">
        <v>69</v>
      </c>
      <c r="B31" s="49" t="s">
        <v>104</v>
      </c>
      <c r="C31" s="44" t="s">
        <v>38</v>
      </c>
      <c r="F31" s="62" t="str">
        <f t="shared" si="0"/>
        <v/>
      </c>
      <c r="J31" s="62" t="str">
        <f t="shared" si="1"/>
        <v/>
      </c>
      <c r="N31" s="62" t="str">
        <f t="shared" si="2"/>
        <v/>
      </c>
      <c r="R31" s="62" t="str">
        <f t="shared" si="3"/>
        <v/>
      </c>
      <c r="V31" s="62" t="str">
        <f t="shared" si="4"/>
        <v/>
      </c>
      <c r="Z31" s="62" t="str">
        <f t="shared" si="5"/>
        <v/>
      </c>
      <c r="AC31" s="62" t="str">
        <f t="shared" si="6"/>
        <v/>
      </c>
      <c r="AG31" s="62" t="str">
        <f t="shared" si="7"/>
        <v/>
      </c>
      <c r="AJ31" s="62" t="str">
        <f t="shared" si="8"/>
        <v/>
      </c>
      <c r="AN31" s="62" t="str">
        <f t="shared" si="9"/>
        <v/>
      </c>
      <c r="AO31" s="44" t="s">
        <v>38</v>
      </c>
      <c r="AP31" s="44">
        <v>70</v>
      </c>
      <c r="AQ31" s="44">
        <v>195</v>
      </c>
      <c r="AR31" s="62">
        <f t="shared" si="10"/>
        <v>2.7857142857142856</v>
      </c>
      <c r="AS31" s="44" t="s">
        <v>38</v>
      </c>
      <c r="AT31" s="44">
        <v>70</v>
      </c>
      <c r="AU31" s="44">
        <v>262</v>
      </c>
      <c r="AV31" s="62">
        <f t="shared" si="11"/>
        <v>3.7428571428571429</v>
      </c>
      <c r="AW31" s="44">
        <v>130</v>
      </c>
      <c r="AX31" s="44">
        <v>43</v>
      </c>
      <c r="AY31" s="62">
        <f t="shared" si="12"/>
        <v>0.33076923076923076</v>
      </c>
      <c r="AZ31" s="44" t="s">
        <v>38</v>
      </c>
      <c r="BA31" s="44">
        <v>200</v>
      </c>
      <c r="BB31" s="44">
        <v>67</v>
      </c>
      <c r="BC31" s="62">
        <f t="shared" si="13"/>
        <v>0.33500000000000002</v>
      </c>
      <c r="BD31" s="44">
        <v>150</v>
      </c>
      <c r="BE31" s="44">
        <v>50</v>
      </c>
      <c r="BF31" s="62">
        <f t="shared" si="14"/>
        <v>0.33333333333333331</v>
      </c>
      <c r="BJ31" s="62" t="str">
        <f t="shared" si="15"/>
        <v/>
      </c>
      <c r="BM31" s="62" t="str">
        <f t="shared" si="16"/>
        <v/>
      </c>
      <c r="BQ31" s="62" t="str">
        <f t="shared" si="17"/>
        <v/>
      </c>
      <c r="BT31" s="62" t="str">
        <f t="shared" si="18"/>
        <v/>
      </c>
      <c r="BW31" s="62" t="str">
        <f t="shared" si="19"/>
        <v/>
      </c>
      <c r="CA31" s="62" t="str">
        <f t="shared" si="20"/>
        <v/>
      </c>
      <c r="CD31" s="62" t="str">
        <f t="shared" si="21"/>
        <v/>
      </c>
    </row>
    <row r="32" spans="1:82" x14ac:dyDescent="0.3">
      <c r="A32" s="53" t="s">
        <v>12</v>
      </c>
      <c r="B32" s="49" t="s">
        <v>104</v>
      </c>
      <c r="C32" s="44" t="s">
        <v>38</v>
      </c>
      <c r="D32" s="44">
        <v>1257</v>
      </c>
      <c r="E32" s="44">
        <v>3207</v>
      </c>
      <c r="F32" s="62">
        <f t="shared" si="0"/>
        <v>2.5513126491646778</v>
      </c>
      <c r="G32" s="44" t="s">
        <v>38</v>
      </c>
      <c r="H32" s="44">
        <f>$D$213*440</f>
        <v>1055.8904400000001</v>
      </c>
      <c r="I32" s="44">
        <v>3207</v>
      </c>
      <c r="J32" s="62">
        <f t="shared" si="1"/>
        <v>3.0372469325510698</v>
      </c>
      <c r="K32" s="44" t="s">
        <v>38</v>
      </c>
      <c r="L32" s="44">
        <v>1775</v>
      </c>
      <c r="M32" s="44">
        <v>971</v>
      </c>
      <c r="N32" s="62">
        <f t="shared" si="2"/>
        <v>0.54704225352112679</v>
      </c>
      <c r="O32" s="44" t="s">
        <v>38</v>
      </c>
      <c r="P32" s="44">
        <v>2750</v>
      </c>
      <c r="Q32" s="44">
        <v>1692</v>
      </c>
      <c r="R32" s="62">
        <f t="shared" si="3"/>
        <v>0.6152727272727273</v>
      </c>
      <c r="S32" s="44" t="s">
        <v>38</v>
      </c>
      <c r="T32" s="44">
        <v>3750</v>
      </c>
      <c r="U32" s="44">
        <v>2143</v>
      </c>
      <c r="V32" s="62">
        <f t="shared" si="4"/>
        <v>0.57146666666666668</v>
      </c>
      <c r="W32" s="44" t="s">
        <v>38</v>
      </c>
      <c r="X32" s="44">
        <v>3200</v>
      </c>
      <c r="Y32" s="44">
        <v>1506</v>
      </c>
      <c r="Z32" s="62">
        <f t="shared" si="5"/>
        <v>0.47062500000000002</v>
      </c>
      <c r="AA32" s="44">
        <v>3312.5</v>
      </c>
      <c r="AB32" s="44">
        <v>1632</v>
      </c>
      <c r="AC32" s="62">
        <f t="shared" si="6"/>
        <v>0.49267924528301887</v>
      </c>
      <c r="AD32" s="44" t="s">
        <v>38</v>
      </c>
      <c r="AE32" s="44">
        <v>2000</v>
      </c>
      <c r="AF32" s="44">
        <v>1389</v>
      </c>
      <c r="AG32" s="62">
        <f t="shared" si="7"/>
        <v>0.69450000000000001</v>
      </c>
      <c r="AH32" s="44">
        <v>1680</v>
      </c>
      <c r="AI32" s="44">
        <v>933</v>
      </c>
      <c r="AJ32" s="62">
        <f t="shared" si="8"/>
        <v>0.55535714285714288</v>
      </c>
      <c r="AK32" s="44" t="s">
        <v>38</v>
      </c>
      <c r="AL32" s="44">
        <v>3807</v>
      </c>
      <c r="AM32" s="44">
        <v>3100</v>
      </c>
      <c r="AN32" s="62">
        <f t="shared" si="9"/>
        <v>0.8142894667717363</v>
      </c>
      <c r="AR32" s="62" t="str">
        <f t="shared" si="10"/>
        <v/>
      </c>
      <c r="AV32" s="62" t="str">
        <f t="shared" si="11"/>
        <v/>
      </c>
      <c r="AY32" s="62" t="str">
        <f t="shared" si="12"/>
        <v/>
      </c>
      <c r="AZ32" s="44" t="s">
        <v>38</v>
      </c>
      <c r="BA32" s="44">
        <v>1475</v>
      </c>
      <c r="BB32" s="44">
        <v>2253</v>
      </c>
      <c r="BC32" s="62">
        <f t="shared" si="13"/>
        <v>1.527457627118644</v>
      </c>
      <c r="BD32" s="44">
        <v>1787</v>
      </c>
      <c r="BE32" s="44">
        <v>2968</v>
      </c>
      <c r="BF32" s="62">
        <f t="shared" si="14"/>
        <v>1.6608841634023503</v>
      </c>
      <c r="BJ32" s="62" t="str">
        <f t="shared" si="15"/>
        <v/>
      </c>
      <c r="BM32" s="62" t="str">
        <f t="shared" si="16"/>
        <v/>
      </c>
      <c r="BQ32" s="62" t="str">
        <f t="shared" si="17"/>
        <v/>
      </c>
      <c r="BT32" s="62" t="str">
        <f t="shared" si="18"/>
        <v/>
      </c>
      <c r="BW32" s="62" t="str">
        <f t="shared" si="19"/>
        <v/>
      </c>
      <c r="CA32" s="62" t="str">
        <f t="shared" si="20"/>
        <v/>
      </c>
      <c r="CD32" s="62" t="str">
        <f t="shared" si="21"/>
        <v/>
      </c>
    </row>
    <row r="33" spans="1:82" x14ac:dyDescent="0.3">
      <c r="A33" s="53" t="s">
        <v>277</v>
      </c>
      <c r="B33" s="49" t="s">
        <v>104</v>
      </c>
      <c r="C33" s="44" t="s">
        <v>38</v>
      </c>
      <c r="F33" s="62" t="str">
        <f t="shared" si="0"/>
        <v/>
      </c>
      <c r="J33" s="62" t="str">
        <f t="shared" si="1"/>
        <v/>
      </c>
      <c r="N33" s="62" t="str">
        <f t="shared" si="2"/>
        <v/>
      </c>
      <c r="R33" s="62" t="str">
        <f t="shared" si="3"/>
        <v/>
      </c>
      <c r="V33" s="62" t="str">
        <f t="shared" si="4"/>
        <v/>
      </c>
      <c r="Z33" s="62" t="str">
        <f t="shared" si="5"/>
        <v/>
      </c>
      <c r="AC33" s="62" t="str">
        <f t="shared" si="6"/>
        <v/>
      </c>
      <c r="AG33" s="62" t="str">
        <f t="shared" si="7"/>
        <v/>
      </c>
      <c r="AJ33" s="62" t="str">
        <f t="shared" si="8"/>
        <v/>
      </c>
      <c r="AN33" s="62" t="str">
        <f t="shared" si="9"/>
        <v/>
      </c>
      <c r="AO33" s="44" t="s">
        <v>38</v>
      </c>
      <c r="AP33" s="44">
        <v>1270</v>
      </c>
      <c r="AQ33" s="44">
        <v>952</v>
      </c>
      <c r="AR33" s="62">
        <f t="shared" si="10"/>
        <v>0.74960629921259847</v>
      </c>
      <c r="AS33" s="44" t="s">
        <v>38</v>
      </c>
      <c r="AT33" s="44">
        <v>1240</v>
      </c>
      <c r="AU33" s="44">
        <v>930</v>
      </c>
      <c r="AV33" s="62">
        <f t="shared" si="11"/>
        <v>0.75</v>
      </c>
      <c r="AW33" s="44">
        <v>1240</v>
      </c>
      <c r="AX33" s="44">
        <v>992</v>
      </c>
      <c r="AY33" s="62">
        <f t="shared" si="12"/>
        <v>0.8</v>
      </c>
      <c r="BC33" s="62" t="str">
        <f t="shared" si="13"/>
        <v/>
      </c>
      <c r="BF33" s="62" t="str">
        <f t="shared" si="14"/>
        <v/>
      </c>
      <c r="BG33" s="44" t="s">
        <v>38</v>
      </c>
      <c r="BJ33" s="62" t="str">
        <f t="shared" si="15"/>
        <v/>
      </c>
      <c r="BK33" s="44">
        <v>1333</v>
      </c>
      <c r="BL33" s="44">
        <v>1343</v>
      </c>
      <c r="BM33" s="62">
        <f t="shared" si="16"/>
        <v>1.0075018754688672</v>
      </c>
      <c r="BN33" s="44" t="s">
        <v>38</v>
      </c>
      <c r="BO33" s="44">
        <v>682</v>
      </c>
      <c r="BP33" s="44">
        <v>716</v>
      </c>
      <c r="BQ33" s="62">
        <f t="shared" si="17"/>
        <v>1.0498533724340176</v>
      </c>
      <c r="BT33" s="62" t="str">
        <f t="shared" si="18"/>
        <v/>
      </c>
      <c r="BW33" s="62" t="str">
        <f t="shared" si="19"/>
        <v/>
      </c>
      <c r="CA33" s="62" t="str">
        <f t="shared" si="20"/>
        <v/>
      </c>
      <c r="CD33" s="62" t="str">
        <f t="shared" si="21"/>
        <v/>
      </c>
    </row>
    <row r="34" spans="1:82" x14ac:dyDescent="0.3">
      <c r="A34" s="53" t="s">
        <v>129</v>
      </c>
      <c r="B34" s="49" t="s">
        <v>104</v>
      </c>
      <c r="C34" s="44" t="s">
        <v>38</v>
      </c>
      <c r="F34" s="62" t="str">
        <f t="shared" si="0"/>
        <v/>
      </c>
      <c r="J34" s="62" t="str">
        <f t="shared" si="1"/>
        <v/>
      </c>
      <c r="N34" s="62" t="str">
        <f t="shared" si="2"/>
        <v/>
      </c>
      <c r="R34" s="62" t="str">
        <f t="shared" si="3"/>
        <v/>
      </c>
      <c r="V34" s="62" t="str">
        <f t="shared" si="4"/>
        <v/>
      </c>
      <c r="Z34" s="62" t="str">
        <f t="shared" si="5"/>
        <v/>
      </c>
      <c r="AC34" s="62" t="str">
        <f t="shared" si="6"/>
        <v/>
      </c>
      <c r="AG34" s="62" t="str">
        <f t="shared" si="7"/>
        <v/>
      </c>
      <c r="AJ34" s="62" t="str">
        <f t="shared" si="8"/>
        <v/>
      </c>
      <c r="AN34" s="62" t="str">
        <f t="shared" si="9"/>
        <v/>
      </c>
      <c r="AO34" s="44" t="s">
        <v>38</v>
      </c>
      <c r="AP34" s="44">
        <v>1010</v>
      </c>
      <c r="AQ34" s="44">
        <v>1306</v>
      </c>
      <c r="AR34" s="62">
        <f t="shared" si="10"/>
        <v>1.2930693069306931</v>
      </c>
      <c r="AS34" s="44" t="s">
        <v>38</v>
      </c>
      <c r="AT34" s="44">
        <v>660</v>
      </c>
      <c r="AU34" s="44">
        <v>725</v>
      </c>
      <c r="AV34" s="62">
        <f t="shared" si="11"/>
        <v>1.0984848484848484</v>
      </c>
      <c r="AW34" s="44">
        <v>720</v>
      </c>
      <c r="AX34" s="44">
        <v>1603</v>
      </c>
      <c r="AY34" s="62">
        <f t="shared" si="12"/>
        <v>2.2263888888888888</v>
      </c>
      <c r="BC34" s="62" t="str">
        <f t="shared" si="13"/>
        <v/>
      </c>
      <c r="BF34" s="62" t="str">
        <f t="shared" si="14"/>
        <v/>
      </c>
      <c r="BJ34" s="62" t="str">
        <f t="shared" si="15"/>
        <v/>
      </c>
      <c r="BM34" s="62" t="str">
        <f t="shared" si="16"/>
        <v/>
      </c>
      <c r="BQ34" s="62" t="str">
        <f t="shared" si="17"/>
        <v/>
      </c>
      <c r="BT34" s="62" t="str">
        <f t="shared" si="18"/>
        <v/>
      </c>
      <c r="BW34" s="62" t="str">
        <f t="shared" si="19"/>
        <v/>
      </c>
      <c r="CA34" s="62" t="str">
        <f t="shared" si="20"/>
        <v/>
      </c>
      <c r="CD34" s="62" t="str">
        <f t="shared" si="21"/>
        <v/>
      </c>
    </row>
    <row r="35" spans="1:82" x14ac:dyDescent="0.3">
      <c r="A35" s="53" t="s">
        <v>278</v>
      </c>
      <c r="B35" s="49" t="s">
        <v>104</v>
      </c>
      <c r="C35" s="44" t="s">
        <v>38</v>
      </c>
      <c r="F35" s="62" t="str">
        <f t="shared" si="0"/>
        <v/>
      </c>
      <c r="J35" s="62" t="str">
        <f t="shared" si="1"/>
        <v/>
      </c>
      <c r="N35" s="62" t="str">
        <f t="shared" si="2"/>
        <v/>
      </c>
      <c r="R35" s="62" t="str">
        <f t="shared" si="3"/>
        <v/>
      </c>
      <c r="V35" s="62" t="str">
        <f t="shared" si="4"/>
        <v/>
      </c>
      <c r="Z35" s="62" t="str">
        <f t="shared" si="5"/>
        <v/>
      </c>
      <c r="AC35" s="62" t="str">
        <f t="shared" si="6"/>
        <v/>
      </c>
      <c r="AG35" s="62" t="str">
        <f t="shared" si="7"/>
        <v/>
      </c>
      <c r="AJ35" s="62" t="str">
        <f t="shared" si="8"/>
        <v/>
      </c>
      <c r="AN35" s="62" t="str">
        <f t="shared" si="9"/>
        <v/>
      </c>
      <c r="AR35" s="62" t="str">
        <f t="shared" si="10"/>
        <v/>
      </c>
      <c r="AV35" s="62" t="str">
        <f t="shared" si="11"/>
        <v/>
      </c>
      <c r="AY35" s="62" t="str">
        <f t="shared" si="12"/>
        <v/>
      </c>
      <c r="BC35" s="62" t="str">
        <f t="shared" si="13"/>
        <v/>
      </c>
      <c r="BF35" s="62" t="str">
        <f t="shared" si="14"/>
        <v/>
      </c>
      <c r="BG35" s="44" t="s">
        <v>38</v>
      </c>
      <c r="BJ35" s="62" t="str">
        <f t="shared" si="15"/>
        <v/>
      </c>
      <c r="BK35" s="44">
        <v>387</v>
      </c>
      <c r="BL35" s="44">
        <v>462</v>
      </c>
      <c r="BM35" s="62">
        <f t="shared" si="16"/>
        <v>1.193798449612403</v>
      </c>
      <c r="BN35" s="44" t="s">
        <v>38</v>
      </c>
      <c r="BO35" s="44">
        <v>8</v>
      </c>
      <c r="BP35" s="44">
        <v>9</v>
      </c>
      <c r="BQ35" s="62">
        <f t="shared" si="17"/>
        <v>1.125</v>
      </c>
      <c r="BT35" s="62" t="str">
        <f t="shared" si="18"/>
        <v/>
      </c>
      <c r="BU35" s="44">
        <v>1265</v>
      </c>
      <c r="BV35" s="44">
        <v>6409</v>
      </c>
      <c r="BW35" s="62">
        <f t="shared" si="19"/>
        <v>5.0664031620553356</v>
      </c>
      <c r="BX35" s="44" t="s">
        <v>38</v>
      </c>
      <c r="BY35" s="44">
        <v>264.25</v>
      </c>
      <c r="BZ35" s="44">
        <v>1702</v>
      </c>
      <c r="CA35" s="62">
        <f t="shared" si="20"/>
        <v>6.4408703878902553</v>
      </c>
      <c r="CB35" s="44">
        <v>1002.5</v>
      </c>
      <c r="CC35" s="44">
        <v>5750</v>
      </c>
      <c r="CD35" s="62">
        <f t="shared" si="21"/>
        <v>5.7356608478802995</v>
      </c>
    </row>
    <row r="36" spans="1:82" x14ac:dyDescent="0.3">
      <c r="A36" s="53" t="s">
        <v>279</v>
      </c>
      <c r="B36" s="49" t="s">
        <v>104</v>
      </c>
      <c r="C36" s="44" t="s">
        <v>38</v>
      </c>
      <c r="F36" s="62" t="str">
        <f t="shared" si="0"/>
        <v/>
      </c>
      <c r="J36" s="62" t="str">
        <f t="shared" si="1"/>
        <v/>
      </c>
      <c r="N36" s="62" t="str">
        <f t="shared" si="2"/>
        <v/>
      </c>
      <c r="R36" s="62" t="str">
        <f t="shared" si="3"/>
        <v/>
      </c>
      <c r="V36" s="62" t="str">
        <f t="shared" si="4"/>
        <v/>
      </c>
      <c r="Z36" s="62" t="str">
        <f t="shared" si="5"/>
        <v/>
      </c>
      <c r="AC36" s="62" t="str">
        <f t="shared" si="6"/>
        <v/>
      </c>
      <c r="AG36" s="62" t="str">
        <f t="shared" si="7"/>
        <v/>
      </c>
      <c r="AJ36" s="62" t="str">
        <f t="shared" si="8"/>
        <v/>
      </c>
      <c r="AN36" s="62" t="str">
        <f t="shared" si="9"/>
        <v/>
      </c>
      <c r="AR36" s="62" t="str">
        <f t="shared" si="10"/>
        <v/>
      </c>
      <c r="AV36" s="62" t="str">
        <f t="shared" si="11"/>
        <v/>
      </c>
      <c r="AY36" s="62" t="str">
        <f t="shared" si="12"/>
        <v/>
      </c>
      <c r="BC36" s="62" t="str">
        <f t="shared" si="13"/>
        <v/>
      </c>
      <c r="BF36" s="62" t="str">
        <f t="shared" si="14"/>
        <v/>
      </c>
      <c r="BG36" s="44" t="s">
        <v>38</v>
      </c>
      <c r="BH36" s="44">
        <v>5941</v>
      </c>
      <c r="BI36" s="44">
        <v>3903</v>
      </c>
      <c r="BJ36" s="62">
        <f t="shared" si="15"/>
        <v>0.65696010772597202</v>
      </c>
      <c r="BK36" s="44">
        <v>4354</v>
      </c>
      <c r="BL36" s="44">
        <v>3288</v>
      </c>
      <c r="BM36" s="62">
        <f t="shared" si="16"/>
        <v>0.75516766192007345</v>
      </c>
      <c r="BN36" s="44" t="s">
        <v>38</v>
      </c>
      <c r="BO36" s="44">
        <v>875</v>
      </c>
      <c r="BP36" s="44">
        <v>652</v>
      </c>
      <c r="BQ36" s="62">
        <f t="shared" si="17"/>
        <v>0.74514285714285711</v>
      </c>
      <c r="BR36" s="44">
        <v>3185</v>
      </c>
      <c r="BS36" s="44">
        <v>6870</v>
      </c>
      <c r="BT36" s="62">
        <f t="shared" si="18"/>
        <v>2.1569858712715857</v>
      </c>
      <c r="BU36" s="44">
        <v>2990</v>
      </c>
      <c r="BV36" s="44">
        <v>2974</v>
      </c>
      <c r="BW36" s="62">
        <f t="shared" si="19"/>
        <v>0.99464882943143818</v>
      </c>
      <c r="BX36" s="44" t="s">
        <v>38</v>
      </c>
      <c r="BY36" s="44">
        <v>2802.75</v>
      </c>
      <c r="BZ36" s="44">
        <v>1465</v>
      </c>
      <c r="CA36" s="62">
        <f t="shared" si="20"/>
        <v>0.52270091874052271</v>
      </c>
      <c r="CB36" s="44">
        <v>1617.5</v>
      </c>
      <c r="CC36" s="44">
        <v>1575</v>
      </c>
      <c r="CD36" s="62">
        <f t="shared" si="21"/>
        <v>0.97372488408037094</v>
      </c>
    </row>
    <row r="37" spans="1:82" x14ac:dyDescent="0.3">
      <c r="A37" s="53" t="s">
        <v>340</v>
      </c>
      <c r="B37" s="49" t="s">
        <v>104</v>
      </c>
      <c r="C37" s="44" t="s">
        <v>38</v>
      </c>
      <c r="D37" s="44">
        <v>1463</v>
      </c>
      <c r="E37" s="44">
        <v>914</v>
      </c>
      <c r="F37" s="62">
        <f t="shared" si="0"/>
        <v>0.62474367737525627</v>
      </c>
      <c r="G37" s="44" t="s">
        <v>65</v>
      </c>
      <c r="H37" s="44">
        <v>1164</v>
      </c>
      <c r="I37" s="44">
        <v>979</v>
      </c>
      <c r="J37" s="62">
        <f t="shared" si="1"/>
        <v>0.84106529209621994</v>
      </c>
      <c r="K37" s="44" t="s">
        <v>38</v>
      </c>
      <c r="L37" s="44">
        <v>4100</v>
      </c>
      <c r="M37" s="44">
        <v>1402</v>
      </c>
      <c r="N37" s="62">
        <f t="shared" si="2"/>
        <v>0.34195121951219515</v>
      </c>
      <c r="O37" s="44" t="s">
        <v>38</v>
      </c>
      <c r="P37" s="44">
        <v>3900</v>
      </c>
      <c r="Q37" s="44">
        <v>1500</v>
      </c>
      <c r="R37" s="62">
        <f t="shared" si="3"/>
        <v>0.38461538461538464</v>
      </c>
      <c r="S37" s="44" t="s">
        <v>38</v>
      </c>
      <c r="T37" s="44">
        <v>4000</v>
      </c>
      <c r="U37" s="44">
        <v>1429</v>
      </c>
      <c r="V37" s="62">
        <f t="shared" si="4"/>
        <v>0.35725000000000001</v>
      </c>
      <c r="W37" s="44" t="s">
        <v>38</v>
      </c>
      <c r="X37" s="44">
        <v>4000</v>
      </c>
      <c r="Y37" s="44">
        <v>1625</v>
      </c>
      <c r="Z37" s="62">
        <f t="shared" si="5"/>
        <v>0.40625</v>
      </c>
      <c r="AA37" s="44">
        <v>3750</v>
      </c>
      <c r="AB37" s="44">
        <v>1385</v>
      </c>
      <c r="AC37" s="62">
        <f t="shared" si="6"/>
        <v>0.36933333333333335</v>
      </c>
      <c r="AD37" s="44" t="s">
        <v>38</v>
      </c>
      <c r="AE37" s="44">
        <v>3450</v>
      </c>
      <c r="AF37" s="44">
        <v>1150</v>
      </c>
      <c r="AG37" s="62">
        <f t="shared" si="7"/>
        <v>0.33333333333333331</v>
      </c>
      <c r="AH37" s="44">
        <v>3167</v>
      </c>
      <c r="AI37" s="44">
        <v>1056</v>
      </c>
      <c r="AJ37" s="62">
        <f t="shared" si="8"/>
        <v>0.33343858541206189</v>
      </c>
      <c r="AN37" s="62" t="str">
        <f t="shared" si="9"/>
        <v/>
      </c>
      <c r="AO37" s="44" t="s">
        <v>38</v>
      </c>
      <c r="AP37" s="44">
        <v>3100</v>
      </c>
      <c r="AQ37" s="44">
        <v>1100</v>
      </c>
      <c r="AR37" s="62">
        <f t="shared" si="10"/>
        <v>0.35483870967741937</v>
      </c>
      <c r="AS37" s="44" t="s">
        <v>38</v>
      </c>
      <c r="AT37" s="44">
        <v>1160</v>
      </c>
      <c r="AU37" s="44">
        <v>436</v>
      </c>
      <c r="AV37" s="62">
        <f t="shared" si="11"/>
        <v>0.37586206896551722</v>
      </c>
      <c r="AW37" s="44">
        <v>1070</v>
      </c>
      <c r="AX37" s="44">
        <v>429</v>
      </c>
      <c r="AY37" s="62">
        <f t="shared" si="12"/>
        <v>0.40093457943925231</v>
      </c>
      <c r="AZ37" s="44" t="s">
        <v>38</v>
      </c>
      <c r="BA37" s="54">
        <v>950</v>
      </c>
      <c r="BB37" s="44">
        <v>380</v>
      </c>
      <c r="BC37" s="62">
        <f t="shared" si="13"/>
        <v>0.4</v>
      </c>
      <c r="BF37" s="62" t="str">
        <f t="shared" si="14"/>
        <v/>
      </c>
      <c r="BG37" s="44" t="s">
        <v>38</v>
      </c>
      <c r="BH37" s="44">
        <v>624</v>
      </c>
      <c r="BI37" s="44">
        <v>965</v>
      </c>
      <c r="BJ37" s="62">
        <f t="shared" si="15"/>
        <v>1.546474358974359</v>
      </c>
      <c r="BK37" s="44">
        <v>596</v>
      </c>
      <c r="BL37" s="44">
        <v>682</v>
      </c>
      <c r="BM37" s="62">
        <f t="shared" si="16"/>
        <v>1.1442953020134228</v>
      </c>
      <c r="BN37" s="44" t="s">
        <v>38</v>
      </c>
      <c r="BO37" s="44">
        <v>572</v>
      </c>
      <c r="BP37" s="44">
        <v>374</v>
      </c>
      <c r="BQ37" s="62">
        <f t="shared" si="17"/>
        <v>0.65384615384615385</v>
      </c>
      <c r="BR37" s="44">
        <v>793</v>
      </c>
      <c r="BS37" s="44">
        <v>782</v>
      </c>
      <c r="BT37" s="62">
        <f t="shared" si="18"/>
        <v>0.98612862547288782</v>
      </c>
      <c r="BU37" s="44">
        <v>560</v>
      </c>
      <c r="BV37" s="44">
        <v>450</v>
      </c>
      <c r="BW37" s="62">
        <f t="shared" si="19"/>
        <v>0.8035714285714286</v>
      </c>
      <c r="BX37" s="44" t="s">
        <v>38</v>
      </c>
      <c r="BY37" s="44">
        <v>503.5</v>
      </c>
      <c r="BZ37" s="44">
        <v>402</v>
      </c>
      <c r="CA37" s="62">
        <f t="shared" si="20"/>
        <v>0.79841112214498511</v>
      </c>
      <c r="CB37" s="44">
        <v>475</v>
      </c>
      <c r="CC37" s="44">
        <v>364</v>
      </c>
      <c r="CD37" s="62">
        <f t="shared" si="21"/>
        <v>0.76631578947368417</v>
      </c>
    </row>
    <row r="38" spans="1:82" x14ac:dyDescent="0.3">
      <c r="A38" s="53" t="s">
        <v>13</v>
      </c>
      <c r="B38" s="49" t="s">
        <v>104</v>
      </c>
      <c r="C38" s="44" t="s">
        <v>38</v>
      </c>
      <c r="F38" s="62" t="str">
        <f t="shared" si="0"/>
        <v/>
      </c>
      <c r="J38" s="62" t="str">
        <f t="shared" si="1"/>
        <v/>
      </c>
      <c r="N38" s="62" t="str">
        <f t="shared" si="2"/>
        <v/>
      </c>
      <c r="R38" s="62" t="str">
        <f t="shared" si="3"/>
        <v/>
      </c>
      <c r="V38" s="62" t="str">
        <f t="shared" si="4"/>
        <v/>
      </c>
      <c r="Z38" s="62" t="str">
        <f t="shared" si="5"/>
        <v/>
      </c>
      <c r="AC38" s="62" t="str">
        <f t="shared" si="6"/>
        <v/>
      </c>
      <c r="AG38" s="62" t="str">
        <f t="shared" si="7"/>
        <v/>
      </c>
      <c r="AJ38" s="62" t="str">
        <f t="shared" si="8"/>
        <v/>
      </c>
      <c r="AN38" s="62" t="str">
        <f t="shared" si="9"/>
        <v/>
      </c>
      <c r="AR38" s="62" t="str">
        <f t="shared" si="10"/>
        <v/>
      </c>
      <c r="AV38" s="62" t="str">
        <f t="shared" si="11"/>
        <v/>
      </c>
      <c r="AY38" s="62" t="str">
        <f t="shared" si="12"/>
        <v/>
      </c>
      <c r="BA38" s="32"/>
      <c r="BC38" s="62" t="str">
        <f t="shared" si="13"/>
        <v/>
      </c>
      <c r="BF38" s="62" t="str">
        <f t="shared" si="14"/>
        <v/>
      </c>
      <c r="BG38" s="44" t="s">
        <v>38</v>
      </c>
      <c r="BH38" s="44">
        <v>32</v>
      </c>
      <c r="BI38" s="44">
        <v>18</v>
      </c>
      <c r="BJ38" s="62">
        <f t="shared" si="15"/>
        <v>0.5625</v>
      </c>
      <c r="BM38" s="62" t="str">
        <f t="shared" si="16"/>
        <v/>
      </c>
      <c r="BN38" s="44" t="s">
        <v>38</v>
      </c>
      <c r="BQ38" s="62" t="str">
        <f t="shared" si="17"/>
        <v/>
      </c>
      <c r="BT38" s="62" t="str">
        <f t="shared" si="18"/>
        <v/>
      </c>
      <c r="BU38" s="44">
        <v>82</v>
      </c>
      <c r="BV38" s="44">
        <v>24</v>
      </c>
      <c r="BW38" s="62">
        <f t="shared" si="19"/>
        <v>0.29268292682926828</v>
      </c>
      <c r="BX38" s="44" t="s">
        <v>38</v>
      </c>
      <c r="BY38" s="44">
        <v>68</v>
      </c>
      <c r="BZ38" s="44">
        <v>16</v>
      </c>
      <c r="CA38" s="62">
        <f t="shared" si="20"/>
        <v>0.23529411764705882</v>
      </c>
      <c r="CB38" s="44">
        <v>116.5</v>
      </c>
      <c r="CC38" s="44">
        <v>99</v>
      </c>
      <c r="CD38" s="62">
        <f t="shared" si="21"/>
        <v>0.84978540772532185</v>
      </c>
    </row>
    <row r="39" spans="1:82" x14ac:dyDescent="0.3">
      <c r="A39" s="53" t="s">
        <v>59</v>
      </c>
      <c r="B39" s="49" t="s">
        <v>104</v>
      </c>
      <c r="C39" s="44" t="s">
        <v>38</v>
      </c>
      <c r="F39" s="62" t="str">
        <f t="shared" si="0"/>
        <v/>
      </c>
      <c r="J39" s="62" t="str">
        <f t="shared" si="1"/>
        <v/>
      </c>
      <c r="N39" s="62" t="str">
        <f t="shared" si="2"/>
        <v/>
      </c>
      <c r="R39" s="62" t="str">
        <f t="shared" si="3"/>
        <v/>
      </c>
      <c r="V39" s="62" t="str">
        <f t="shared" si="4"/>
        <v/>
      </c>
      <c r="Z39" s="62" t="str">
        <f t="shared" si="5"/>
        <v/>
      </c>
      <c r="AC39" s="62" t="str">
        <f t="shared" si="6"/>
        <v/>
      </c>
      <c r="AG39" s="62" t="str">
        <f t="shared" si="7"/>
        <v/>
      </c>
      <c r="AJ39" s="62" t="str">
        <f t="shared" si="8"/>
        <v/>
      </c>
      <c r="AN39" s="62" t="str">
        <f t="shared" si="9"/>
        <v/>
      </c>
      <c r="AR39" s="62" t="str">
        <f t="shared" si="10"/>
        <v/>
      </c>
      <c r="AV39" s="62" t="str">
        <f t="shared" si="11"/>
        <v/>
      </c>
      <c r="AY39" s="62" t="str">
        <f t="shared" si="12"/>
        <v/>
      </c>
      <c r="BA39" s="32"/>
      <c r="BC39" s="62" t="str">
        <f t="shared" si="13"/>
        <v/>
      </c>
      <c r="BF39" s="62" t="str">
        <f t="shared" si="14"/>
        <v/>
      </c>
      <c r="BJ39" s="62" t="str">
        <f t="shared" si="15"/>
        <v/>
      </c>
      <c r="BM39" s="62" t="str">
        <f t="shared" si="16"/>
        <v/>
      </c>
      <c r="BN39" s="44" t="s">
        <v>38</v>
      </c>
      <c r="BQ39" s="62" t="str">
        <f t="shared" si="17"/>
        <v/>
      </c>
      <c r="BT39" s="62" t="str">
        <f t="shared" si="18"/>
        <v/>
      </c>
      <c r="BU39" s="44">
        <v>5.25</v>
      </c>
      <c r="BV39" s="44">
        <v>8.5</v>
      </c>
      <c r="BW39" s="62">
        <f t="shared" si="19"/>
        <v>1.6190476190476191</v>
      </c>
      <c r="CA39" s="62" t="str">
        <f t="shared" si="20"/>
        <v/>
      </c>
      <c r="CD39" s="62" t="str">
        <f t="shared" si="21"/>
        <v/>
      </c>
    </row>
    <row r="40" spans="1:82" x14ac:dyDescent="0.3">
      <c r="A40" s="53" t="s">
        <v>60</v>
      </c>
      <c r="B40" s="49" t="s">
        <v>104</v>
      </c>
      <c r="C40" s="44" t="s">
        <v>38</v>
      </c>
      <c r="F40" s="62" t="str">
        <f t="shared" si="0"/>
        <v/>
      </c>
      <c r="J40" s="62" t="str">
        <f t="shared" si="1"/>
        <v/>
      </c>
      <c r="N40" s="62" t="str">
        <f t="shared" si="2"/>
        <v/>
      </c>
      <c r="R40" s="62" t="str">
        <f t="shared" si="3"/>
        <v/>
      </c>
      <c r="V40" s="62" t="str">
        <f t="shared" si="4"/>
        <v/>
      </c>
      <c r="Z40" s="62" t="str">
        <f t="shared" si="5"/>
        <v/>
      </c>
      <c r="AC40" s="62" t="str">
        <f t="shared" si="6"/>
        <v/>
      </c>
      <c r="AG40" s="62" t="str">
        <f t="shared" si="7"/>
        <v/>
      </c>
      <c r="AJ40" s="62" t="str">
        <f t="shared" si="8"/>
        <v/>
      </c>
      <c r="AN40" s="62" t="str">
        <f t="shared" si="9"/>
        <v/>
      </c>
      <c r="AR40" s="62" t="str">
        <f t="shared" si="10"/>
        <v/>
      </c>
      <c r="AV40" s="62" t="str">
        <f t="shared" si="11"/>
        <v/>
      </c>
      <c r="AY40" s="62" t="str">
        <f t="shared" si="12"/>
        <v/>
      </c>
      <c r="BA40" s="32"/>
      <c r="BC40" s="62" t="str">
        <f t="shared" si="13"/>
        <v/>
      </c>
      <c r="BF40" s="62" t="str">
        <f t="shared" si="14"/>
        <v/>
      </c>
      <c r="BJ40" s="62" t="str">
        <f t="shared" si="15"/>
        <v/>
      </c>
      <c r="BM40" s="62" t="str">
        <f t="shared" si="16"/>
        <v/>
      </c>
      <c r="BN40" s="44" t="s">
        <v>38</v>
      </c>
      <c r="BQ40" s="62" t="str">
        <f t="shared" si="17"/>
        <v/>
      </c>
      <c r="BT40" s="62" t="str">
        <f t="shared" si="18"/>
        <v/>
      </c>
      <c r="BU40" s="44">
        <v>65</v>
      </c>
      <c r="BV40" s="44">
        <v>192</v>
      </c>
      <c r="BW40" s="62">
        <f t="shared" si="19"/>
        <v>2.953846153846154</v>
      </c>
      <c r="BX40" s="44" t="s">
        <v>38</v>
      </c>
      <c r="BY40" s="44">
        <v>50</v>
      </c>
      <c r="BZ40" s="44">
        <v>7</v>
      </c>
      <c r="CA40" s="62">
        <f t="shared" si="20"/>
        <v>0.14000000000000001</v>
      </c>
      <c r="CB40" s="44">
        <v>35</v>
      </c>
      <c r="CC40" s="44">
        <v>13</v>
      </c>
      <c r="CD40" s="62">
        <f t="shared" si="21"/>
        <v>0.37142857142857144</v>
      </c>
    </row>
    <row r="41" spans="1:82" x14ac:dyDescent="0.3">
      <c r="A41" s="53" t="s">
        <v>14</v>
      </c>
      <c r="B41" s="49" t="s">
        <v>104</v>
      </c>
      <c r="C41" s="44" t="s">
        <v>38</v>
      </c>
      <c r="F41" s="62" t="str">
        <f t="shared" si="0"/>
        <v/>
      </c>
      <c r="J41" s="62" t="str">
        <f t="shared" si="1"/>
        <v/>
      </c>
      <c r="K41" s="44" t="s">
        <v>38</v>
      </c>
      <c r="L41" s="44">
        <v>4700</v>
      </c>
      <c r="M41" s="44">
        <v>3856</v>
      </c>
      <c r="N41" s="62">
        <f t="shared" si="2"/>
        <v>0.82042553191489365</v>
      </c>
      <c r="O41" s="44" t="s">
        <v>38</v>
      </c>
      <c r="P41" s="44">
        <v>3958</v>
      </c>
      <c r="Q41" s="44">
        <v>3654</v>
      </c>
      <c r="R41" s="62">
        <f t="shared" si="3"/>
        <v>0.92319353208691257</v>
      </c>
      <c r="S41" s="44" t="s">
        <v>38</v>
      </c>
      <c r="T41" s="44">
        <v>3833</v>
      </c>
      <c r="U41" s="44">
        <v>3286</v>
      </c>
      <c r="V41" s="62">
        <f t="shared" si="4"/>
        <v>0.85729193842942863</v>
      </c>
      <c r="W41" s="44" t="s">
        <v>38</v>
      </c>
      <c r="X41" s="44">
        <v>3230</v>
      </c>
      <c r="Y41" s="44">
        <v>2625</v>
      </c>
      <c r="Z41" s="62">
        <f t="shared" si="5"/>
        <v>0.81269349845201233</v>
      </c>
      <c r="AA41" s="44">
        <v>2900</v>
      </c>
      <c r="AB41" s="44">
        <v>2498</v>
      </c>
      <c r="AC41" s="62">
        <f t="shared" si="6"/>
        <v>0.86137931034482762</v>
      </c>
      <c r="AD41" s="44" t="s">
        <v>38</v>
      </c>
      <c r="AE41" s="44">
        <v>2178.25</v>
      </c>
      <c r="AF41" s="44">
        <v>1694</v>
      </c>
      <c r="AG41" s="62">
        <f t="shared" si="7"/>
        <v>0.77768851141971762</v>
      </c>
      <c r="AH41" s="44">
        <v>2375</v>
      </c>
      <c r="AI41" s="44">
        <v>1583</v>
      </c>
      <c r="AJ41" s="62">
        <f t="shared" si="8"/>
        <v>0.66652631578947363</v>
      </c>
      <c r="AN41" s="62" t="str">
        <f t="shared" si="9"/>
        <v/>
      </c>
      <c r="AR41" s="62" t="str">
        <f t="shared" si="10"/>
        <v/>
      </c>
      <c r="AV41" s="62" t="str">
        <f t="shared" si="11"/>
        <v/>
      </c>
      <c r="AY41" s="62" t="str">
        <f t="shared" si="12"/>
        <v/>
      </c>
      <c r="BC41" s="62" t="str">
        <f t="shared" si="13"/>
        <v/>
      </c>
      <c r="BF41" s="62" t="str">
        <f t="shared" si="14"/>
        <v/>
      </c>
      <c r="BJ41" s="62" t="str">
        <f t="shared" si="15"/>
        <v/>
      </c>
      <c r="BM41" s="62" t="str">
        <f t="shared" si="16"/>
        <v/>
      </c>
      <c r="BQ41" s="62" t="str">
        <f t="shared" si="17"/>
        <v/>
      </c>
      <c r="BT41" s="62" t="str">
        <f t="shared" si="18"/>
        <v/>
      </c>
      <c r="BW41" s="62" t="str">
        <f t="shared" si="19"/>
        <v/>
      </c>
      <c r="CA41" s="62" t="str">
        <f t="shared" si="20"/>
        <v/>
      </c>
      <c r="CD41" s="62" t="str">
        <f t="shared" si="21"/>
        <v/>
      </c>
    </row>
    <row r="42" spans="1:82" x14ac:dyDescent="0.3">
      <c r="A42" s="53" t="s">
        <v>157</v>
      </c>
      <c r="B42" s="49" t="s">
        <v>104</v>
      </c>
      <c r="C42" s="44" t="s">
        <v>38</v>
      </c>
      <c r="F42" s="62" t="str">
        <f t="shared" si="0"/>
        <v/>
      </c>
      <c r="J42" s="62" t="str">
        <f t="shared" si="1"/>
        <v/>
      </c>
      <c r="N42" s="62" t="str">
        <f t="shared" si="2"/>
        <v/>
      </c>
      <c r="R42" s="62" t="str">
        <f t="shared" si="3"/>
        <v/>
      </c>
      <c r="V42" s="62" t="str">
        <f t="shared" si="4"/>
        <v/>
      </c>
      <c r="Z42" s="62" t="str">
        <f t="shared" si="5"/>
        <v/>
      </c>
      <c r="AC42" s="62" t="str">
        <f t="shared" si="6"/>
        <v/>
      </c>
      <c r="AG42" s="62" t="str">
        <f t="shared" si="7"/>
        <v/>
      </c>
      <c r="AJ42" s="62" t="str">
        <f t="shared" si="8"/>
        <v/>
      </c>
      <c r="AK42" s="44" t="s">
        <v>38</v>
      </c>
      <c r="AL42" s="44">
        <v>1875</v>
      </c>
      <c r="AM42" s="44">
        <v>1324</v>
      </c>
      <c r="AN42" s="62">
        <f t="shared" si="9"/>
        <v>0.70613333333333328</v>
      </c>
      <c r="AO42" s="44" t="s">
        <v>38</v>
      </c>
      <c r="AP42" s="44">
        <v>2250</v>
      </c>
      <c r="AQ42" s="44">
        <v>1650</v>
      </c>
      <c r="AR42" s="62">
        <f t="shared" si="10"/>
        <v>0.73333333333333328</v>
      </c>
      <c r="AS42" s="44" t="s">
        <v>38</v>
      </c>
      <c r="AT42" s="44">
        <v>1100</v>
      </c>
      <c r="AU42" s="44">
        <v>1031</v>
      </c>
      <c r="AV42" s="62">
        <f t="shared" si="11"/>
        <v>0.93727272727272726</v>
      </c>
      <c r="AW42" s="44">
        <v>820</v>
      </c>
      <c r="AX42" s="44">
        <v>820</v>
      </c>
      <c r="AY42" s="62">
        <f t="shared" si="12"/>
        <v>1</v>
      </c>
      <c r="AZ42" s="44" t="s">
        <v>38</v>
      </c>
      <c r="BA42" s="44">
        <v>950</v>
      </c>
      <c r="BB42" s="44">
        <v>950</v>
      </c>
      <c r="BC42" s="62">
        <f t="shared" si="13"/>
        <v>1</v>
      </c>
      <c r="BD42" s="44">
        <v>350</v>
      </c>
      <c r="BE42" s="44">
        <v>350</v>
      </c>
      <c r="BF42" s="62">
        <f t="shared" si="14"/>
        <v>1</v>
      </c>
      <c r="BG42" s="44" t="s">
        <v>38</v>
      </c>
      <c r="BH42" s="44">
        <v>448</v>
      </c>
      <c r="BI42" s="44">
        <v>325</v>
      </c>
      <c r="BJ42" s="62">
        <f t="shared" si="15"/>
        <v>0.7254464285714286</v>
      </c>
      <c r="BK42" s="44">
        <v>527</v>
      </c>
      <c r="BL42" s="44">
        <v>447</v>
      </c>
      <c r="BM42" s="62">
        <f t="shared" si="16"/>
        <v>0.84819734345351039</v>
      </c>
      <c r="BN42" s="44" t="s">
        <v>38</v>
      </c>
      <c r="BO42" s="44">
        <v>40</v>
      </c>
      <c r="BP42" s="44">
        <v>31</v>
      </c>
      <c r="BQ42" s="62">
        <f t="shared" si="17"/>
        <v>0.77500000000000002</v>
      </c>
      <c r="BT42" s="62" t="str">
        <f t="shared" si="18"/>
        <v/>
      </c>
      <c r="BW42" s="62" t="str">
        <f t="shared" si="19"/>
        <v/>
      </c>
      <c r="CA42" s="62" t="str">
        <f t="shared" si="20"/>
        <v/>
      </c>
      <c r="CD42" s="62" t="str">
        <f t="shared" si="21"/>
        <v/>
      </c>
    </row>
    <row r="43" spans="1:82" x14ac:dyDescent="0.3">
      <c r="A43" s="53" t="s">
        <v>236</v>
      </c>
      <c r="B43" s="49" t="s">
        <v>104</v>
      </c>
      <c r="C43" s="44" t="s">
        <v>38</v>
      </c>
      <c r="F43" s="62" t="str">
        <f t="shared" si="0"/>
        <v/>
      </c>
      <c r="J43" s="62" t="str">
        <f t="shared" si="1"/>
        <v/>
      </c>
      <c r="N43" s="62" t="str">
        <f t="shared" si="2"/>
        <v/>
      </c>
      <c r="R43" s="62" t="str">
        <f t="shared" si="3"/>
        <v/>
      </c>
      <c r="V43" s="62" t="str">
        <f t="shared" si="4"/>
        <v/>
      </c>
      <c r="Z43" s="62" t="str">
        <f t="shared" si="5"/>
        <v/>
      </c>
      <c r="AC43" s="62" t="str">
        <f t="shared" si="6"/>
        <v/>
      </c>
      <c r="AG43" s="62" t="str">
        <f t="shared" si="7"/>
        <v/>
      </c>
      <c r="AJ43" s="62" t="str">
        <f t="shared" si="8"/>
        <v/>
      </c>
      <c r="AK43" s="44" t="s">
        <v>38</v>
      </c>
      <c r="AL43" s="44">
        <v>4332</v>
      </c>
      <c r="AM43" s="44">
        <v>1529</v>
      </c>
      <c r="AN43" s="62">
        <f t="shared" si="9"/>
        <v>0.35295475530932596</v>
      </c>
      <c r="AO43" s="44" t="s">
        <v>38</v>
      </c>
      <c r="AP43" s="44">
        <v>3750</v>
      </c>
      <c r="AQ43" s="44">
        <v>1703</v>
      </c>
      <c r="AR43" s="62">
        <f t="shared" si="10"/>
        <v>0.45413333333333333</v>
      </c>
      <c r="AS43" s="44" t="s">
        <v>38</v>
      </c>
      <c r="AT43" s="44">
        <v>1900</v>
      </c>
      <c r="AU43" s="44">
        <v>1187</v>
      </c>
      <c r="AV43" s="62">
        <f t="shared" si="11"/>
        <v>0.62473684210526315</v>
      </c>
      <c r="AW43" s="44">
        <v>1100</v>
      </c>
      <c r="AX43" s="44">
        <v>733</v>
      </c>
      <c r="AY43" s="62">
        <f t="shared" si="12"/>
        <v>0.66636363636363638</v>
      </c>
      <c r="AZ43" s="44" t="s">
        <v>38</v>
      </c>
      <c r="BA43" s="44">
        <v>1045</v>
      </c>
      <c r="BB43" s="44">
        <v>697</v>
      </c>
      <c r="BC43" s="62">
        <f t="shared" si="13"/>
        <v>0.66698564593301435</v>
      </c>
      <c r="BD43" s="44">
        <v>485</v>
      </c>
      <c r="BE43" s="44">
        <v>324</v>
      </c>
      <c r="BF43" s="62">
        <f t="shared" si="14"/>
        <v>0.66804123711340202</v>
      </c>
      <c r="BG43" s="44" t="s">
        <v>38</v>
      </c>
      <c r="BH43" s="44">
        <v>771</v>
      </c>
      <c r="BI43" s="44">
        <v>352</v>
      </c>
      <c r="BJ43" s="62">
        <f t="shared" si="15"/>
        <v>0.45654993514915693</v>
      </c>
      <c r="BK43" s="44">
        <v>1815</v>
      </c>
      <c r="BL43" s="44">
        <v>904</v>
      </c>
      <c r="BM43" s="62">
        <f t="shared" si="16"/>
        <v>0.49807162534435262</v>
      </c>
      <c r="BN43" s="44" t="s">
        <v>38</v>
      </c>
      <c r="BO43" s="44">
        <v>128</v>
      </c>
      <c r="BP43" s="44">
        <v>77</v>
      </c>
      <c r="BQ43" s="62">
        <f t="shared" si="17"/>
        <v>0.6015625</v>
      </c>
      <c r="BT43" s="62" t="str">
        <f t="shared" si="18"/>
        <v/>
      </c>
      <c r="BW43" s="62" t="str">
        <f t="shared" si="19"/>
        <v/>
      </c>
      <c r="CA43" s="62" t="str">
        <f t="shared" si="20"/>
        <v/>
      </c>
      <c r="CD43" s="62" t="str">
        <f t="shared" si="21"/>
        <v/>
      </c>
    </row>
    <row r="44" spans="1:82" x14ac:dyDescent="0.3">
      <c r="A44" s="53" t="s">
        <v>237</v>
      </c>
      <c r="B44" s="49" t="s">
        <v>104</v>
      </c>
      <c r="C44" s="44" t="s">
        <v>38</v>
      </c>
      <c r="F44" s="62" t="str">
        <f t="shared" si="0"/>
        <v/>
      </c>
      <c r="J44" s="62" t="str">
        <f t="shared" si="1"/>
        <v/>
      </c>
      <c r="N44" s="62" t="str">
        <f t="shared" si="2"/>
        <v/>
      </c>
      <c r="R44" s="62" t="str">
        <f t="shared" si="3"/>
        <v/>
      </c>
      <c r="V44" s="62" t="str">
        <f t="shared" si="4"/>
        <v/>
      </c>
      <c r="Z44" s="62" t="str">
        <f t="shared" si="5"/>
        <v/>
      </c>
      <c r="AC44" s="62" t="str">
        <f t="shared" si="6"/>
        <v/>
      </c>
      <c r="AG44" s="62" t="str">
        <f t="shared" si="7"/>
        <v/>
      </c>
      <c r="AJ44" s="62" t="str">
        <f t="shared" si="8"/>
        <v/>
      </c>
      <c r="AK44" s="44" t="s">
        <v>38</v>
      </c>
      <c r="AL44" s="44">
        <v>2458</v>
      </c>
      <c r="AM44" s="44">
        <v>1735</v>
      </c>
      <c r="AN44" s="62">
        <f t="shared" si="9"/>
        <v>0.70585842148087874</v>
      </c>
      <c r="AO44" s="44" t="s">
        <v>38</v>
      </c>
      <c r="AP44" s="44">
        <v>1850</v>
      </c>
      <c r="AQ44" s="44">
        <v>1156</v>
      </c>
      <c r="AR44" s="62">
        <f t="shared" si="10"/>
        <v>0.62486486486486481</v>
      </c>
      <c r="AS44" s="44" t="s">
        <v>38</v>
      </c>
      <c r="AT44" s="44">
        <v>960</v>
      </c>
      <c r="AU44" s="44">
        <v>600</v>
      </c>
      <c r="AV44" s="62">
        <f t="shared" si="11"/>
        <v>0.625</v>
      </c>
      <c r="AW44" s="44">
        <v>1552</v>
      </c>
      <c r="AX44" s="44">
        <v>1035</v>
      </c>
      <c r="AY44" s="62">
        <f t="shared" si="12"/>
        <v>0.66688144329896903</v>
      </c>
      <c r="AZ44" s="44" t="s">
        <v>38</v>
      </c>
      <c r="BA44" s="44">
        <v>975</v>
      </c>
      <c r="BB44" s="44">
        <v>650</v>
      </c>
      <c r="BC44" s="62">
        <f t="shared" si="13"/>
        <v>0.66666666666666663</v>
      </c>
      <c r="BD44" s="44">
        <v>660</v>
      </c>
      <c r="BE44" s="44">
        <v>439</v>
      </c>
      <c r="BF44" s="62">
        <f t="shared" si="14"/>
        <v>0.66515151515151516</v>
      </c>
      <c r="BG44" s="44" t="s">
        <v>38</v>
      </c>
      <c r="BH44" s="44">
        <v>2675</v>
      </c>
      <c r="BI44" s="44">
        <v>1489</v>
      </c>
      <c r="BJ44" s="62">
        <f t="shared" si="15"/>
        <v>0.5566355140186916</v>
      </c>
      <c r="BK44" s="44">
        <v>2887</v>
      </c>
      <c r="BL44" s="44">
        <v>1081</v>
      </c>
      <c r="BM44" s="62">
        <f t="shared" si="16"/>
        <v>0.37443713197090406</v>
      </c>
      <c r="BN44" s="44" t="s">
        <v>38</v>
      </c>
      <c r="BO44" s="44">
        <v>1382</v>
      </c>
      <c r="BP44" s="44">
        <v>575</v>
      </c>
      <c r="BQ44" s="62">
        <f t="shared" si="17"/>
        <v>0.41606367583212733</v>
      </c>
      <c r="BT44" s="62" t="str">
        <f t="shared" si="18"/>
        <v/>
      </c>
      <c r="BW44" s="62" t="str">
        <f t="shared" si="19"/>
        <v/>
      </c>
      <c r="CA44" s="62" t="str">
        <f t="shared" si="20"/>
        <v/>
      </c>
      <c r="CD44" s="62" t="str">
        <f t="shared" si="21"/>
        <v/>
      </c>
    </row>
    <row r="45" spans="1:82" x14ac:dyDescent="0.3">
      <c r="A45" s="77" t="s">
        <v>77</v>
      </c>
      <c r="B45" s="49" t="s">
        <v>104</v>
      </c>
      <c r="C45" s="44" t="s">
        <v>38</v>
      </c>
      <c r="F45" s="62" t="str">
        <f t="shared" si="0"/>
        <v/>
      </c>
      <c r="J45" s="62" t="str">
        <f t="shared" si="1"/>
        <v/>
      </c>
      <c r="N45" s="62" t="str">
        <f t="shared" si="2"/>
        <v/>
      </c>
      <c r="R45" s="62" t="str">
        <f t="shared" si="3"/>
        <v/>
      </c>
      <c r="V45" s="62" t="str">
        <f t="shared" si="4"/>
        <v/>
      </c>
      <c r="Z45" s="62" t="str">
        <f t="shared" si="5"/>
        <v/>
      </c>
      <c r="AC45" s="62" t="str">
        <f t="shared" si="6"/>
        <v/>
      </c>
      <c r="AG45" s="62" t="str">
        <f t="shared" si="7"/>
        <v/>
      </c>
      <c r="AJ45" s="62" t="str">
        <f t="shared" si="8"/>
        <v/>
      </c>
      <c r="AN45" s="62" t="str">
        <f t="shared" si="9"/>
        <v/>
      </c>
      <c r="AR45" s="62" t="str">
        <f t="shared" si="10"/>
        <v/>
      </c>
      <c r="AV45" s="62" t="str">
        <f t="shared" si="11"/>
        <v/>
      </c>
      <c r="AY45" s="62" t="str">
        <f t="shared" si="12"/>
        <v/>
      </c>
      <c r="BC45" s="62" t="str">
        <f t="shared" si="13"/>
        <v/>
      </c>
      <c r="BF45" s="62" t="str">
        <f t="shared" si="14"/>
        <v/>
      </c>
      <c r="BJ45" s="62" t="str">
        <f t="shared" si="15"/>
        <v/>
      </c>
      <c r="BM45" s="62" t="str">
        <f t="shared" si="16"/>
        <v/>
      </c>
      <c r="BN45" s="44" t="s">
        <v>38</v>
      </c>
      <c r="BQ45" s="62" t="str">
        <f t="shared" si="17"/>
        <v/>
      </c>
      <c r="BR45" s="44">
        <v>1219.75</v>
      </c>
      <c r="BS45" s="44">
        <v>825</v>
      </c>
      <c r="BT45" s="62">
        <f t="shared" si="18"/>
        <v>0.67636810821889737</v>
      </c>
      <c r="BU45" s="44">
        <v>1478</v>
      </c>
      <c r="BV45" s="44">
        <v>1039</v>
      </c>
      <c r="BW45" s="62">
        <f t="shared" si="19"/>
        <v>0.70297699594046004</v>
      </c>
      <c r="BX45" s="44" t="s">
        <v>38</v>
      </c>
      <c r="BY45" s="44">
        <v>910.75</v>
      </c>
      <c r="BZ45" s="44">
        <v>677</v>
      </c>
      <c r="CA45" s="62">
        <f t="shared" si="20"/>
        <v>0.74334339829810592</v>
      </c>
      <c r="CB45" s="44">
        <v>994</v>
      </c>
      <c r="CC45" s="44">
        <v>1140</v>
      </c>
      <c r="CD45" s="62">
        <f t="shared" si="21"/>
        <v>1.1468812877263581</v>
      </c>
    </row>
    <row r="46" spans="1:82" x14ac:dyDescent="0.3">
      <c r="A46" s="77" t="s">
        <v>78</v>
      </c>
      <c r="B46" s="49" t="s">
        <v>104</v>
      </c>
      <c r="C46" s="44" t="s">
        <v>38</v>
      </c>
      <c r="F46" s="62" t="str">
        <f t="shared" si="0"/>
        <v/>
      </c>
      <c r="J46" s="62" t="str">
        <f t="shared" si="1"/>
        <v/>
      </c>
      <c r="N46" s="62" t="str">
        <f t="shared" si="2"/>
        <v/>
      </c>
      <c r="R46" s="62" t="str">
        <f t="shared" si="3"/>
        <v/>
      </c>
      <c r="V46" s="62" t="str">
        <f t="shared" si="4"/>
        <v/>
      </c>
      <c r="Z46" s="62" t="str">
        <f t="shared" si="5"/>
        <v/>
      </c>
      <c r="AC46" s="62" t="str">
        <f t="shared" si="6"/>
        <v/>
      </c>
      <c r="AG46" s="62" t="str">
        <f t="shared" si="7"/>
        <v/>
      </c>
      <c r="AJ46" s="62" t="str">
        <f t="shared" si="8"/>
        <v/>
      </c>
      <c r="AN46" s="62" t="str">
        <f t="shared" si="9"/>
        <v/>
      </c>
      <c r="AR46" s="62" t="str">
        <f t="shared" si="10"/>
        <v/>
      </c>
      <c r="AV46" s="62" t="str">
        <f t="shared" si="11"/>
        <v/>
      </c>
      <c r="AY46" s="62" t="str">
        <f t="shared" si="12"/>
        <v/>
      </c>
      <c r="BC46" s="62" t="str">
        <f t="shared" si="13"/>
        <v/>
      </c>
      <c r="BF46" s="62" t="str">
        <f t="shared" si="14"/>
        <v/>
      </c>
      <c r="BJ46" s="62" t="str">
        <f t="shared" si="15"/>
        <v/>
      </c>
      <c r="BM46" s="62" t="str">
        <f t="shared" si="16"/>
        <v/>
      </c>
      <c r="BQ46" s="62" t="str">
        <f t="shared" si="17"/>
        <v/>
      </c>
      <c r="BT46" s="62" t="str">
        <f t="shared" si="18"/>
        <v/>
      </c>
      <c r="BW46" s="62" t="str">
        <f t="shared" si="19"/>
        <v/>
      </c>
      <c r="BX46" s="44" t="s">
        <v>38</v>
      </c>
      <c r="BY46" s="44">
        <v>5</v>
      </c>
      <c r="BZ46" s="44">
        <v>5.5</v>
      </c>
      <c r="CA46" s="62">
        <f t="shared" si="20"/>
        <v>1.1000000000000001</v>
      </c>
      <c r="CB46" s="44">
        <v>35.5</v>
      </c>
      <c r="CC46" s="44">
        <v>27</v>
      </c>
      <c r="CD46" s="62">
        <f t="shared" si="21"/>
        <v>0.76056338028169013</v>
      </c>
    </row>
    <row r="47" spans="1:82" x14ac:dyDescent="0.3">
      <c r="A47" s="49" t="s">
        <v>15</v>
      </c>
      <c r="B47" s="49" t="s">
        <v>134</v>
      </c>
      <c r="C47" s="44" t="s">
        <v>36</v>
      </c>
      <c r="D47" s="44">
        <v>2921.5</v>
      </c>
      <c r="E47" s="44">
        <v>1050</v>
      </c>
      <c r="F47" s="62">
        <f t="shared" si="0"/>
        <v>0.35940441553996233</v>
      </c>
      <c r="G47" s="44" t="s">
        <v>36</v>
      </c>
      <c r="H47" s="44">
        <v>6027</v>
      </c>
      <c r="I47" s="44">
        <v>992</v>
      </c>
      <c r="J47" s="62">
        <f t="shared" si="1"/>
        <v>0.16459266633482661</v>
      </c>
      <c r="K47" s="44" t="s">
        <v>36</v>
      </c>
      <c r="L47" s="44">
        <v>2025</v>
      </c>
      <c r="M47" s="44">
        <v>1108</v>
      </c>
      <c r="N47" s="62">
        <f t="shared" si="2"/>
        <v>0.54716049382716048</v>
      </c>
      <c r="O47" s="44" t="s">
        <v>36</v>
      </c>
      <c r="P47" s="44">
        <v>3625</v>
      </c>
      <c r="Q47" s="44">
        <v>2231</v>
      </c>
      <c r="R47" s="62">
        <f t="shared" si="3"/>
        <v>0.61544827586206896</v>
      </c>
      <c r="S47" s="44" t="s">
        <v>36</v>
      </c>
      <c r="T47" s="44">
        <v>3937.5</v>
      </c>
      <c r="U47" s="44">
        <v>2250</v>
      </c>
      <c r="V47" s="62">
        <f t="shared" si="4"/>
        <v>0.5714285714285714</v>
      </c>
      <c r="W47" s="44" t="s">
        <v>36</v>
      </c>
      <c r="X47" s="44">
        <v>4000</v>
      </c>
      <c r="Y47" s="44">
        <v>1750</v>
      </c>
      <c r="Z47" s="62">
        <f t="shared" si="5"/>
        <v>0.4375</v>
      </c>
      <c r="AA47" s="44">
        <v>3600</v>
      </c>
      <c r="AB47" s="44">
        <v>1600</v>
      </c>
      <c r="AC47" s="62">
        <f t="shared" si="6"/>
        <v>0.44444444444444442</v>
      </c>
      <c r="AD47" s="44" t="s">
        <v>36</v>
      </c>
      <c r="AE47" s="44">
        <v>3611</v>
      </c>
      <c r="AF47" s="44">
        <v>1806</v>
      </c>
      <c r="AG47" s="62">
        <f t="shared" si="7"/>
        <v>0.50013846579894761</v>
      </c>
      <c r="AH47" s="44">
        <v>2900</v>
      </c>
      <c r="AI47" s="44">
        <v>1611</v>
      </c>
      <c r="AJ47" s="62">
        <f t="shared" si="8"/>
        <v>0.55551724137931036</v>
      </c>
      <c r="AK47" s="44" t="s">
        <v>36</v>
      </c>
      <c r="AL47" s="44">
        <v>1000</v>
      </c>
      <c r="AM47" s="44">
        <v>705</v>
      </c>
      <c r="AN47" s="62">
        <f t="shared" si="9"/>
        <v>0.70499999999999996</v>
      </c>
      <c r="AO47" s="44" t="s">
        <v>36</v>
      </c>
      <c r="AP47" s="44">
        <v>1500</v>
      </c>
      <c r="AQ47" s="44">
        <v>938</v>
      </c>
      <c r="AR47" s="62">
        <f t="shared" si="10"/>
        <v>0.6253333333333333</v>
      </c>
      <c r="AS47" s="44" t="s">
        <v>36</v>
      </c>
      <c r="AT47" s="44">
        <v>1350</v>
      </c>
      <c r="AU47" s="44">
        <v>591</v>
      </c>
      <c r="AV47" s="62">
        <f t="shared" si="11"/>
        <v>0.43777777777777777</v>
      </c>
      <c r="AW47" s="44">
        <v>3000</v>
      </c>
      <c r="AX47" s="44">
        <v>1306</v>
      </c>
      <c r="AY47" s="62">
        <f t="shared" si="12"/>
        <v>0.43533333333333335</v>
      </c>
      <c r="AZ47" s="44" t="s">
        <v>36</v>
      </c>
      <c r="BA47" s="44">
        <v>350</v>
      </c>
      <c r="BB47" s="44">
        <v>163</v>
      </c>
      <c r="BC47" s="62">
        <f t="shared" si="13"/>
        <v>0.46571428571428569</v>
      </c>
      <c r="BD47" s="44">
        <v>15</v>
      </c>
      <c r="BE47" s="44">
        <v>10</v>
      </c>
      <c r="BF47" s="62">
        <f t="shared" si="14"/>
        <v>0.66666666666666663</v>
      </c>
      <c r="BJ47" s="62" t="str">
        <f t="shared" si="15"/>
        <v/>
      </c>
      <c r="BM47" s="62" t="str">
        <f t="shared" si="16"/>
        <v/>
      </c>
      <c r="BQ47" s="62" t="str">
        <f t="shared" si="17"/>
        <v/>
      </c>
      <c r="BT47" s="62" t="str">
        <f t="shared" si="18"/>
        <v/>
      </c>
      <c r="BW47" s="62" t="str">
        <f t="shared" si="19"/>
        <v/>
      </c>
      <c r="CA47" s="62" t="str">
        <f t="shared" si="20"/>
        <v/>
      </c>
      <c r="CD47" s="62" t="str">
        <f t="shared" si="21"/>
        <v/>
      </c>
    </row>
    <row r="48" spans="1:82" x14ac:dyDescent="0.3">
      <c r="A48" s="49" t="s">
        <v>238</v>
      </c>
      <c r="B48" s="49" t="s">
        <v>104</v>
      </c>
      <c r="C48" s="44" t="s">
        <v>38</v>
      </c>
      <c r="F48" s="62" t="str">
        <f t="shared" si="0"/>
        <v/>
      </c>
      <c r="J48" s="62" t="str">
        <f t="shared" si="1"/>
        <v/>
      </c>
      <c r="N48" s="62" t="str">
        <f t="shared" si="2"/>
        <v/>
      </c>
      <c r="R48" s="62" t="str">
        <f t="shared" si="3"/>
        <v/>
      </c>
      <c r="V48" s="62" t="str">
        <f t="shared" si="4"/>
        <v/>
      </c>
      <c r="Z48" s="62" t="str">
        <f t="shared" si="5"/>
        <v/>
      </c>
      <c r="AC48" s="62" t="str">
        <f t="shared" si="6"/>
        <v/>
      </c>
      <c r="AG48" s="62" t="str">
        <f t="shared" si="7"/>
        <v/>
      </c>
      <c r="AJ48" s="62" t="str">
        <f t="shared" si="8"/>
        <v/>
      </c>
      <c r="AN48" s="62" t="str">
        <f t="shared" si="9"/>
        <v/>
      </c>
      <c r="AR48" s="62" t="str">
        <f t="shared" si="10"/>
        <v/>
      </c>
      <c r="AV48" s="62" t="str">
        <f t="shared" si="11"/>
        <v/>
      </c>
      <c r="AY48" s="62" t="str">
        <f t="shared" si="12"/>
        <v/>
      </c>
      <c r="BC48" s="62" t="str">
        <f t="shared" si="13"/>
        <v/>
      </c>
      <c r="BF48" s="62" t="str">
        <f t="shared" si="14"/>
        <v/>
      </c>
      <c r="BG48" s="44" t="s">
        <v>38</v>
      </c>
      <c r="BH48" s="44">
        <v>169</v>
      </c>
      <c r="BI48" s="44">
        <v>36</v>
      </c>
      <c r="BJ48" s="62">
        <f t="shared" si="15"/>
        <v>0.21301775147928995</v>
      </c>
      <c r="BK48" s="44">
        <v>414</v>
      </c>
      <c r="BL48" s="44">
        <v>70</v>
      </c>
      <c r="BM48" s="62">
        <f t="shared" si="16"/>
        <v>0.16908212560386474</v>
      </c>
      <c r="BN48" s="44" t="s">
        <v>38</v>
      </c>
      <c r="BO48" s="44">
        <v>808</v>
      </c>
      <c r="BP48" s="44">
        <v>310</v>
      </c>
      <c r="BQ48" s="62">
        <f t="shared" si="17"/>
        <v>0.38366336633663367</v>
      </c>
      <c r="BR48" s="44">
        <v>961.25</v>
      </c>
      <c r="BS48" s="44">
        <v>246.5</v>
      </c>
      <c r="BT48" s="62">
        <f t="shared" si="18"/>
        <v>0.2564369310793238</v>
      </c>
      <c r="BU48" s="44">
        <v>804</v>
      </c>
      <c r="BV48" s="44">
        <v>116</v>
      </c>
      <c r="BW48" s="62">
        <f t="shared" si="19"/>
        <v>0.14427860696517414</v>
      </c>
      <c r="BX48" s="44" t="s">
        <v>38</v>
      </c>
      <c r="BY48" s="44">
        <v>727</v>
      </c>
      <c r="BZ48" s="44">
        <v>181</v>
      </c>
      <c r="CA48" s="62">
        <f t="shared" si="20"/>
        <v>0.24896836313617607</v>
      </c>
      <c r="CB48" s="44">
        <v>1208</v>
      </c>
      <c r="CC48" s="44">
        <v>269</v>
      </c>
      <c r="CD48" s="62">
        <f t="shared" si="21"/>
        <v>0.22268211920529801</v>
      </c>
    </row>
    <row r="49" spans="1:82" x14ac:dyDescent="0.3">
      <c r="A49" s="49" t="s">
        <v>239</v>
      </c>
      <c r="B49" s="49" t="s">
        <v>104</v>
      </c>
      <c r="C49" s="44" t="s">
        <v>38</v>
      </c>
      <c r="F49" s="62" t="str">
        <f t="shared" si="0"/>
        <v/>
      </c>
      <c r="J49" s="62" t="str">
        <f t="shared" si="1"/>
        <v/>
      </c>
      <c r="N49" s="62" t="str">
        <f t="shared" si="2"/>
        <v/>
      </c>
      <c r="R49" s="62" t="str">
        <f t="shared" si="3"/>
        <v/>
      </c>
      <c r="V49" s="62" t="str">
        <f t="shared" si="4"/>
        <v/>
      </c>
      <c r="Z49" s="62" t="str">
        <f t="shared" si="5"/>
        <v/>
      </c>
      <c r="AC49" s="62" t="str">
        <f t="shared" si="6"/>
        <v/>
      </c>
      <c r="AG49" s="62" t="str">
        <f t="shared" si="7"/>
        <v/>
      </c>
      <c r="AJ49" s="62" t="str">
        <f t="shared" si="8"/>
        <v/>
      </c>
      <c r="AN49" s="62" t="str">
        <f t="shared" si="9"/>
        <v/>
      </c>
      <c r="AR49" s="62" t="str">
        <f t="shared" si="10"/>
        <v/>
      </c>
      <c r="AV49" s="62" t="str">
        <f t="shared" si="11"/>
        <v/>
      </c>
      <c r="AY49" s="62" t="str">
        <f t="shared" si="12"/>
        <v/>
      </c>
      <c r="BC49" s="62" t="str">
        <f t="shared" si="13"/>
        <v/>
      </c>
      <c r="BF49" s="62" t="str">
        <f t="shared" si="14"/>
        <v/>
      </c>
      <c r="BG49" s="44" t="s">
        <v>38</v>
      </c>
      <c r="BH49" s="44">
        <v>1399</v>
      </c>
      <c r="BI49" s="44">
        <v>91</v>
      </c>
      <c r="BJ49" s="62">
        <f t="shared" si="15"/>
        <v>6.5046461758398857E-2</v>
      </c>
      <c r="BK49" s="44">
        <v>18480</v>
      </c>
      <c r="BL49" s="44">
        <v>1036</v>
      </c>
      <c r="BM49" s="62">
        <f t="shared" si="16"/>
        <v>5.6060606060606061E-2</v>
      </c>
      <c r="BN49" s="44" t="s">
        <v>38</v>
      </c>
      <c r="BO49" s="44">
        <v>9741</v>
      </c>
      <c r="BP49" s="44">
        <v>749</v>
      </c>
      <c r="BQ49" s="62">
        <f t="shared" si="17"/>
        <v>7.6891489580125247E-2</v>
      </c>
      <c r="BT49" s="62" t="str">
        <f t="shared" si="18"/>
        <v/>
      </c>
      <c r="BW49" s="62" t="str">
        <f t="shared" si="19"/>
        <v/>
      </c>
      <c r="CA49" s="62" t="str">
        <f t="shared" si="20"/>
        <v/>
      </c>
      <c r="CD49" s="62" t="str">
        <f t="shared" si="21"/>
        <v/>
      </c>
    </row>
    <row r="50" spans="1:82" x14ac:dyDescent="0.3">
      <c r="A50" s="49" t="s">
        <v>16</v>
      </c>
      <c r="B50" s="49" t="s">
        <v>104</v>
      </c>
      <c r="C50" s="44" t="s">
        <v>38</v>
      </c>
      <c r="F50" s="62" t="str">
        <f t="shared" si="0"/>
        <v/>
      </c>
      <c r="J50" s="62" t="str">
        <f t="shared" si="1"/>
        <v/>
      </c>
      <c r="N50" s="62" t="str">
        <f t="shared" si="2"/>
        <v/>
      </c>
      <c r="R50" s="62" t="str">
        <f t="shared" si="3"/>
        <v/>
      </c>
      <c r="V50" s="62" t="str">
        <f t="shared" si="4"/>
        <v/>
      </c>
      <c r="Z50" s="62" t="str">
        <f t="shared" si="5"/>
        <v/>
      </c>
      <c r="AC50" s="62" t="str">
        <f t="shared" si="6"/>
        <v/>
      </c>
      <c r="AG50" s="62" t="str">
        <f t="shared" si="7"/>
        <v/>
      </c>
      <c r="AJ50" s="62" t="str">
        <f t="shared" si="8"/>
        <v/>
      </c>
      <c r="AN50" s="62" t="str">
        <f t="shared" si="9"/>
        <v/>
      </c>
      <c r="AR50" s="62" t="str">
        <f t="shared" si="10"/>
        <v/>
      </c>
      <c r="AV50" s="62" t="str">
        <f t="shared" si="11"/>
        <v/>
      </c>
      <c r="AY50" s="62" t="str">
        <f t="shared" si="12"/>
        <v/>
      </c>
      <c r="BC50" s="62" t="str">
        <f t="shared" si="13"/>
        <v/>
      </c>
      <c r="BF50" s="62" t="str">
        <f t="shared" si="14"/>
        <v/>
      </c>
      <c r="BJ50" s="62" t="str">
        <f t="shared" si="15"/>
        <v/>
      </c>
      <c r="BM50" s="62" t="str">
        <f t="shared" si="16"/>
        <v/>
      </c>
      <c r="BN50" s="44" t="s">
        <v>38</v>
      </c>
      <c r="BQ50" s="62" t="str">
        <f t="shared" si="17"/>
        <v/>
      </c>
      <c r="BR50" s="44">
        <v>52.25</v>
      </c>
      <c r="BS50" s="44">
        <v>323</v>
      </c>
      <c r="BT50" s="62">
        <f t="shared" si="18"/>
        <v>6.1818181818181817</v>
      </c>
      <c r="BU50" s="44">
        <v>58</v>
      </c>
      <c r="BV50" s="44">
        <v>111</v>
      </c>
      <c r="BW50" s="62">
        <f t="shared" si="19"/>
        <v>1.9137931034482758</v>
      </c>
      <c r="BX50" s="44" t="s">
        <v>38</v>
      </c>
      <c r="BY50" s="44">
        <v>60</v>
      </c>
      <c r="BZ50" s="44">
        <v>84</v>
      </c>
      <c r="CA50" s="62">
        <f t="shared" si="20"/>
        <v>1.4</v>
      </c>
      <c r="CB50" s="44">
        <v>5.5</v>
      </c>
      <c r="CC50" s="44">
        <v>16</v>
      </c>
      <c r="CD50" s="62">
        <f t="shared" si="21"/>
        <v>2.9090909090909092</v>
      </c>
    </row>
    <row r="51" spans="1:82" x14ac:dyDescent="0.3">
      <c r="A51" s="52" t="s">
        <v>17</v>
      </c>
      <c r="B51" s="49" t="s">
        <v>104</v>
      </c>
      <c r="C51" s="44" t="s">
        <v>38</v>
      </c>
      <c r="D51" s="44">
        <v>139448</v>
      </c>
      <c r="E51" s="44">
        <v>44286</v>
      </c>
      <c r="F51" s="62">
        <f t="shared" si="0"/>
        <v>0.3175807469450978</v>
      </c>
      <c r="J51" s="62" t="str">
        <f t="shared" si="1"/>
        <v/>
      </c>
      <c r="K51" s="44" t="s">
        <v>38</v>
      </c>
      <c r="L51" s="44">
        <v>84000</v>
      </c>
      <c r="M51" s="44">
        <v>36615</v>
      </c>
      <c r="N51" s="62">
        <f t="shared" si="2"/>
        <v>0.43589285714285714</v>
      </c>
      <c r="O51" s="44" t="s">
        <v>38</v>
      </c>
      <c r="P51" s="44">
        <v>88875</v>
      </c>
      <c r="Q51" s="44">
        <v>43269</v>
      </c>
      <c r="R51" s="62">
        <f t="shared" si="3"/>
        <v>0.48685232067510548</v>
      </c>
      <c r="S51" s="44" t="s">
        <v>38</v>
      </c>
      <c r="T51" s="44">
        <v>92550</v>
      </c>
      <c r="U51" s="44">
        <v>38321</v>
      </c>
      <c r="V51" s="62">
        <f t="shared" si="4"/>
        <v>0.41405726634251755</v>
      </c>
      <c r="W51" s="44" t="s">
        <v>38</v>
      </c>
      <c r="X51" s="44">
        <v>123000</v>
      </c>
      <c r="Y51" s="44">
        <v>43250</v>
      </c>
      <c r="Z51" s="62">
        <f t="shared" si="5"/>
        <v>0.3516260162601626</v>
      </c>
      <c r="AA51" s="44">
        <v>125850</v>
      </c>
      <c r="AB51" s="44">
        <v>46646</v>
      </c>
      <c r="AC51" s="62">
        <f t="shared" si="6"/>
        <v>0.370647596344855</v>
      </c>
      <c r="AD51" s="44" t="s">
        <v>38</v>
      </c>
      <c r="AE51" s="44">
        <v>119815</v>
      </c>
      <c r="AF51" s="44">
        <v>40258</v>
      </c>
      <c r="AG51" s="62">
        <f t="shared" si="7"/>
        <v>0.33600133539206278</v>
      </c>
      <c r="AH51" s="44">
        <v>104025</v>
      </c>
      <c r="AI51" s="44">
        <v>28028</v>
      </c>
      <c r="AJ51" s="62">
        <f t="shared" si="8"/>
        <v>0.26943523191540497</v>
      </c>
      <c r="AN51" s="62" t="str">
        <f t="shared" si="9"/>
        <v/>
      </c>
      <c r="AR51" s="62" t="str">
        <f t="shared" si="10"/>
        <v/>
      </c>
      <c r="AV51" s="62" t="str">
        <f t="shared" si="11"/>
        <v/>
      </c>
      <c r="AY51" s="62" t="str">
        <f t="shared" si="12"/>
        <v/>
      </c>
      <c r="AZ51" s="44" t="s">
        <v>38</v>
      </c>
      <c r="BA51" s="44">
        <v>115950</v>
      </c>
      <c r="BB51" s="44">
        <v>45907</v>
      </c>
      <c r="BC51" s="62">
        <f t="shared" si="13"/>
        <v>0.39592065545493749</v>
      </c>
      <c r="BD51" s="44">
        <v>108250</v>
      </c>
      <c r="BE51" s="44">
        <v>49037</v>
      </c>
      <c r="BF51" s="62">
        <f t="shared" si="14"/>
        <v>0.45299769053117783</v>
      </c>
      <c r="BJ51" s="62" t="str">
        <f t="shared" si="15"/>
        <v/>
      </c>
      <c r="BM51" s="62" t="str">
        <f t="shared" si="16"/>
        <v/>
      </c>
      <c r="BQ51" s="62" t="str">
        <f t="shared" si="17"/>
        <v/>
      </c>
      <c r="BT51" s="62" t="str">
        <f t="shared" si="18"/>
        <v/>
      </c>
      <c r="BW51" s="62" t="str">
        <f t="shared" si="19"/>
        <v/>
      </c>
      <c r="CA51" s="62" t="str">
        <f t="shared" si="20"/>
        <v/>
      </c>
      <c r="CD51" s="62" t="str">
        <f t="shared" si="21"/>
        <v/>
      </c>
    </row>
    <row r="52" spans="1:82" x14ac:dyDescent="0.3">
      <c r="A52" s="49" t="s">
        <v>159</v>
      </c>
      <c r="B52" s="49" t="s">
        <v>104</v>
      </c>
      <c r="C52" s="44" t="s">
        <v>38</v>
      </c>
      <c r="F52" s="62" t="str">
        <f t="shared" si="0"/>
        <v/>
      </c>
      <c r="J52" s="62" t="str">
        <f t="shared" si="1"/>
        <v/>
      </c>
      <c r="N52" s="62" t="str">
        <f t="shared" si="2"/>
        <v/>
      </c>
      <c r="R52" s="62" t="str">
        <f t="shared" si="3"/>
        <v/>
      </c>
      <c r="V52" s="62" t="str">
        <f t="shared" si="4"/>
        <v/>
      </c>
      <c r="Z52" s="62" t="str">
        <f t="shared" si="5"/>
        <v/>
      </c>
      <c r="AC52" s="62" t="str">
        <f t="shared" si="6"/>
        <v/>
      </c>
      <c r="AG52" s="62" t="str">
        <f t="shared" si="7"/>
        <v/>
      </c>
      <c r="AJ52" s="62" t="str">
        <f t="shared" si="8"/>
        <v/>
      </c>
      <c r="AK52" s="44" t="s">
        <v>38</v>
      </c>
      <c r="AL52" s="44">
        <v>13500</v>
      </c>
      <c r="AM52" s="44">
        <v>3971</v>
      </c>
      <c r="AN52" s="62">
        <f t="shared" si="9"/>
        <v>0.29414814814814816</v>
      </c>
      <c r="AO52" s="44" t="s">
        <v>38</v>
      </c>
      <c r="AP52" s="44">
        <v>10500</v>
      </c>
      <c r="AQ52" s="44">
        <v>4594</v>
      </c>
      <c r="AR52" s="62">
        <f t="shared" si="10"/>
        <v>0.43752380952380954</v>
      </c>
      <c r="AS52" s="44" t="s">
        <v>38</v>
      </c>
      <c r="AT52" s="44">
        <v>26300</v>
      </c>
      <c r="AU52" s="44">
        <v>8218</v>
      </c>
      <c r="AV52" s="62">
        <f t="shared" si="11"/>
        <v>0.31247148288973386</v>
      </c>
      <c r="AW52" s="44">
        <v>25503</v>
      </c>
      <c r="AX52" s="44">
        <v>8501</v>
      </c>
      <c r="AY52" s="62">
        <f t="shared" si="12"/>
        <v>0.33333333333333331</v>
      </c>
      <c r="BC52" s="62" t="str">
        <f t="shared" si="13"/>
        <v/>
      </c>
      <c r="BF52" s="62" t="str">
        <f t="shared" si="14"/>
        <v/>
      </c>
      <c r="BG52" s="44" t="s">
        <v>38</v>
      </c>
      <c r="BJ52" s="62" t="str">
        <f t="shared" si="15"/>
        <v/>
      </c>
      <c r="BK52" s="44">
        <v>1869</v>
      </c>
      <c r="BL52" s="44">
        <v>577</v>
      </c>
      <c r="BM52" s="62">
        <f t="shared" si="16"/>
        <v>0.30872124130551098</v>
      </c>
      <c r="BN52" s="44" t="s">
        <v>38</v>
      </c>
      <c r="BO52" s="44">
        <v>1267</v>
      </c>
      <c r="BP52" s="44">
        <v>477</v>
      </c>
      <c r="BQ52" s="62">
        <f t="shared" si="17"/>
        <v>0.37647987371744279</v>
      </c>
      <c r="BT52" s="62" t="str">
        <f t="shared" si="18"/>
        <v/>
      </c>
      <c r="BU52" s="44">
        <v>7104</v>
      </c>
      <c r="BV52" s="44">
        <v>1864</v>
      </c>
      <c r="BW52" s="62">
        <f t="shared" si="19"/>
        <v>0.26238738738738737</v>
      </c>
      <c r="BX52" s="44" t="s">
        <v>38</v>
      </c>
      <c r="BY52" s="44">
        <v>16258</v>
      </c>
      <c r="BZ52" s="44">
        <v>5550</v>
      </c>
      <c r="CA52" s="62">
        <f t="shared" si="20"/>
        <v>0.34137040226350107</v>
      </c>
      <c r="CB52" s="44">
        <v>7753.5</v>
      </c>
      <c r="CC52" s="44">
        <v>2637</v>
      </c>
      <c r="CD52" s="62">
        <f t="shared" si="21"/>
        <v>0.34010446894950669</v>
      </c>
    </row>
    <row r="53" spans="1:82" x14ac:dyDescent="0.3">
      <c r="A53" s="49" t="s">
        <v>136</v>
      </c>
      <c r="B53" s="49" t="s">
        <v>104</v>
      </c>
      <c r="C53" s="44" t="s">
        <v>38</v>
      </c>
      <c r="F53" s="62" t="str">
        <f t="shared" si="0"/>
        <v/>
      </c>
      <c r="J53" s="62" t="str">
        <f t="shared" si="1"/>
        <v/>
      </c>
      <c r="N53" s="62" t="str">
        <f t="shared" si="2"/>
        <v/>
      </c>
      <c r="R53" s="62" t="str">
        <f t="shared" si="3"/>
        <v/>
      </c>
      <c r="V53" s="62" t="str">
        <f t="shared" si="4"/>
        <v/>
      </c>
      <c r="Z53" s="62" t="str">
        <f t="shared" si="5"/>
        <v/>
      </c>
      <c r="AC53" s="62" t="str">
        <f t="shared" si="6"/>
        <v/>
      </c>
      <c r="AG53" s="62" t="str">
        <f t="shared" si="7"/>
        <v/>
      </c>
      <c r="AJ53" s="62" t="str">
        <f t="shared" si="8"/>
        <v/>
      </c>
      <c r="AK53" s="44" t="s">
        <v>38</v>
      </c>
      <c r="AL53" s="44">
        <v>7367</v>
      </c>
      <c r="AM53" s="44">
        <v>1300</v>
      </c>
      <c r="AN53" s="62">
        <f t="shared" si="9"/>
        <v>0.17646260350210397</v>
      </c>
      <c r="AO53" s="44" t="s">
        <v>38</v>
      </c>
      <c r="AP53" s="44">
        <v>4500</v>
      </c>
      <c r="AQ53" s="44">
        <v>843</v>
      </c>
      <c r="AR53" s="62">
        <f t="shared" si="10"/>
        <v>0.18733333333333332</v>
      </c>
      <c r="AS53" s="44" t="s">
        <v>38</v>
      </c>
      <c r="AT53" s="44">
        <v>53500</v>
      </c>
      <c r="AU53" s="44">
        <v>10031</v>
      </c>
      <c r="AV53" s="62">
        <f t="shared" si="11"/>
        <v>0.18749532710280373</v>
      </c>
      <c r="AW53" s="44">
        <v>29000</v>
      </c>
      <c r="AX53" s="44">
        <v>5800</v>
      </c>
      <c r="AY53" s="62">
        <f t="shared" si="12"/>
        <v>0.2</v>
      </c>
      <c r="BC53" s="62" t="str">
        <f t="shared" si="13"/>
        <v/>
      </c>
      <c r="BF53" s="62" t="str">
        <f t="shared" si="14"/>
        <v/>
      </c>
      <c r="BJ53" s="62" t="str">
        <f t="shared" si="15"/>
        <v/>
      </c>
      <c r="BM53" s="62" t="str">
        <f t="shared" si="16"/>
        <v/>
      </c>
      <c r="BN53" s="44" t="s">
        <v>38</v>
      </c>
      <c r="BO53" s="44">
        <v>187</v>
      </c>
      <c r="BP53" s="44">
        <v>62</v>
      </c>
      <c r="BQ53" s="62">
        <f t="shared" si="17"/>
        <v>0.33155080213903743</v>
      </c>
      <c r="BT53" s="62" t="str">
        <f t="shared" si="18"/>
        <v/>
      </c>
      <c r="BU53" s="44">
        <v>1372</v>
      </c>
      <c r="BV53" s="44">
        <v>380</v>
      </c>
      <c r="BW53" s="62">
        <f t="shared" si="19"/>
        <v>0.27696793002915454</v>
      </c>
      <c r="BX53" s="44" t="s">
        <v>38</v>
      </c>
      <c r="BY53" s="44">
        <v>4632.5</v>
      </c>
      <c r="BZ53" s="44">
        <v>1012</v>
      </c>
      <c r="CA53" s="62">
        <f t="shared" si="20"/>
        <v>0.21845655693470048</v>
      </c>
      <c r="CB53" s="44">
        <v>3434</v>
      </c>
      <c r="CC53" s="44">
        <v>947</v>
      </c>
      <c r="CD53" s="62">
        <f t="shared" si="21"/>
        <v>0.27577169481654046</v>
      </c>
    </row>
    <row r="54" spans="1:82" x14ac:dyDescent="0.3">
      <c r="A54" s="49" t="s">
        <v>118</v>
      </c>
      <c r="B54" s="49" t="s">
        <v>104</v>
      </c>
      <c r="C54" s="44" t="s">
        <v>38</v>
      </c>
      <c r="F54" s="62" t="str">
        <f t="shared" si="0"/>
        <v/>
      </c>
      <c r="J54" s="62" t="str">
        <f t="shared" si="1"/>
        <v/>
      </c>
      <c r="N54" s="62" t="str">
        <f t="shared" si="2"/>
        <v/>
      </c>
      <c r="R54" s="62" t="str">
        <f t="shared" si="3"/>
        <v/>
      </c>
      <c r="V54" s="62" t="str">
        <f t="shared" si="4"/>
        <v/>
      </c>
      <c r="Z54" s="62" t="str">
        <f t="shared" si="5"/>
        <v/>
      </c>
      <c r="AC54" s="62" t="str">
        <f t="shared" si="6"/>
        <v/>
      </c>
      <c r="AG54" s="62" t="str">
        <f t="shared" si="7"/>
        <v/>
      </c>
      <c r="AJ54" s="62" t="str">
        <f t="shared" si="8"/>
        <v/>
      </c>
      <c r="AK54" s="44" t="s">
        <v>38</v>
      </c>
      <c r="AL54" s="44">
        <v>84170</v>
      </c>
      <c r="AM54" s="44">
        <v>29411</v>
      </c>
      <c r="AN54" s="62">
        <f t="shared" si="9"/>
        <v>0.34942378519662587</v>
      </c>
      <c r="AO54" s="44" t="s">
        <v>38</v>
      </c>
      <c r="AP54" s="44">
        <v>76500</v>
      </c>
      <c r="AQ54" s="44">
        <v>41438</v>
      </c>
      <c r="AR54" s="62">
        <f t="shared" si="10"/>
        <v>0.54167320261437912</v>
      </c>
      <c r="AS54" s="44" t="s">
        <v>38</v>
      </c>
      <c r="AT54" s="44">
        <v>190200</v>
      </c>
      <c r="AU54" s="44">
        <v>71325</v>
      </c>
      <c r="AV54" s="62">
        <f t="shared" si="11"/>
        <v>0.375</v>
      </c>
      <c r="AW54" s="44">
        <v>138000</v>
      </c>
      <c r="AX54" s="44">
        <v>55200</v>
      </c>
      <c r="AY54" s="62">
        <f t="shared" si="12"/>
        <v>0.4</v>
      </c>
      <c r="BC54" s="62" t="str">
        <f t="shared" si="13"/>
        <v/>
      </c>
      <c r="BF54" s="62" t="str">
        <f t="shared" si="14"/>
        <v/>
      </c>
      <c r="BJ54" s="62" t="str">
        <f t="shared" si="15"/>
        <v/>
      </c>
      <c r="BM54" s="62" t="str">
        <f t="shared" si="16"/>
        <v/>
      </c>
      <c r="BN54" s="44" t="s">
        <v>38</v>
      </c>
      <c r="BQ54" s="62" t="str">
        <f t="shared" si="17"/>
        <v/>
      </c>
      <c r="BR54" s="44">
        <v>2763</v>
      </c>
      <c r="BS54" s="44">
        <v>1779</v>
      </c>
      <c r="BT54" s="62">
        <f t="shared" si="18"/>
        <v>0.64386536373507053</v>
      </c>
      <c r="BU54" s="44">
        <v>4599</v>
      </c>
      <c r="BV54" s="44">
        <v>2055</v>
      </c>
      <c r="BW54" s="62">
        <f t="shared" si="19"/>
        <v>0.44683626875407695</v>
      </c>
      <c r="BX54" s="44" t="s">
        <v>38</v>
      </c>
      <c r="BY54" s="44">
        <v>5119</v>
      </c>
      <c r="BZ54" s="44">
        <v>2991</v>
      </c>
      <c r="CA54" s="62">
        <f t="shared" si="20"/>
        <v>0.58429380738425474</v>
      </c>
      <c r="CB54" s="44">
        <v>6015</v>
      </c>
      <c r="CC54" s="44">
        <v>3149</v>
      </c>
      <c r="CD54" s="62">
        <f t="shared" si="21"/>
        <v>0.52352452202826272</v>
      </c>
    </row>
    <row r="55" spans="1:82" x14ac:dyDescent="0.3">
      <c r="A55" s="49" t="s">
        <v>245</v>
      </c>
      <c r="B55" s="49" t="s">
        <v>104</v>
      </c>
      <c r="C55" s="44" t="s">
        <v>38</v>
      </c>
      <c r="F55" s="62" t="str">
        <f t="shared" si="0"/>
        <v/>
      </c>
      <c r="J55" s="62" t="str">
        <f t="shared" si="1"/>
        <v/>
      </c>
      <c r="N55" s="62" t="str">
        <f t="shared" si="2"/>
        <v/>
      </c>
      <c r="R55" s="62" t="str">
        <f t="shared" si="3"/>
        <v/>
      </c>
      <c r="V55" s="62" t="str">
        <f t="shared" si="4"/>
        <v/>
      </c>
      <c r="Z55" s="62" t="str">
        <f t="shared" si="5"/>
        <v/>
      </c>
      <c r="AC55" s="62" t="str">
        <f t="shared" si="6"/>
        <v/>
      </c>
      <c r="AG55" s="62" t="str">
        <f t="shared" si="7"/>
        <v/>
      </c>
      <c r="AJ55" s="62" t="str">
        <f t="shared" si="8"/>
        <v/>
      </c>
      <c r="AK55" s="44" t="s">
        <v>38</v>
      </c>
      <c r="AL55" s="44">
        <v>716</v>
      </c>
      <c r="AM55" s="44">
        <v>453</v>
      </c>
      <c r="AN55" s="62">
        <f t="shared" si="9"/>
        <v>0.63268156424581001</v>
      </c>
      <c r="AO55" s="44" t="s">
        <v>38</v>
      </c>
      <c r="AP55" s="44">
        <v>1150</v>
      </c>
      <c r="AQ55" s="44">
        <v>719</v>
      </c>
      <c r="AR55" s="62">
        <f t="shared" si="10"/>
        <v>0.62521739130434784</v>
      </c>
      <c r="AS55" s="44" t="s">
        <v>38</v>
      </c>
      <c r="AT55" s="44">
        <v>7700</v>
      </c>
      <c r="AU55" s="44">
        <v>2407</v>
      </c>
      <c r="AV55" s="62">
        <f t="shared" si="11"/>
        <v>0.3125974025974026</v>
      </c>
      <c r="AW55" s="44">
        <v>6050</v>
      </c>
      <c r="AX55" s="44">
        <v>4033</v>
      </c>
      <c r="AY55" s="62">
        <f t="shared" si="12"/>
        <v>0.66661157024793394</v>
      </c>
      <c r="BC55" s="62" t="str">
        <f t="shared" si="13"/>
        <v/>
      </c>
      <c r="BF55" s="62" t="str">
        <f t="shared" si="14"/>
        <v/>
      </c>
      <c r="BG55" s="44" t="s">
        <v>38</v>
      </c>
      <c r="BH55" s="44">
        <v>5400</v>
      </c>
      <c r="BI55" s="44">
        <v>1509</v>
      </c>
      <c r="BJ55" s="62">
        <f t="shared" si="15"/>
        <v>0.27944444444444444</v>
      </c>
      <c r="BM55" s="62" t="str">
        <f t="shared" si="16"/>
        <v/>
      </c>
      <c r="BN55" s="44" t="s">
        <v>38</v>
      </c>
      <c r="BQ55" s="62" t="str">
        <f t="shared" si="17"/>
        <v/>
      </c>
      <c r="BR55" s="44">
        <v>435</v>
      </c>
      <c r="BS55" s="44">
        <v>280</v>
      </c>
      <c r="BT55" s="62">
        <f t="shared" si="18"/>
        <v>0.64367816091954022</v>
      </c>
      <c r="BU55" s="44">
        <v>812</v>
      </c>
      <c r="BV55" s="44">
        <v>534</v>
      </c>
      <c r="BW55" s="62">
        <f t="shared" si="19"/>
        <v>0.6576354679802956</v>
      </c>
      <c r="BX55" s="44" t="s">
        <v>38</v>
      </c>
      <c r="BY55" s="44">
        <v>453.5</v>
      </c>
      <c r="BZ55" s="44">
        <v>285</v>
      </c>
      <c r="CA55" s="62">
        <f t="shared" si="20"/>
        <v>0.62844542447629548</v>
      </c>
      <c r="CB55" s="44">
        <v>680</v>
      </c>
      <c r="CC55" s="44">
        <v>636</v>
      </c>
      <c r="CD55" s="62">
        <f t="shared" si="21"/>
        <v>0.93529411764705883</v>
      </c>
    </row>
    <row r="56" spans="1:82" x14ac:dyDescent="0.3">
      <c r="A56" s="53" t="s">
        <v>70</v>
      </c>
      <c r="B56" s="49" t="s">
        <v>104</v>
      </c>
      <c r="C56" s="44" t="s">
        <v>38</v>
      </c>
      <c r="F56" s="62" t="str">
        <f t="shared" si="0"/>
        <v/>
      </c>
      <c r="J56" s="62" t="str">
        <f t="shared" si="1"/>
        <v/>
      </c>
      <c r="N56" s="62" t="str">
        <f t="shared" si="2"/>
        <v/>
      </c>
      <c r="R56" s="62" t="str">
        <f t="shared" si="3"/>
        <v/>
      </c>
      <c r="V56" s="62" t="str">
        <f t="shared" si="4"/>
        <v/>
      </c>
      <c r="Z56" s="62" t="str">
        <f t="shared" si="5"/>
        <v/>
      </c>
      <c r="AC56" s="62" t="str">
        <f t="shared" si="6"/>
        <v/>
      </c>
      <c r="AG56" s="62" t="str">
        <f t="shared" si="7"/>
        <v/>
      </c>
      <c r="AJ56" s="62" t="str">
        <f t="shared" si="8"/>
        <v/>
      </c>
      <c r="AN56" s="62" t="str">
        <f t="shared" si="9"/>
        <v/>
      </c>
      <c r="AO56" s="44" t="s">
        <v>38</v>
      </c>
      <c r="AP56" s="44">
        <v>300</v>
      </c>
      <c r="AQ56" s="44">
        <v>281</v>
      </c>
      <c r="AR56" s="62">
        <f t="shared" si="10"/>
        <v>0.93666666666666665</v>
      </c>
      <c r="AV56" s="62" t="str">
        <f t="shared" si="11"/>
        <v/>
      </c>
      <c r="AY56" s="62" t="str">
        <f t="shared" si="12"/>
        <v/>
      </c>
      <c r="AZ56" s="44" t="s">
        <v>38</v>
      </c>
      <c r="BC56" s="62" t="str">
        <f t="shared" si="13"/>
        <v/>
      </c>
      <c r="BD56" s="44">
        <v>170</v>
      </c>
      <c r="BE56" s="44">
        <v>142</v>
      </c>
      <c r="BF56" s="62">
        <f t="shared" si="14"/>
        <v>0.83529411764705885</v>
      </c>
      <c r="BG56" s="44" t="s">
        <v>38</v>
      </c>
      <c r="BJ56" s="62" t="str">
        <f t="shared" si="15"/>
        <v/>
      </c>
      <c r="BK56" s="44">
        <v>26</v>
      </c>
      <c r="BL56" s="44">
        <v>67</v>
      </c>
      <c r="BM56" s="62">
        <f t="shared" si="16"/>
        <v>2.5769230769230771</v>
      </c>
      <c r="BN56" s="44" t="s">
        <v>38</v>
      </c>
      <c r="BO56" s="44">
        <v>30</v>
      </c>
      <c r="BP56" s="44">
        <v>109</v>
      </c>
      <c r="BQ56" s="62">
        <f t="shared" si="17"/>
        <v>3.6333333333333333</v>
      </c>
      <c r="BR56" s="44">
        <v>31</v>
      </c>
      <c r="BS56" s="44">
        <v>25</v>
      </c>
      <c r="BT56" s="62">
        <f t="shared" si="18"/>
        <v>0.80645161290322576</v>
      </c>
      <c r="BW56" s="62" t="str">
        <f t="shared" si="19"/>
        <v/>
      </c>
      <c r="BX56" s="44" t="s">
        <v>38</v>
      </c>
      <c r="CA56" s="62" t="str">
        <f t="shared" si="20"/>
        <v/>
      </c>
      <c r="CB56" s="44">
        <v>4.5</v>
      </c>
      <c r="CC56" s="44">
        <v>16</v>
      </c>
      <c r="CD56" s="62">
        <f t="shared" si="21"/>
        <v>3.5555555555555554</v>
      </c>
    </row>
    <row r="57" spans="1:82" x14ac:dyDescent="0.3">
      <c r="A57" s="49" t="s">
        <v>44</v>
      </c>
      <c r="B57" s="49" t="s">
        <v>104</v>
      </c>
      <c r="C57" s="44" t="s">
        <v>38</v>
      </c>
      <c r="F57" s="62" t="str">
        <f t="shared" si="0"/>
        <v/>
      </c>
      <c r="J57" s="62" t="str">
        <f t="shared" si="1"/>
        <v/>
      </c>
      <c r="N57" s="62" t="str">
        <f t="shared" si="2"/>
        <v/>
      </c>
      <c r="R57" s="62" t="str">
        <f t="shared" si="3"/>
        <v/>
      </c>
      <c r="V57" s="62" t="str">
        <f t="shared" si="4"/>
        <v/>
      </c>
      <c r="Z57" s="62" t="str">
        <f t="shared" si="5"/>
        <v/>
      </c>
      <c r="AC57" s="62" t="str">
        <f t="shared" si="6"/>
        <v/>
      </c>
      <c r="AG57" s="62" t="str">
        <f t="shared" si="7"/>
        <v/>
      </c>
      <c r="AJ57" s="62" t="str">
        <f t="shared" si="8"/>
        <v/>
      </c>
      <c r="AN57" s="62" t="str">
        <f t="shared" si="9"/>
        <v/>
      </c>
      <c r="AR57" s="62" t="str">
        <f t="shared" si="10"/>
        <v/>
      </c>
      <c r="AV57" s="62" t="str">
        <f t="shared" si="11"/>
        <v/>
      </c>
      <c r="AY57" s="62" t="str">
        <f t="shared" si="12"/>
        <v/>
      </c>
      <c r="BC57" s="62" t="str">
        <f t="shared" si="13"/>
        <v/>
      </c>
      <c r="BF57" s="62" t="str">
        <f t="shared" si="14"/>
        <v/>
      </c>
      <c r="BJ57" s="62" t="str">
        <f t="shared" si="15"/>
        <v/>
      </c>
      <c r="BM57" s="62" t="str">
        <f t="shared" si="16"/>
        <v/>
      </c>
      <c r="BN57" s="44" t="s">
        <v>38</v>
      </c>
      <c r="BQ57" s="62" t="str">
        <f t="shared" si="17"/>
        <v/>
      </c>
      <c r="BT57" s="62" t="str">
        <f t="shared" si="18"/>
        <v/>
      </c>
      <c r="BU57" s="44">
        <v>255</v>
      </c>
      <c r="BV57" s="44">
        <v>658</v>
      </c>
      <c r="BW57" s="62">
        <f t="shared" si="19"/>
        <v>2.5803921568627453</v>
      </c>
      <c r="BX57" s="44" t="s">
        <v>38</v>
      </c>
      <c r="BY57" s="44">
        <v>105</v>
      </c>
      <c r="BZ57" s="44">
        <v>124</v>
      </c>
      <c r="CA57" s="62">
        <f t="shared" si="20"/>
        <v>1.180952380952381</v>
      </c>
      <c r="CB57" s="44">
        <v>120</v>
      </c>
      <c r="CC57" s="44">
        <v>320</v>
      </c>
      <c r="CD57" s="62">
        <f t="shared" si="21"/>
        <v>2.6666666666666665</v>
      </c>
    </row>
    <row r="58" spans="1:82" x14ac:dyDescent="0.3">
      <c r="A58" s="49" t="s">
        <v>18</v>
      </c>
      <c r="B58" s="49" t="s">
        <v>293</v>
      </c>
      <c r="C58" s="44" t="s">
        <v>37</v>
      </c>
      <c r="D58" s="44">
        <v>35</v>
      </c>
      <c r="E58" s="44">
        <v>500</v>
      </c>
      <c r="F58" s="62">
        <f t="shared" si="0"/>
        <v>14.285714285714286</v>
      </c>
      <c r="G58" s="44" t="s">
        <v>37</v>
      </c>
      <c r="H58" s="44">
        <v>40</v>
      </c>
      <c r="I58" s="44">
        <v>675</v>
      </c>
      <c r="J58" s="62">
        <f t="shared" si="1"/>
        <v>16.875</v>
      </c>
      <c r="K58" s="44" t="s">
        <v>37</v>
      </c>
      <c r="L58" s="44">
        <v>50</v>
      </c>
      <c r="M58" s="44">
        <v>855</v>
      </c>
      <c r="N58" s="62">
        <f t="shared" si="2"/>
        <v>17.100000000000001</v>
      </c>
      <c r="O58" s="44" t="s">
        <v>37</v>
      </c>
      <c r="P58" s="44">
        <v>58</v>
      </c>
      <c r="Q58" s="44">
        <v>1115</v>
      </c>
      <c r="R58" s="62">
        <f t="shared" si="3"/>
        <v>19.224137931034484</v>
      </c>
      <c r="S58" s="44" t="s">
        <v>37</v>
      </c>
      <c r="T58" s="44">
        <v>63</v>
      </c>
      <c r="U58" s="44">
        <v>1108</v>
      </c>
      <c r="V58" s="62">
        <f t="shared" si="4"/>
        <v>17.587301587301589</v>
      </c>
      <c r="W58" s="44" t="s">
        <v>37</v>
      </c>
      <c r="X58" s="44">
        <v>54</v>
      </c>
      <c r="Y58" s="44">
        <v>843</v>
      </c>
      <c r="Z58" s="62">
        <f t="shared" si="5"/>
        <v>15.611111111111111</v>
      </c>
      <c r="AA58" s="44">
        <v>50</v>
      </c>
      <c r="AB58" s="44">
        <v>769</v>
      </c>
      <c r="AC58" s="62">
        <f t="shared" si="6"/>
        <v>15.38</v>
      </c>
      <c r="AD58" s="44" t="s">
        <v>37</v>
      </c>
      <c r="AE58" s="44">
        <v>50</v>
      </c>
      <c r="AF58" s="44">
        <v>694</v>
      </c>
      <c r="AG58" s="62">
        <f t="shared" si="7"/>
        <v>13.88</v>
      </c>
      <c r="AH58" s="44">
        <v>40</v>
      </c>
      <c r="AI58" s="44">
        <v>556</v>
      </c>
      <c r="AJ58" s="62">
        <f t="shared" si="8"/>
        <v>13.9</v>
      </c>
      <c r="AK58" s="44" t="s">
        <v>37</v>
      </c>
      <c r="AN58" s="62" t="str">
        <f t="shared" si="9"/>
        <v/>
      </c>
      <c r="AR58" s="62" t="str">
        <f t="shared" si="10"/>
        <v/>
      </c>
      <c r="AV58" s="62" t="str">
        <f t="shared" si="11"/>
        <v/>
      </c>
      <c r="AY58" s="62" t="str">
        <f t="shared" si="12"/>
        <v/>
      </c>
      <c r="BC58" s="62" t="str">
        <f t="shared" si="13"/>
        <v/>
      </c>
      <c r="BF58" s="62" t="str">
        <f t="shared" si="14"/>
        <v/>
      </c>
      <c r="BG58" s="44" t="s">
        <v>38</v>
      </c>
      <c r="BJ58" s="62" t="str">
        <f t="shared" si="15"/>
        <v/>
      </c>
      <c r="BK58" s="44">
        <v>105</v>
      </c>
      <c r="BL58" s="44">
        <v>167</v>
      </c>
      <c r="BM58" s="62">
        <f t="shared" si="16"/>
        <v>1.5904761904761904</v>
      </c>
      <c r="BN58" s="44" t="s">
        <v>38</v>
      </c>
      <c r="BO58" s="44">
        <v>90</v>
      </c>
      <c r="BP58" s="44">
        <v>93</v>
      </c>
      <c r="BQ58" s="62">
        <f t="shared" si="17"/>
        <v>1.0333333333333334</v>
      </c>
      <c r="BR58" s="44">
        <v>243.5</v>
      </c>
      <c r="BS58" s="44">
        <v>471</v>
      </c>
      <c r="BT58" s="62">
        <f t="shared" si="18"/>
        <v>1.9342915811088295</v>
      </c>
      <c r="BW58" s="62" t="str">
        <f t="shared" si="19"/>
        <v/>
      </c>
      <c r="CA58" s="62" t="str">
        <f t="shared" si="20"/>
        <v/>
      </c>
      <c r="CD58" s="62" t="str">
        <f t="shared" si="21"/>
        <v/>
      </c>
    </row>
    <row r="59" spans="1:82" x14ac:dyDescent="0.3">
      <c r="A59" s="49" t="s">
        <v>127</v>
      </c>
      <c r="B59" s="49" t="s">
        <v>104</v>
      </c>
      <c r="C59" s="44" t="s">
        <v>38</v>
      </c>
      <c r="F59" s="62" t="str">
        <f t="shared" si="0"/>
        <v/>
      </c>
      <c r="J59" s="62" t="str">
        <f t="shared" si="1"/>
        <v/>
      </c>
      <c r="N59" s="62" t="str">
        <f t="shared" si="2"/>
        <v/>
      </c>
      <c r="R59" s="62" t="str">
        <f t="shared" si="3"/>
        <v/>
      </c>
      <c r="V59" s="62" t="str">
        <f t="shared" si="4"/>
        <v/>
      </c>
      <c r="Z59" s="62" t="str">
        <f t="shared" si="5"/>
        <v/>
      </c>
      <c r="AC59" s="62" t="str">
        <f t="shared" si="6"/>
        <v/>
      </c>
      <c r="AG59" s="62" t="str">
        <f t="shared" si="7"/>
        <v/>
      </c>
      <c r="AJ59" s="62" t="str">
        <f t="shared" si="8"/>
        <v/>
      </c>
      <c r="AN59" s="62" t="str">
        <f t="shared" si="9"/>
        <v/>
      </c>
      <c r="AO59" s="44" t="s">
        <v>38</v>
      </c>
      <c r="AP59" s="54">
        <v>1050</v>
      </c>
      <c r="AQ59" s="44">
        <v>1312</v>
      </c>
      <c r="AR59" s="62">
        <f t="shared" si="10"/>
        <v>1.2495238095238095</v>
      </c>
      <c r="AV59" s="62" t="str">
        <f t="shared" si="11"/>
        <v/>
      </c>
      <c r="AY59" s="62" t="str">
        <f t="shared" si="12"/>
        <v/>
      </c>
      <c r="BC59" s="62" t="str">
        <f t="shared" si="13"/>
        <v/>
      </c>
      <c r="BF59" s="62" t="str">
        <f t="shared" si="14"/>
        <v/>
      </c>
      <c r="BJ59" s="62" t="str">
        <f t="shared" si="15"/>
        <v/>
      </c>
      <c r="BM59" s="62" t="str">
        <f t="shared" si="16"/>
        <v/>
      </c>
      <c r="BQ59" s="62" t="str">
        <f t="shared" si="17"/>
        <v/>
      </c>
      <c r="BT59" s="62" t="str">
        <f t="shared" si="18"/>
        <v/>
      </c>
      <c r="BW59" s="62" t="str">
        <f t="shared" si="19"/>
        <v/>
      </c>
      <c r="CA59" s="62" t="str">
        <f t="shared" si="20"/>
        <v/>
      </c>
      <c r="CD59" s="62" t="str">
        <f t="shared" si="21"/>
        <v/>
      </c>
    </row>
    <row r="60" spans="1:82" x14ac:dyDescent="0.3">
      <c r="A60" s="49" t="s">
        <v>280</v>
      </c>
      <c r="B60" s="49" t="s">
        <v>104</v>
      </c>
      <c r="C60" s="44" t="s">
        <v>38</v>
      </c>
      <c r="F60" s="62" t="str">
        <f t="shared" si="0"/>
        <v/>
      </c>
      <c r="J60" s="62" t="str">
        <f t="shared" si="1"/>
        <v/>
      </c>
      <c r="N60" s="62" t="str">
        <f t="shared" si="2"/>
        <v/>
      </c>
      <c r="R60" s="62" t="str">
        <f t="shared" si="3"/>
        <v/>
      </c>
      <c r="V60" s="62" t="str">
        <f t="shared" si="4"/>
        <v/>
      </c>
      <c r="Z60" s="62" t="str">
        <f t="shared" si="5"/>
        <v/>
      </c>
      <c r="AC60" s="62" t="str">
        <f t="shared" si="6"/>
        <v/>
      </c>
      <c r="AG60" s="62" t="str">
        <f t="shared" si="7"/>
        <v/>
      </c>
      <c r="AJ60" s="62" t="str">
        <f t="shared" si="8"/>
        <v/>
      </c>
      <c r="AK60" s="44" t="s">
        <v>38</v>
      </c>
      <c r="AL60" s="44">
        <v>900</v>
      </c>
      <c r="AM60" s="44">
        <v>435</v>
      </c>
      <c r="AN60" s="62">
        <f t="shared" si="9"/>
        <v>0.48333333333333334</v>
      </c>
      <c r="AR60" s="62" t="str">
        <f t="shared" si="10"/>
        <v/>
      </c>
      <c r="AV60" s="62" t="str">
        <f t="shared" si="11"/>
        <v/>
      </c>
      <c r="AY60" s="62" t="str">
        <f t="shared" si="12"/>
        <v/>
      </c>
      <c r="BC60" s="62" t="str">
        <f t="shared" si="13"/>
        <v/>
      </c>
      <c r="BF60" s="62" t="str">
        <f t="shared" si="14"/>
        <v/>
      </c>
      <c r="BJ60" s="62" t="str">
        <f t="shared" si="15"/>
        <v/>
      </c>
      <c r="BM60" s="62" t="str">
        <f t="shared" si="16"/>
        <v/>
      </c>
      <c r="BQ60" s="62" t="str">
        <f t="shared" si="17"/>
        <v/>
      </c>
      <c r="BT60" s="62" t="str">
        <f t="shared" si="18"/>
        <v/>
      </c>
      <c r="BW60" s="62" t="str">
        <f t="shared" si="19"/>
        <v/>
      </c>
      <c r="CA60" s="62" t="str">
        <f t="shared" si="20"/>
        <v/>
      </c>
      <c r="CD60" s="62" t="str">
        <f t="shared" si="21"/>
        <v/>
      </c>
    </row>
    <row r="61" spans="1:82" x14ac:dyDescent="0.3">
      <c r="A61" s="49" t="s">
        <v>246</v>
      </c>
      <c r="B61" s="49" t="s">
        <v>104</v>
      </c>
      <c r="C61" s="44" t="s">
        <v>38</v>
      </c>
      <c r="F61" s="62" t="str">
        <f t="shared" si="0"/>
        <v/>
      </c>
      <c r="J61" s="62" t="str">
        <f t="shared" si="1"/>
        <v/>
      </c>
      <c r="N61" s="62" t="str">
        <f t="shared" si="2"/>
        <v/>
      </c>
      <c r="R61" s="62" t="str">
        <f t="shared" si="3"/>
        <v/>
      </c>
      <c r="V61" s="62" t="str">
        <f t="shared" si="4"/>
        <v/>
      </c>
      <c r="Z61" s="62" t="str">
        <f t="shared" si="5"/>
        <v/>
      </c>
      <c r="AC61" s="62" t="str">
        <f t="shared" si="6"/>
        <v/>
      </c>
      <c r="AG61" s="62" t="str">
        <f t="shared" si="7"/>
        <v/>
      </c>
      <c r="AJ61" s="62" t="str">
        <f t="shared" si="8"/>
        <v/>
      </c>
      <c r="AK61" s="44" t="s">
        <v>37</v>
      </c>
      <c r="AL61" s="44">
        <v>16</v>
      </c>
      <c r="AM61" s="44">
        <v>235</v>
      </c>
      <c r="AN61" s="62">
        <f t="shared" si="9"/>
        <v>14.6875</v>
      </c>
      <c r="AO61" s="44" t="s">
        <v>37</v>
      </c>
      <c r="AP61" s="54">
        <v>9</v>
      </c>
      <c r="AQ61" s="44">
        <v>141</v>
      </c>
      <c r="AR61" s="62">
        <f t="shared" si="10"/>
        <v>15.666666666666666</v>
      </c>
      <c r="AV61" s="62" t="str">
        <f t="shared" si="11"/>
        <v/>
      </c>
      <c r="AY61" s="62" t="str">
        <f t="shared" si="12"/>
        <v/>
      </c>
      <c r="BC61" s="62" t="str">
        <f t="shared" si="13"/>
        <v/>
      </c>
      <c r="BF61" s="62" t="str">
        <f t="shared" si="14"/>
        <v/>
      </c>
      <c r="BJ61" s="62" t="str">
        <f t="shared" si="15"/>
        <v/>
      </c>
      <c r="BM61" s="62" t="str">
        <f t="shared" si="16"/>
        <v/>
      </c>
      <c r="BQ61" s="62" t="str">
        <f t="shared" si="17"/>
        <v/>
      </c>
      <c r="BT61" s="62" t="str">
        <f t="shared" si="18"/>
        <v/>
      </c>
      <c r="BW61" s="62" t="str">
        <f t="shared" si="19"/>
        <v/>
      </c>
      <c r="CA61" s="62" t="str">
        <f t="shared" si="20"/>
        <v/>
      </c>
      <c r="CD61" s="62" t="str">
        <f t="shared" si="21"/>
        <v/>
      </c>
    </row>
    <row r="62" spans="1:82" x14ac:dyDescent="0.3">
      <c r="A62" s="49" t="s">
        <v>341</v>
      </c>
      <c r="B62" s="49" t="s">
        <v>104</v>
      </c>
      <c r="C62" s="44" t="s">
        <v>38</v>
      </c>
      <c r="D62" s="44">
        <f>6600*$F$207</f>
        <v>138.48214285714286</v>
      </c>
      <c r="E62" s="44">
        <v>414</v>
      </c>
      <c r="F62" s="62">
        <f t="shared" si="0"/>
        <v>2.9895551257253383</v>
      </c>
      <c r="G62" s="44" t="s">
        <v>35</v>
      </c>
      <c r="H62" s="44">
        <f>4800*$F$207</f>
        <v>100.71428571428572</v>
      </c>
      <c r="I62" s="44">
        <v>379</v>
      </c>
      <c r="J62" s="62">
        <f t="shared" si="1"/>
        <v>3.7631205673758861</v>
      </c>
      <c r="N62" s="62" t="str">
        <f t="shared" si="2"/>
        <v/>
      </c>
      <c r="R62" s="62" t="str">
        <f t="shared" si="3"/>
        <v/>
      </c>
      <c r="V62" s="62" t="str">
        <f t="shared" si="4"/>
        <v/>
      </c>
      <c r="Z62" s="62" t="str">
        <f t="shared" si="5"/>
        <v/>
      </c>
      <c r="AC62" s="62" t="str">
        <f t="shared" si="6"/>
        <v/>
      </c>
      <c r="AG62" s="62" t="str">
        <f t="shared" si="7"/>
        <v/>
      </c>
      <c r="AJ62" s="62" t="str">
        <f t="shared" si="8"/>
        <v/>
      </c>
      <c r="AK62" s="44" t="s">
        <v>38</v>
      </c>
      <c r="AL62" s="44">
        <f>$F$205*309</f>
        <v>940.79464285714289</v>
      </c>
      <c r="AM62" s="44">
        <v>2176</v>
      </c>
      <c r="AN62" s="62">
        <f t="shared" si="9"/>
        <v>2.3129383404986283</v>
      </c>
      <c r="AO62" s="44" t="s">
        <v>38</v>
      </c>
      <c r="AP62" s="54">
        <f>$F$205*100</f>
        <v>304.46428571428572</v>
      </c>
      <c r="AQ62" s="44">
        <v>750</v>
      </c>
      <c r="AR62" s="62">
        <f t="shared" si="10"/>
        <v>2.4633431085043989</v>
      </c>
      <c r="AV62" s="62" t="str">
        <f t="shared" si="11"/>
        <v/>
      </c>
      <c r="AY62" s="62" t="str">
        <f t="shared" si="12"/>
        <v/>
      </c>
      <c r="BC62" s="62" t="str">
        <f t="shared" si="13"/>
        <v/>
      </c>
      <c r="BF62" s="62" t="str">
        <f t="shared" si="14"/>
        <v/>
      </c>
      <c r="BG62" s="44" t="s">
        <v>38</v>
      </c>
      <c r="BH62" s="44">
        <v>177</v>
      </c>
      <c r="BI62" s="44">
        <v>254</v>
      </c>
      <c r="BJ62" s="62">
        <f t="shared" si="15"/>
        <v>1.4350282485875707</v>
      </c>
      <c r="BK62" s="44">
        <v>69</v>
      </c>
      <c r="BL62" s="44">
        <v>159</v>
      </c>
      <c r="BM62" s="62">
        <f t="shared" si="16"/>
        <v>2.3043478260869565</v>
      </c>
      <c r="BN62" s="44" t="s">
        <v>38</v>
      </c>
      <c r="BO62" s="44">
        <v>78</v>
      </c>
      <c r="BP62" s="44">
        <v>119</v>
      </c>
      <c r="BQ62" s="62">
        <f t="shared" si="17"/>
        <v>1.5256410256410255</v>
      </c>
      <c r="BR62" s="44">
        <v>104.5</v>
      </c>
      <c r="BS62" s="44">
        <v>262</v>
      </c>
      <c r="BT62" s="62">
        <f t="shared" si="18"/>
        <v>2.5071770334928232</v>
      </c>
      <c r="BU62" s="44">
        <v>164</v>
      </c>
      <c r="BV62" s="44">
        <v>436</v>
      </c>
      <c r="BW62" s="62">
        <f t="shared" si="19"/>
        <v>2.6585365853658538</v>
      </c>
      <c r="BX62" s="44" t="s">
        <v>38</v>
      </c>
      <c r="BY62" s="44">
        <v>50.25</v>
      </c>
      <c r="BZ62" s="44">
        <v>108</v>
      </c>
      <c r="CA62" s="62">
        <f t="shared" si="20"/>
        <v>2.1492537313432836</v>
      </c>
      <c r="CB62" s="44">
        <v>87.5</v>
      </c>
      <c r="CC62" s="44">
        <v>290</v>
      </c>
      <c r="CD62" s="62">
        <f t="shared" si="21"/>
        <v>3.3142857142857145</v>
      </c>
    </row>
    <row r="63" spans="1:82" x14ac:dyDescent="0.3">
      <c r="A63" s="49" t="s">
        <v>344</v>
      </c>
      <c r="B63" s="49" t="s">
        <v>104</v>
      </c>
      <c r="C63" s="44" t="s">
        <v>38</v>
      </c>
      <c r="F63" s="62" t="str">
        <f t="shared" si="0"/>
        <v/>
      </c>
      <c r="J63" s="62" t="str">
        <f t="shared" si="1"/>
        <v/>
      </c>
      <c r="N63" s="62" t="str">
        <f t="shared" si="2"/>
        <v/>
      </c>
      <c r="R63" s="62" t="str">
        <f t="shared" si="3"/>
        <v/>
      </c>
      <c r="V63" s="62" t="str">
        <f t="shared" si="4"/>
        <v/>
      </c>
      <c r="Z63" s="62" t="str">
        <f t="shared" si="5"/>
        <v/>
      </c>
      <c r="AC63" s="62" t="str">
        <f t="shared" si="6"/>
        <v/>
      </c>
      <c r="AG63" s="62" t="str">
        <f t="shared" si="7"/>
        <v/>
      </c>
      <c r="AJ63" s="62" t="str">
        <f t="shared" si="8"/>
        <v/>
      </c>
      <c r="AN63" s="62" t="str">
        <f t="shared" si="9"/>
        <v/>
      </c>
      <c r="AP63" s="32"/>
      <c r="AR63" s="62" t="str">
        <f t="shared" si="10"/>
        <v/>
      </c>
      <c r="AV63" s="62" t="str">
        <f t="shared" si="11"/>
        <v/>
      </c>
      <c r="AY63" s="62" t="str">
        <f t="shared" si="12"/>
        <v/>
      </c>
      <c r="BC63" s="62" t="str">
        <f t="shared" si="13"/>
        <v/>
      </c>
      <c r="BF63" s="62" t="str">
        <f t="shared" si="14"/>
        <v/>
      </c>
      <c r="BJ63" s="62" t="str">
        <f t="shared" si="15"/>
        <v/>
      </c>
      <c r="BM63" s="62" t="str">
        <f t="shared" si="16"/>
        <v/>
      </c>
      <c r="BN63" s="44" t="s">
        <v>38</v>
      </c>
      <c r="BQ63" s="62" t="str">
        <f t="shared" si="17"/>
        <v/>
      </c>
      <c r="BT63" s="62" t="str">
        <f t="shared" si="18"/>
        <v/>
      </c>
      <c r="BU63" s="44">
        <v>3.25</v>
      </c>
      <c r="BV63" s="44">
        <v>10</v>
      </c>
      <c r="BW63" s="62">
        <f t="shared" si="19"/>
        <v>3.0769230769230771</v>
      </c>
      <c r="BX63" s="44" t="s">
        <v>38</v>
      </c>
      <c r="CA63" s="62" t="str">
        <f t="shared" si="20"/>
        <v/>
      </c>
      <c r="CB63" s="44">
        <v>2</v>
      </c>
      <c r="CC63" s="44">
        <v>13</v>
      </c>
      <c r="CD63" s="62">
        <f t="shared" si="21"/>
        <v>6.5</v>
      </c>
    </row>
    <row r="64" spans="1:82" x14ac:dyDescent="0.3">
      <c r="A64" s="53" t="s">
        <v>351</v>
      </c>
      <c r="B64" s="49" t="s">
        <v>104</v>
      </c>
      <c r="C64" s="44" t="s">
        <v>38</v>
      </c>
      <c r="F64" s="62" t="str">
        <f t="shared" si="0"/>
        <v/>
      </c>
      <c r="J64" s="62" t="str">
        <f t="shared" si="1"/>
        <v/>
      </c>
      <c r="N64" s="62" t="str">
        <f t="shared" si="2"/>
        <v/>
      </c>
      <c r="O64" s="44" t="s">
        <v>38</v>
      </c>
      <c r="R64" s="62" t="str">
        <f t="shared" si="3"/>
        <v/>
      </c>
      <c r="S64" s="44" t="s">
        <v>38</v>
      </c>
      <c r="T64" s="44">
        <v>833</v>
      </c>
      <c r="U64" s="44">
        <v>714</v>
      </c>
      <c r="V64" s="62">
        <f t="shared" si="4"/>
        <v>0.8571428571428571</v>
      </c>
      <c r="Z64" s="62" t="str">
        <f t="shared" si="5"/>
        <v/>
      </c>
      <c r="AC64" s="62" t="str">
        <f t="shared" si="6"/>
        <v/>
      </c>
      <c r="AG64" s="62" t="str">
        <f t="shared" si="7"/>
        <v/>
      </c>
      <c r="AJ64" s="62" t="str">
        <f t="shared" si="8"/>
        <v/>
      </c>
      <c r="AN64" s="62" t="str">
        <f t="shared" si="9"/>
        <v/>
      </c>
      <c r="AR64" s="62" t="str">
        <f t="shared" si="10"/>
        <v/>
      </c>
      <c r="AV64" s="62" t="str">
        <f t="shared" si="11"/>
        <v/>
      </c>
      <c r="AY64" s="62" t="str">
        <f t="shared" si="12"/>
        <v/>
      </c>
      <c r="BC64" s="62" t="str">
        <f t="shared" si="13"/>
        <v/>
      </c>
      <c r="BF64" s="62" t="str">
        <f t="shared" si="14"/>
        <v/>
      </c>
      <c r="BJ64" s="62" t="str">
        <f t="shared" si="15"/>
        <v/>
      </c>
      <c r="BM64" s="62" t="str">
        <f t="shared" si="16"/>
        <v/>
      </c>
      <c r="BQ64" s="62" t="str">
        <f t="shared" si="17"/>
        <v/>
      </c>
      <c r="BT64" s="62" t="str">
        <f t="shared" si="18"/>
        <v/>
      </c>
      <c r="BW64" s="62" t="str">
        <f t="shared" si="19"/>
        <v/>
      </c>
      <c r="CA64" s="62" t="str">
        <f t="shared" si="20"/>
        <v/>
      </c>
      <c r="CD64" s="62" t="str">
        <f t="shared" si="21"/>
        <v/>
      </c>
    </row>
    <row r="65" spans="1:82" x14ac:dyDescent="0.3">
      <c r="A65" s="53" t="s">
        <v>247</v>
      </c>
      <c r="B65" s="49" t="s">
        <v>295</v>
      </c>
      <c r="C65" s="44" t="s">
        <v>43</v>
      </c>
      <c r="F65" s="62" t="str">
        <f t="shared" si="0"/>
        <v/>
      </c>
      <c r="J65" s="62" t="str">
        <f t="shared" si="1"/>
        <v/>
      </c>
      <c r="N65" s="62" t="str">
        <f t="shared" si="2"/>
        <v/>
      </c>
      <c r="R65" s="62" t="str">
        <f t="shared" si="3"/>
        <v/>
      </c>
      <c r="V65" s="62" t="str">
        <f t="shared" si="4"/>
        <v/>
      </c>
      <c r="Z65" s="62" t="str">
        <f t="shared" si="5"/>
        <v/>
      </c>
      <c r="AC65" s="62" t="str">
        <f t="shared" si="6"/>
        <v/>
      </c>
      <c r="AG65" s="62" t="str">
        <f t="shared" si="7"/>
        <v/>
      </c>
      <c r="AJ65" s="62" t="str">
        <f t="shared" si="8"/>
        <v/>
      </c>
      <c r="AN65" s="62" t="str">
        <f t="shared" si="9"/>
        <v/>
      </c>
      <c r="AO65" s="44" t="s">
        <v>43</v>
      </c>
      <c r="AP65" s="54">
        <v>20</v>
      </c>
      <c r="AQ65" s="44">
        <v>12</v>
      </c>
      <c r="AR65" s="62">
        <f t="shared" si="10"/>
        <v>0.6</v>
      </c>
      <c r="AS65" s="44" t="s">
        <v>43</v>
      </c>
      <c r="AT65" s="44">
        <v>5</v>
      </c>
      <c r="AU65" s="44">
        <v>19</v>
      </c>
      <c r="AV65" s="62">
        <f t="shared" si="11"/>
        <v>3.8</v>
      </c>
      <c r="AW65" s="44">
        <v>10</v>
      </c>
      <c r="AX65" s="44">
        <v>40</v>
      </c>
      <c r="AY65" s="62">
        <f t="shared" si="12"/>
        <v>4</v>
      </c>
      <c r="AZ65" s="44" t="s">
        <v>43</v>
      </c>
      <c r="BA65" s="44">
        <v>20</v>
      </c>
      <c r="BB65" s="44">
        <v>80</v>
      </c>
      <c r="BC65" s="62">
        <f t="shared" si="13"/>
        <v>4</v>
      </c>
      <c r="BF65" s="62" t="str">
        <f t="shared" si="14"/>
        <v/>
      </c>
      <c r="BJ65" s="62" t="str">
        <f t="shared" si="15"/>
        <v/>
      </c>
      <c r="BM65" s="62" t="str">
        <f t="shared" si="16"/>
        <v/>
      </c>
      <c r="BQ65" s="62" t="str">
        <f t="shared" si="17"/>
        <v/>
      </c>
      <c r="BT65" s="62" t="str">
        <f t="shared" si="18"/>
        <v/>
      </c>
      <c r="BW65" s="62" t="str">
        <f t="shared" si="19"/>
        <v/>
      </c>
      <c r="CA65" s="62" t="str">
        <f t="shared" si="20"/>
        <v/>
      </c>
      <c r="CD65" s="62" t="str">
        <f t="shared" si="21"/>
        <v/>
      </c>
    </row>
    <row r="66" spans="1:82" x14ac:dyDescent="0.3">
      <c r="A66" s="53" t="s">
        <v>343</v>
      </c>
      <c r="B66" s="49" t="s">
        <v>104</v>
      </c>
      <c r="C66" s="44" t="s">
        <v>38</v>
      </c>
      <c r="F66" s="62" t="str">
        <f t="shared" si="0"/>
        <v/>
      </c>
      <c r="J66" s="62" t="str">
        <f t="shared" si="1"/>
        <v/>
      </c>
      <c r="N66" s="62" t="str">
        <f t="shared" si="2"/>
        <v/>
      </c>
      <c r="R66" s="62" t="str">
        <f t="shared" si="3"/>
        <v/>
      </c>
      <c r="V66" s="62" t="str">
        <f t="shared" si="4"/>
        <v/>
      </c>
      <c r="Z66" s="62" t="str">
        <f t="shared" si="5"/>
        <v/>
      </c>
      <c r="AC66" s="62" t="str">
        <f t="shared" si="6"/>
        <v/>
      </c>
      <c r="AG66" s="62" t="str">
        <f t="shared" si="7"/>
        <v/>
      </c>
      <c r="AJ66" s="62" t="str">
        <f t="shared" si="8"/>
        <v/>
      </c>
      <c r="AN66" s="62" t="str">
        <f t="shared" si="9"/>
        <v/>
      </c>
      <c r="AO66" s="44" t="s">
        <v>38</v>
      </c>
      <c r="AP66" s="44">
        <v>367</v>
      </c>
      <c r="AQ66" s="44">
        <v>344</v>
      </c>
      <c r="AR66" s="62">
        <f t="shared" si="10"/>
        <v>0.93732970027247953</v>
      </c>
      <c r="AS66" s="44" t="s">
        <v>38</v>
      </c>
      <c r="AT66" s="44">
        <v>350</v>
      </c>
      <c r="AU66" s="44">
        <v>218</v>
      </c>
      <c r="AV66" s="62">
        <f t="shared" si="11"/>
        <v>0.62285714285714289</v>
      </c>
      <c r="AW66" s="44">
        <v>399</v>
      </c>
      <c r="AX66" s="44">
        <v>266</v>
      </c>
      <c r="AY66" s="62">
        <f t="shared" si="12"/>
        <v>0.66666666666666663</v>
      </c>
      <c r="AZ66" s="44" t="s">
        <v>38</v>
      </c>
      <c r="BA66" s="44">
        <v>325</v>
      </c>
      <c r="BB66" s="44">
        <v>216</v>
      </c>
      <c r="BC66" s="62">
        <f t="shared" si="13"/>
        <v>0.66461538461538461</v>
      </c>
      <c r="BD66" s="44">
        <v>150</v>
      </c>
      <c r="BE66" s="44">
        <v>120</v>
      </c>
      <c r="BF66" s="62">
        <f t="shared" si="14"/>
        <v>0.8</v>
      </c>
      <c r="BJ66" s="62" t="str">
        <f t="shared" si="15"/>
        <v/>
      </c>
      <c r="BM66" s="62" t="str">
        <f t="shared" si="16"/>
        <v/>
      </c>
      <c r="BQ66" s="62" t="str">
        <f t="shared" si="17"/>
        <v/>
      </c>
      <c r="BT66" s="62" t="str">
        <f t="shared" si="18"/>
        <v/>
      </c>
      <c r="BW66" s="62" t="str">
        <f t="shared" si="19"/>
        <v/>
      </c>
      <c r="CA66" s="62" t="str">
        <f t="shared" si="20"/>
        <v/>
      </c>
      <c r="CD66" s="62" t="str">
        <f t="shared" si="21"/>
        <v/>
      </c>
    </row>
    <row r="67" spans="1:82" x14ac:dyDescent="0.3">
      <c r="A67" s="53" t="s">
        <v>45</v>
      </c>
      <c r="B67" s="49" t="s">
        <v>104</v>
      </c>
      <c r="C67" s="44" t="s">
        <v>38</v>
      </c>
      <c r="F67" s="62" t="str">
        <f t="shared" si="0"/>
        <v/>
      </c>
      <c r="J67" s="62" t="str">
        <f t="shared" si="1"/>
        <v/>
      </c>
      <c r="N67" s="62" t="str">
        <f t="shared" si="2"/>
        <v/>
      </c>
      <c r="R67" s="62" t="str">
        <f t="shared" si="3"/>
        <v/>
      </c>
      <c r="V67" s="62" t="str">
        <f t="shared" si="4"/>
        <v/>
      </c>
      <c r="Z67" s="62" t="str">
        <f t="shared" si="5"/>
        <v/>
      </c>
      <c r="AC67" s="62" t="str">
        <f t="shared" si="6"/>
        <v/>
      </c>
      <c r="AG67" s="62" t="str">
        <f t="shared" si="7"/>
        <v/>
      </c>
      <c r="AJ67" s="62" t="str">
        <f t="shared" si="8"/>
        <v/>
      </c>
      <c r="AN67" s="62" t="str">
        <f t="shared" si="9"/>
        <v/>
      </c>
      <c r="AR67" s="62" t="str">
        <f t="shared" si="10"/>
        <v/>
      </c>
      <c r="AV67" s="62" t="str">
        <f t="shared" si="11"/>
        <v/>
      </c>
      <c r="AY67" s="62" t="str">
        <f t="shared" si="12"/>
        <v/>
      </c>
      <c r="BC67" s="62" t="str">
        <f t="shared" si="13"/>
        <v/>
      </c>
      <c r="BF67" s="62" t="str">
        <f t="shared" si="14"/>
        <v/>
      </c>
      <c r="BG67" s="44" t="s">
        <v>38</v>
      </c>
      <c r="BJ67" s="62" t="str">
        <f t="shared" si="15"/>
        <v/>
      </c>
      <c r="BK67" s="44">
        <v>113</v>
      </c>
      <c r="BL67" s="44">
        <v>28</v>
      </c>
      <c r="BM67" s="62">
        <f t="shared" si="16"/>
        <v>0.24778761061946902</v>
      </c>
      <c r="BN67" s="44" t="s">
        <v>38</v>
      </c>
      <c r="BQ67" s="62" t="str">
        <f t="shared" si="17"/>
        <v/>
      </c>
      <c r="BR67" s="44">
        <v>19.5</v>
      </c>
      <c r="BS67" s="44">
        <v>20</v>
      </c>
      <c r="BT67" s="62">
        <f t="shared" si="18"/>
        <v>1.0256410256410255</v>
      </c>
      <c r="BW67" s="62" t="str">
        <f t="shared" si="19"/>
        <v/>
      </c>
      <c r="BX67" s="44" t="s">
        <v>38</v>
      </c>
      <c r="BY67" s="44">
        <v>54.5</v>
      </c>
      <c r="BZ67" s="44">
        <v>13</v>
      </c>
      <c r="CA67" s="62">
        <f t="shared" si="20"/>
        <v>0.23853211009174313</v>
      </c>
      <c r="CB67" s="44">
        <v>1.5</v>
      </c>
      <c r="CC67" s="44">
        <v>2</v>
      </c>
      <c r="CD67" s="62">
        <f t="shared" si="21"/>
        <v>1.3333333333333333</v>
      </c>
    </row>
    <row r="68" spans="1:82" x14ac:dyDescent="0.3">
      <c r="A68" s="52" t="s">
        <v>48</v>
      </c>
      <c r="B68" s="49" t="s">
        <v>292</v>
      </c>
      <c r="C68" s="44" t="s">
        <v>35</v>
      </c>
      <c r="D68" s="44">
        <v>19000</v>
      </c>
      <c r="E68" s="44">
        <v>579</v>
      </c>
      <c r="F68" s="62">
        <f t="shared" ref="F68:F125" si="22">IFERROR(E68/D68,"")</f>
        <v>3.0473684210526316E-2</v>
      </c>
      <c r="G68" s="44" t="s">
        <v>43</v>
      </c>
      <c r="H68" s="44">
        <v>32800</v>
      </c>
      <c r="I68" s="44">
        <v>432</v>
      </c>
      <c r="J68" s="62">
        <f t="shared" ref="J68:J125" si="23">IFERROR(I68/H68,"")</f>
        <v>1.3170731707317073E-2</v>
      </c>
      <c r="K68" s="44" t="s">
        <v>35</v>
      </c>
      <c r="L68" s="44">
        <v>20750</v>
      </c>
      <c r="M68" s="44">
        <v>568</v>
      </c>
      <c r="N68" s="62">
        <f t="shared" ref="N68:N125" si="24">IFERROR(M68/L68,"")</f>
        <v>2.7373493975903614E-2</v>
      </c>
      <c r="O68" s="44" t="s">
        <v>35</v>
      </c>
      <c r="P68" s="44">
        <v>25500</v>
      </c>
      <c r="Q68" s="44">
        <v>785</v>
      </c>
      <c r="R68" s="62">
        <f t="shared" ref="R68:R125" si="25">IFERROR(Q68/P68,"")</f>
        <v>3.0784313725490196E-2</v>
      </c>
      <c r="S68" s="44" t="s">
        <v>35</v>
      </c>
      <c r="T68" s="44">
        <v>28000</v>
      </c>
      <c r="U68" s="44">
        <v>800</v>
      </c>
      <c r="V68" s="62">
        <f t="shared" ref="V68:V125" si="26">IFERROR(U68/T68,"")</f>
        <v>2.8571428571428571E-2</v>
      </c>
      <c r="Z68" s="62" t="str">
        <f t="shared" ref="Z68:Z125" si="27">IFERROR(Y68/X68,"")</f>
        <v/>
      </c>
      <c r="AC68" s="62" t="str">
        <f t="shared" ref="AC68:AC125" si="28">IFERROR(AB68/AA68,"")</f>
        <v/>
      </c>
      <c r="AG68" s="62" t="str">
        <f t="shared" ref="AG68:AG125" si="29">IFERROR(AF68/AE68,"")</f>
        <v/>
      </c>
      <c r="AJ68" s="62" t="str">
        <f t="shared" ref="AJ68:AJ125" si="30">IFERROR(AI68/AH68,"")</f>
        <v/>
      </c>
      <c r="AN68" s="62" t="str">
        <f t="shared" ref="AN68:AN125" si="31">IFERROR(AM68/AL68,"")</f>
        <v/>
      </c>
      <c r="AR68" s="62" t="str">
        <f t="shared" ref="AR68:AR125" si="32">IFERROR(AQ68/AP68,"")</f>
        <v/>
      </c>
      <c r="AS68" s="44" t="s">
        <v>35</v>
      </c>
      <c r="AV68" s="62" t="str">
        <f t="shared" ref="AV68:AV125" si="33">IFERROR(AU68/AT68,"")</f>
        <v/>
      </c>
      <c r="AW68" s="44">
        <v>3000</v>
      </c>
      <c r="AX68" s="44">
        <v>80</v>
      </c>
      <c r="AY68" s="62">
        <f t="shared" ref="AY68:AY125" si="34">IFERROR(AX68/AW68,"")</f>
        <v>2.6666666666666668E-2</v>
      </c>
      <c r="AZ68" s="44" t="s">
        <v>35</v>
      </c>
      <c r="BA68" s="44">
        <v>2300</v>
      </c>
      <c r="BB68" s="44">
        <v>51</v>
      </c>
      <c r="BC68" s="62">
        <f t="shared" ref="BC68:BC125" si="35">IFERROR(BB68/BA68,"")</f>
        <v>2.2173913043478259E-2</v>
      </c>
      <c r="BD68" s="44">
        <v>2100</v>
      </c>
      <c r="BE68" s="44">
        <v>70</v>
      </c>
      <c r="BF68" s="62">
        <f t="shared" ref="BF68:BF125" si="36">IFERROR(BE68/BD68,"")</f>
        <v>3.3333333333333333E-2</v>
      </c>
      <c r="BJ68" s="62" t="str">
        <f t="shared" ref="BJ68:BJ125" si="37">IFERROR(BI68/BH68,"")</f>
        <v/>
      </c>
      <c r="BM68" s="62" t="str">
        <f t="shared" ref="BM68:BM125" si="38">IFERROR(BL68/BK68,"")</f>
        <v/>
      </c>
      <c r="BQ68" s="62" t="str">
        <f t="shared" ref="BQ68:BQ125" si="39">IFERROR(BP68/BO68,"")</f>
        <v/>
      </c>
      <c r="BT68" s="62" t="str">
        <f t="shared" ref="BT68:BT125" si="40">IFERROR(BS68/BR68,"")</f>
        <v/>
      </c>
      <c r="BW68" s="62" t="str">
        <f t="shared" ref="BW68:BW125" si="41">IFERROR(BV68/BU68,"")</f>
        <v/>
      </c>
      <c r="CA68" s="62" t="str">
        <f t="shared" ref="CA68:CA125" si="42">IFERROR(BZ68/BY68,"")</f>
        <v/>
      </c>
      <c r="CD68" s="62" t="str">
        <f t="shared" ref="CD68:CD125" si="43">IFERROR(CC68/CB68,"")</f>
        <v/>
      </c>
    </row>
    <row r="69" spans="1:82" x14ac:dyDescent="0.3">
      <c r="A69" s="53" t="s">
        <v>20</v>
      </c>
      <c r="B69" s="49" t="s">
        <v>104</v>
      </c>
      <c r="C69" s="44" t="s">
        <v>38</v>
      </c>
      <c r="D69" s="44">
        <v>1286</v>
      </c>
      <c r="E69" s="44">
        <v>1507</v>
      </c>
      <c r="F69" s="62">
        <f t="shared" si="22"/>
        <v>1.1718506998444791</v>
      </c>
      <c r="G69" s="44" t="s">
        <v>38</v>
      </c>
      <c r="H69" s="44">
        <v>9643</v>
      </c>
      <c r="I69" s="44">
        <v>1114</v>
      </c>
      <c r="J69" s="62">
        <f t="shared" si="23"/>
        <v>0.11552421445608213</v>
      </c>
      <c r="K69" s="44" t="s">
        <v>38</v>
      </c>
      <c r="L69" s="44">
        <v>2563</v>
      </c>
      <c r="M69" s="44">
        <v>2222</v>
      </c>
      <c r="N69" s="62">
        <f t="shared" si="24"/>
        <v>0.86695278969957079</v>
      </c>
      <c r="O69" s="44" t="s">
        <v>38</v>
      </c>
      <c r="P69" s="44">
        <v>1575</v>
      </c>
      <c r="Q69" s="44">
        <v>1885</v>
      </c>
      <c r="R69" s="62">
        <f t="shared" si="25"/>
        <v>1.1968253968253968</v>
      </c>
      <c r="S69" s="44" t="s">
        <v>38</v>
      </c>
      <c r="T69" s="44">
        <v>2550</v>
      </c>
      <c r="U69" s="44">
        <v>3186</v>
      </c>
      <c r="V69" s="62">
        <f t="shared" si="26"/>
        <v>1.2494117647058824</v>
      </c>
      <c r="W69" s="44" t="s">
        <v>38</v>
      </c>
      <c r="X69" s="44">
        <v>1960</v>
      </c>
      <c r="Y69" s="44">
        <v>2100</v>
      </c>
      <c r="Z69" s="62">
        <f t="shared" si="27"/>
        <v>1.0714285714285714</v>
      </c>
      <c r="AA69" s="44">
        <v>1820</v>
      </c>
      <c r="AB69" s="44">
        <v>1723</v>
      </c>
      <c r="AC69" s="62">
        <f t="shared" si="28"/>
        <v>0.94670329670329667</v>
      </c>
      <c r="AD69" s="44" t="s">
        <v>38</v>
      </c>
      <c r="AE69" s="44">
        <v>2102.5</v>
      </c>
      <c r="AF69" s="44">
        <v>2028</v>
      </c>
      <c r="AG69" s="62">
        <f t="shared" si="29"/>
        <v>0.96456599286563616</v>
      </c>
      <c r="AH69" s="44">
        <v>1368</v>
      </c>
      <c r="AI69" s="44">
        <v>1583</v>
      </c>
      <c r="AJ69" s="62">
        <f t="shared" si="30"/>
        <v>1.1571637426900585</v>
      </c>
      <c r="AN69" s="62" t="str">
        <f t="shared" si="31"/>
        <v/>
      </c>
      <c r="AR69" s="62" t="str">
        <f t="shared" si="32"/>
        <v/>
      </c>
      <c r="AV69" s="62" t="str">
        <f t="shared" si="33"/>
        <v/>
      </c>
      <c r="AY69" s="62" t="str">
        <f t="shared" si="34"/>
        <v/>
      </c>
      <c r="BC69" s="62" t="str">
        <f t="shared" si="35"/>
        <v/>
      </c>
      <c r="BF69" s="62" t="str">
        <f t="shared" si="36"/>
        <v/>
      </c>
      <c r="BG69" s="44" t="s">
        <v>38</v>
      </c>
      <c r="BH69" s="44">
        <v>4685</v>
      </c>
      <c r="BI69" s="44">
        <v>484</v>
      </c>
      <c r="BJ69" s="62">
        <f t="shared" si="37"/>
        <v>0.10330843116328708</v>
      </c>
      <c r="BK69" s="44">
        <v>7912</v>
      </c>
      <c r="BL69" s="44">
        <v>1043</v>
      </c>
      <c r="BM69" s="62">
        <f t="shared" si="38"/>
        <v>0.13182507583417594</v>
      </c>
      <c r="BQ69" s="62" t="str">
        <f t="shared" si="39"/>
        <v/>
      </c>
      <c r="BT69" s="62" t="str">
        <f t="shared" si="40"/>
        <v/>
      </c>
      <c r="BW69" s="62" t="str">
        <f t="shared" si="41"/>
        <v/>
      </c>
      <c r="CA69" s="62" t="str">
        <f t="shared" si="42"/>
        <v/>
      </c>
      <c r="CD69" s="62" t="str">
        <f t="shared" si="43"/>
        <v/>
      </c>
    </row>
    <row r="70" spans="1:82" x14ac:dyDescent="0.3">
      <c r="A70" s="53" t="s">
        <v>123</v>
      </c>
      <c r="B70" s="49" t="s">
        <v>104</v>
      </c>
      <c r="C70" s="44" t="s">
        <v>38</v>
      </c>
      <c r="F70" s="62" t="str">
        <f t="shared" si="22"/>
        <v/>
      </c>
      <c r="J70" s="62" t="str">
        <f t="shared" si="23"/>
        <v/>
      </c>
      <c r="N70" s="62" t="str">
        <f t="shared" si="24"/>
        <v/>
      </c>
      <c r="R70" s="62" t="str">
        <f t="shared" si="25"/>
        <v/>
      </c>
      <c r="V70" s="62" t="str">
        <f t="shared" si="26"/>
        <v/>
      </c>
      <c r="Z70" s="62" t="str">
        <f t="shared" si="27"/>
        <v/>
      </c>
      <c r="AC70" s="62" t="str">
        <f t="shared" si="28"/>
        <v/>
      </c>
      <c r="AG70" s="62" t="str">
        <f t="shared" si="29"/>
        <v/>
      </c>
      <c r="AJ70" s="62" t="str">
        <f t="shared" si="30"/>
        <v/>
      </c>
      <c r="AK70" s="44" t="s">
        <v>38</v>
      </c>
      <c r="AL70" s="44">
        <v>309</v>
      </c>
      <c r="AM70" s="44">
        <v>756</v>
      </c>
      <c r="AN70" s="62">
        <f t="shared" si="31"/>
        <v>2.4466019417475726</v>
      </c>
      <c r="AO70" s="44" t="s">
        <v>38</v>
      </c>
      <c r="AP70" s="44">
        <v>280</v>
      </c>
      <c r="AQ70" s="44">
        <v>700</v>
      </c>
      <c r="AR70" s="62">
        <f t="shared" si="32"/>
        <v>2.5</v>
      </c>
      <c r="AS70" s="44" t="s">
        <v>38</v>
      </c>
      <c r="AT70" s="44">
        <v>150</v>
      </c>
      <c r="AU70" s="44">
        <v>468</v>
      </c>
      <c r="AV70" s="62">
        <f t="shared" si="33"/>
        <v>3.12</v>
      </c>
      <c r="AW70" s="44">
        <v>100</v>
      </c>
      <c r="AX70" s="44">
        <v>334</v>
      </c>
      <c r="AY70" s="62">
        <f t="shared" si="34"/>
        <v>3.34</v>
      </c>
      <c r="AZ70" s="44" t="s">
        <v>38</v>
      </c>
      <c r="BA70" s="44">
        <v>70</v>
      </c>
      <c r="BB70" s="44">
        <v>234</v>
      </c>
      <c r="BC70" s="62">
        <f t="shared" si="35"/>
        <v>3.342857142857143</v>
      </c>
      <c r="BD70" s="44">
        <v>50</v>
      </c>
      <c r="BE70" s="44">
        <v>166</v>
      </c>
      <c r="BF70" s="62">
        <f t="shared" si="36"/>
        <v>3.32</v>
      </c>
      <c r="BJ70" s="62" t="str">
        <f t="shared" si="37"/>
        <v/>
      </c>
      <c r="BM70" s="62" t="str">
        <f t="shared" si="38"/>
        <v/>
      </c>
      <c r="BN70" s="44" t="s">
        <v>38</v>
      </c>
      <c r="BQ70" s="62" t="str">
        <f t="shared" si="39"/>
        <v/>
      </c>
      <c r="BR70" s="44">
        <v>50.5</v>
      </c>
      <c r="BS70" s="44">
        <v>173</v>
      </c>
      <c r="BT70" s="62">
        <f t="shared" si="40"/>
        <v>3.4257425742574257</v>
      </c>
      <c r="BU70" s="44">
        <v>43</v>
      </c>
      <c r="BV70" s="44">
        <v>62</v>
      </c>
      <c r="BW70" s="62">
        <f t="shared" si="41"/>
        <v>1.441860465116279</v>
      </c>
      <c r="BX70" s="44" t="s">
        <v>38</v>
      </c>
      <c r="BY70" s="44">
        <v>4</v>
      </c>
      <c r="BZ70" s="44">
        <v>20</v>
      </c>
      <c r="CA70" s="62">
        <f t="shared" si="42"/>
        <v>5</v>
      </c>
      <c r="CB70" s="44">
        <v>3</v>
      </c>
      <c r="CC70" s="44">
        <v>30</v>
      </c>
      <c r="CD70" s="62">
        <f t="shared" si="43"/>
        <v>10</v>
      </c>
    </row>
    <row r="71" spans="1:82" x14ac:dyDescent="0.3">
      <c r="A71" s="53" t="s">
        <v>122</v>
      </c>
      <c r="B71" s="49" t="s">
        <v>104</v>
      </c>
      <c r="C71" s="44" t="s">
        <v>38</v>
      </c>
      <c r="F71" s="62" t="str">
        <f t="shared" si="22"/>
        <v/>
      </c>
      <c r="J71" s="62" t="str">
        <f t="shared" si="23"/>
        <v/>
      </c>
      <c r="N71" s="62" t="str">
        <f t="shared" si="24"/>
        <v/>
      </c>
      <c r="R71" s="62" t="str">
        <f t="shared" si="25"/>
        <v/>
      </c>
      <c r="V71" s="62" t="str">
        <f t="shared" si="26"/>
        <v/>
      </c>
      <c r="Z71" s="62" t="str">
        <f t="shared" si="27"/>
        <v/>
      </c>
      <c r="AC71" s="62" t="str">
        <f t="shared" si="28"/>
        <v/>
      </c>
      <c r="AG71" s="62" t="str">
        <f t="shared" si="29"/>
        <v/>
      </c>
      <c r="AJ71" s="62" t="str">
        <f t="shared" si="30"/>
        <v/>
      </c>
      <c r="AN71" s="62" t="str">
        <f t="shared" si="31"/>
        <v/>
      </c>
      <c r="AR71" s="62" t="str">
        <f t="shared" si="32"/>
        <v/>
      </c>
      <c r="AV71" s="62" t="str">
        <f t="shared" si="33"/>
        <v/>
      </c>
      <c r="AY71" s="62" t="str">
        <f t="shared" si="34"/>
        <v/>
      </c>
      <c r="BC71" s="62" t="str">
        <f t="shared" si="35"/>
        <v/>
      </c>
      <c r="BF71" s="62" t="str">
        <f t="shared" si="36"/>
        <v/>
      </c>
      <c r="BJ71" s="62" t="str">
        <f t="shared" si="37"/>
        <v/>
      </c>
      <c r="BM71" s="62" t="str">
        <f t="shared" si="38"/>
        <v/>
      </c>
      <c r="BQ71" s="62" t="str">
        <f t="shared" si="39"/>
        <v/>
      </c>
      <c r="BT71" s="62" t="str">
        <f t="shared" si="40"/>
        <v/>
      </c>
      <c r="BW71" s="62" t="str">
        <f t="shared" si="41"/>
        <v/>
      </c>
      <c r="BX71" s="44" t="s">
        <v>38</v>
      </c>
      <c r="BY71" s="44">
        <v>49.5</v>
      </c>
      <c r="BZ71" s="44">
        <v>83</v>
      </c>
      <c r="CA71" s="62">
        <f t="shared" si="42"/>
        <v>1.6767676767676767</v>
      </c>
      <c r="CB71" s="44">
        <v>36</v>
      </c>
      <c r="CC71" s="44">
        <v>63</v>
      </c>
      <c r="CD71" s="62">
        <f t="shared" si="43"/>
        <v>1.75</v>
      </c>
    </row>
    <row r="72" spans="1:82" x14ac:dyDescent="0.3">
      <c r="A72" s="53" t="s">
        <v>250</v>
      </c>
      <c r="B72" s="49" t="s">
        <v>104</v>
      </c>
      <c r="C72" s="44" t="s">
        <v>38</v>
      </c>
      <c r="F72" s="62" t="str">
        <f t="shared" si="22"/>
        <v/>
      </c>
      <c r="J72" s="62" t="str">
        <f t="shared" si="23"/>
        <v/>
      </c>
      <c r="N72" s="62" t="str">
        <f t="shared" si="24"/>
        <v/>
      </c>
      <c r="R72" s="62" t="str">
        <f t="shared" si="25"/>
        <v/>
      </c>
      <c r="V72" s="62" t="str">
        <f t="shared" si="26"/>
        <v/>
      </c>
      <c r="Z72" s="62" t="str">
        <f t="shared" si="27"/>
        <v/>
      </c>
      <c r="AC72" s="62" t="str">
        <f t="shared" si="28"/>
        <v/>
      </c>
      <c r="AG72" s="62" t="str">
        <f t="shared" si="29"/>
        <v/>
      </c>
      <c r="AJ72" s="62" t="str">
        <f t="shared" si="30"/>
        <v/>
      </c>
      <c r="AK72" s="44" t="s">
        <v>38</v>
      </c>
      <c r="AL72" s="44">
        <v>1740</v>
      </c>
      <c r="AM72" s="44">
        <v>1294</v>
      </c>
      <c r="AN72" s="62">
        <f t="shared" si="31"/>
        <v>0.7436781609195402</v>
      </c>
      <c r="AR72" s="62" t="str">
        <f t="shared" si="32"/>
        <v/>
      </c>
      <c r="AS72" s="44" t="s">
        <v>38</v>
      </c>
      <c r="AT72" s="44">
        <v>280</v>
      </c>
      <c r="AU72" s="44">
        <v>176</v>
      </c>
      <c r="AV72" s="62">
        <f t="shared" si="33"/>
        <v>0.62857142857142856</v>
      </c>
      <c r="AW72" s="44">
        <v>2232</v>
      </c>
      <c r="AX72" s="44">
        <v>1488</v>
      </c>
      <c r="AY72" s="62">
        <f t="shared" si="34"/>
        <v>0.66666666666666663</v>
      </c>
      <c r="AZ72" s="44" t="s">
        <v>38</v>
      </c>
      <c r="BA72" s="44">
        <v>1450</v>
      </c>
      <c r="BB72" s="44">
        <v>966</v>
      </c>
      <c r="BC72" s="62">
        <f t="shared" si="35"/>
        <v>0.66620689655172416</v>
      </c>
      <c r="BD72" s="44">
        <v>1050</v>
      </c>
      <c r="BE72" s="44">
        <v>701</v>
      </c>
      <c r="BF72" s="62">
        <f t="shared" si="36"/>
        <v>0.66761904761904767</v>
      </c>
      <c r="BJ72" s="62" t="str">
        <f t="shared" si="37"/>
        <v/>
      </c>
      <c r="BM72" s="62" t="str">
        <f t="shared" si="38"/>
        <v/>
      </c>
      <c r="BN72" s="44" t="s">
        <v>38</v>
      </c>
      <c r="BO72" s="44">
        <v>4190</v>
      </c>
      <c r="BP72" s="44">
        <v>116</v>
      </c>
      <c r="BQ72" s="62">
        <f t="shared" si="39"/>
        <v>2.7684964200477329E-2</v>
      </c>
      <c r="BR72" s="44">
        <v>1594</v>
      </c>
      <c r="BS72" s="44">
        <v>1129</v>
      </c>
      <c r="BT72" s="62">
        <f t="shared" si="40"/>
        <v>0.70828105395232122</v>
      </c>
      <c r="BU72" s="44">
        <v>3133</v>
      </c>
      <c r="BV72" s="44">
        <v>2379</v>
      </c>
      <c r="BW72" s="62">
        <f t="shared" si="41"/>
        <v>0.75933609958506221</v>
      </c>
      <c r="BX72" s="44" t="s">
        <v>38</v>
      </c>
      <c r="BY72" s="44">
        <v>1485.75</v>
      </c>
      <c r="BZ72" s="44">
        <v>164</v>
      </c>
      <c r="CA72" s="62">
        <f t="shared" si="42"/>
        <v>0.11038196197206798</v>
      </c>
      <c r="CD72" s="62" t="str">
        <f t="shared" si="43"/>
        <v/>
      </c>
    </row>
    <row r="73" spans="1:82" x14ac:dyDescent="0.3">
      <c r="A73" s="49" t="s">
        <v>251</v>
      </c>
      <c r="B73" s="49" t="s">
        <v>104</v>
      </c>
      <c r="C73" s="44" t="s">
        <v>38</v>
      </c>
      <c r="D73" s="44">
        <v>429</v>
      </c>
      <c r="E73" s="44">
        <v>593</v>
      </c>
      <c r="F73" s="62">
        <f t="shared" si="22"/>
        <v>1.3822843822843822</v>
      </c>
      <c r="G73" s="44" t="s">
        <v>38</v>
      </c>
      <c r="H73" s="44">
        <v>217</v>
      </c>
      <c r="I73" s="44">
        <v>641</v>
      </c>
      <c r="J73" s="62">
        <f t="shared" si="23"/>
        <v>2.9539170506912442</v>
      </c>
      <c r="K73" s="44" t="s">
        <v>38</v>
      </c>
      <c r="L73" s="44">
        <v>550</v>
      </c>
      <c r="M73" s="44">
        <v>718</v>
      </c>
      <c r="N73" s="62">
        <f t="shared" si="24"/>
        <v>1.3054545454545454</v>
      </c>
      <c r="O73" s="44" t="s">
        <v>38</v>
      </c>
      <c r="P73" s="44">
        <v>593</v>
      </c>
      <c r="Q73" s="44">
        <v>923</v>
      </c>
      <c r="R73" s="62">
        <f t="shared" si="25"/>
        <v>1.5564924114671164</v>
      </c>
      <c r="S73" s="44" t="s">
        <v>38</v>
      </c>
      <c r="T73" s="44">
        <v>430</v>
      </c>
      <c r="U73" s="44">
        <v>1036</v>
      </c>
      <c r="V73" s="62">
        <f t="shared" si="26"/>
        <v>2.4093023255813955</v>
      </c>
      <c r="W73" s="44" t="s">
        <v>38</v>
      </c>
      <c r="X73" s="44">
        <v>350</v>
      </c>
      <c r="Y73" s="44">
        <v>787</v>
      </c>
      <c r="Z73" s="62">
        <f t="shared" si="27"/>
        <v>2.2485714285714287</v>
      </c>
      <c r="AA73" s="44">
        <v>475</v>
      </c>
      <c r="AB73" s="44">
        <v>708</v>
      </c>
      <c r="AC73" s="62">
        <f t="shared" si="28"/>
        <v>1.4905263157894737</v>
      </c>
      <c r="AD73" s="44" t="s">
        <v>38</v>
      </c>
      <c r="AE73" s="44">
        <v>338</v>
      </c>
      <c r="AF73" s="44">
        <v>594</v>
      </c>
      <c r="AG73" s="62">
        <f t="shared" si="29"/>
        <v>1.7573964497041421</v>
      </c>
      <c r="AJ73" s="62" t="str">
        <f t="shared" si="30"/>
        <v/>
      </c>
      <c r="AN73" s="62" t="str">
        <f t="shared" si="31"/>
        <v/>
      </c>
      <c r="AR73" s="62" t="str">
        <f t="shared" si="32"/>
        <v/>
      </c>
      <c r="AV73" s="62" t="str">
        <f t="shared" si="33"/>
        <v/>
      </c>
      <c r="AY73" s="62" t="str">
        <f t="shared" si="34"/>
        <v/>
      </c>
      <c r="BC73" s="62" t="str">
        <f t="shared" si="35"/>
        <v/>
      </c>
      <c r="BF73" s="62" t="str">
        <f t="shared" si="36"/>
        <v/>
      </c>
      <c r="BJ73" s="62" t="str">
        <f t="shared" si="37"/>
        <v/>
      </c>
      <c r="BM73" s="62" t="str">
        <f t="shared" si="38"/>
        <v/>
      </c>
      <c r="BQ73" s="62" t="str">
        <f t="shared" si="39"/>
        <v/>
      </c>
      <c r="BT73" s="62" t="str">
        <f t="shared" si="40"/>
        <v/>
      </c>
      <c r="BW73" s="62" t="str">
        <f t="shared" si="41"/>
        <v/>
      </c>
      <c r="CA73" s="62" t="str">
        <f t="shared" si="42"/>
        <v/>
      </c>
      <c r="CD73" s="62" t="str">
        <f t="shared" si="43"/>
        <v/>
      </c>
    </row>
    <row r="74" spans="1:82" x14ac:dyDescent="0.3">
      <c r="A74" s="52" t="s">
        <v>21</v>
      </c>
      <c r="B74" s="49" t="s">
        <v>104</v>
      </c>
      <c r="C74" s="44" t="s">
        <v>38</v>
      </c>
      <c r="D74" s="44">
        <v>3571</v>
      </c>
      <c r="E74" s="44">
        <v>2214</v>
      </c>
      <c r="F74" s="62">
        <f t="shared" si="22"/>
        <v>0.61999439932791933</v>
      </c>
      <c r="J74" s="62" t="str">
        <f t="shared" si="23"/>
        <v/>
      </c>
      <c r="K74" s="44" t="s">
        <v>38</v>
      </c>
      <c r="L74" s="44">
        <v>5625</v>
      </c>
      <c r="M74" s="44">
        <v>3077</v>
      </c>
      <c r="N74" s="62">
        <f t="shared" si="24"/>
        <v>0.54702222222222219</v>
      </c>
      <c r="O74" s="44" t="s">
        <v>38</v>
      </c>
      <c r="P74" s="44">
        <v>7500</v>
      </c>
      <c r="Q74" s="44">
        <v>4769</v>
      </c>
      <c r="R74" s="62">
        <f t="shared" si="25"/>
        <v>0.63586666666666669</v>
      </c>
      <c r="S74" s="44" t="s">
        <v>38</v>
      </c>
      <c r="T74" s="44">
        <v>6700</v>
      </c>
      <c r="U74" s="44">
        <v>4214</v>
      </c>
      <c r="V74" s="62">
        <f t="shared" si="26"/>
        <v>0.62895522388059699</v>
      </c>
      <c r="W74" s="44" t="s">
        <v>38</v>
      </c>
      <c r="X74" s="44">
        <v>4298</v>
      </c>
      <c r="Y74" s="44">
        <v>2562</v>
      </c>
      <c r="Z74" s="62">
        <f t="shared" si="27"/>
        <v>0.59609120521172643</v>
      </c>
      <c r="AA74" s="44">
        <v>3520</v>
      </c>
      <c r="AB74" s="44">
        <v>2123</v>
      </c>
      <c r="AC74" s="62">
        <f t="shared" si="28"/>
        <v>0.60312500000000002</v>
      </c>
      <c r="AD74" s="44" t="s">
        <v>38</v>
      </c>
      <c r="AE74" s="44">
        <v>3335</v>
      </c>
      <c r="AF74" s="44">
        <v>2167</v>
      </c>
      <c r="AG74" s="62">
        <f t="shared" si="29"/>
        <v>0.64977511244377806</v>
      </c>
      <c r="AH74" s="44">
        <v>3256</v>
      </c>
      <c r="AI74" s="44">
        <v>1950</v>
      </c>
      <c r="AJ74" s="62">
        <f t="shared" si="30"/>
        <v>0.59889434889434889</v>
      </c>
      <c r="AN74" s="62" t="str">
        <f t="shared" si="31"/>
        <v/>
      </c>
      <c r="AR74" s="62" t="str">
        <f t="shared" si="32"/>
        <v/>
      </c>
      <c r="AV74" s="62" t="str">
        <f t="shared" si="33"/>
        <v/>
      </c>
      <c r="AY74" s="62" t="str">
        <f t="shared" si="34"/>
        <v/>
      </c>
      <c r="BC74" s="62" t="str">
        <f t="shared" si="35"/>
        <v/>
      </c>
      <c r="BF74" s="62" t="str">
        <f t="shared" si="36"/>
        <v/>
      </c>
      <c r="BJ74" s="62" t="str">
        <f t="shared" si="37"/>
        <v/>
      </c>
      <c r="BM74" s="62" t="str">
        <f t="shared" si="38"/>
        <v/>
      </c>
      <c r="BQ74" s="62" t="str">
        <f t="shared" si="39"/>
        <v/>
      </c>
      <c r="BT74" s="62" t="str">
        <f t="shared" si="40"/>
        <v/>
      </c>
      <c r="BW74" s="62" t="str">
        <f t="shared" si="41"/>
        <v/>
      </c>
      <c r="CA74" s="62" t="str">
        <f t="shared" si="42"/>
        <v/>
      </c>
      <c r="CD74" s="62" t="str">
        <f t="shared" si="43"/>
        <v/>
      </c>
    </row>
    <row r="75" spans="1:82" x14ac:dyDescent="0.3">
      <c r="A75" s="49" t="s">
        <v>347</v>
      </c>
      <c r="B75" s="49" t="s">
        <v>104</v>
      </c>
      <c r="C75" s="44" t="s">
        <v>38</v>
      </c>
      <c r="F75" s="62" t="str">
        <f t="shared" si="22"/>
        <v/>
      </c>
      <c r="J75" s="62" t="str">
        <f t="shared" si="23"/>
        <v/>
      </c>
      <c r="N75" s="62" t="str">
        <f t="shared" si="24"/>
        <v/>
      </c>
      <c r="R75" s="62" t="str">
        <f t="shared" si="25"/>
        <v/>
      </c>
      <c r="V75" s="62" t="str">
        <f t="shared" si="26"/>
        <v/>
      </c>
      <c r="Z75" s="62" t="str">
        <f t="shared" si="27"/>
        <v/>
      </c>
      <c r="AC75" s="62" t="str">
        <f t="shared" si="28"/>
        <v/>
      </c>
      <c r="AG75" s="62" t="str">
        <f t="shared" si="29"/>
        <v/>
      </c>
      <c r="AJ75" s="62" t="str">
        <f t="shared" si="30"/>
        <v/>
      </c>
      <c r="AK75" s="44" t="s">
        <v>38</v>
      </c>
      <c r="AL75" s="44">
        <v>1250</v>
      </c>
      <c r="AM75" s="44">
        <v>765</v>
      </c>
      <c r="AN75" s="62">
        <f t="shared" si="31"/>
        <v>0.61199999999999999</v>
      </c>
      <c r="AO75" s="44" t="s">
        <v>38</v>
      </c>
      <c r="AP75" s="44">
        <v>4495</v>
      </c>
      <c r="AQ75" s="44">
        <v>1688</v>
      </c>
      <c r="AR75" s="62">
        <f t="shared" si="32"/>
        <v>0.37552836484983315</v>
      </c>
      <c r="AS75" s="44" t="s">
        <v>38</v>
      </c>
      <c r="AT75" s="44">
        <v>7500</v>
      </c>
      <c r="AU75" s="44">
        <v>1875</v>
      </c>
      <c r="AV75" s="62">
        <f t="shared" si="33"/>
        <v>0.25</v>
      </c>
      <c r="AW75" s="44">
        <v>5000</v>
      </c>
      <c r="AX75" s="44">
        <v>1332</v>
      </c>
      <c r="AY75" s="62">
        <f t="shared" si="34"/>
        <v>0.26640000000000003</v>
      </c>
      <c r="AZ75" s="44" t="s">
        <v>38</v>
      </c>
      <c r="BA75" s="44">
        <v>3000</v>
      </c>
      <c r="BB75" s="44">
        <v>1099</v>
      </c>
      <c r="BC75" s="62">
        <f t="shared" si="35"/>
        <v>0.36633333333333334</v>
      </c>
      <c r="BD75" s="44">
        <v>3300</v>
      </c>
      <c r="BE75" s="44">
        <v>1017</v>
      </c>
      <c r="BF75" s="62">
        <f t="shared" si="36"/>
        <v>0.30818181818181817</v>
      </c>
      <c r="BG75" s="44" t="s">
        <v>38</v>
      </c>
      <c r="BJ75" s="62" t="str">
        <f t="shared" si="37"/>
        <v/>
      </c>
      <c r="BK75" s="44">
        <v>78</v>
      </c>
      <c r="BL75" s="44">
        <v>101</v>
      </c>
      <c r="BM75" s="62">
        <f t="shared" si="38"/>
        <v>1.2948717948717949</v>
      </c>
      <c r="BN75" s="44" t="s">
        <v>38</v>
      </c>
      <c r="BQ75" s="62" t="str">
        <f t="shared" si="39"/>
        <v/>
      </c>
      <c r="BR75" s="44">
        <v>712</v>
      </c>
      <c r="BS75" s="44">
        <v>322</v>
      </c>
      <c r="BT75" s="62">
        <f t="shared" si="40"/>
        <v>0.45224719101123595</v>
      </c>
      <c r="BU75" s="44">
        <v>1486</v>
      </c>
      <c r="BV75" s="44">
        <v>643</v>
      </c>
      <c r="BW75" s="62">
        <f t="shared" si="41"/>
        <v>0.43270524899057872</v>
      </c>
      <c r="BX75" s="44" t="s">
        <v>38</v>
      </c>
      <c r="BY75" s="44">
        <v>615.5</v>
      </c>
      <c r="BZ75" s="44">
        <v>230</v>
      </c>
      <c r="CA75" s="62">
        <f t="shared" si="42"/>
        <v>0.37367993501218522</v>
      </c>
      <c r="CB75" s="44">
        <v>645</v>
      </c>
      <c r="CC75" s="44">
        <v>305</v>
      </c>
      <c r="CD75" s="62">
        <f t="shared" si="43"/>
        <v>0.47286821705426357</v>
      </c>
    </row>
    <row r="76" spans="1:82" x14ac:dyDescent="0.3">
      <c r="A76" s="49" t="s">
        <v>259</v>
      </c>
      <c r="B76" s="49" t="s">
        <v>104</v>
      </c>
      <c r="C76" s="44" t="s">
        <v>38</v>
      </c>
      <c r="F76" s="62" t="str">
        <f t="shared" si="22"/>
        <v/>
      </c>
      <c r="J76" s="62" t="str">
        <f t="shared" si="23"/>
        <v/>
      </c>
      <c r="N76" s="62" t="str">
        <f t="shared" si="24"/>
        <v/>
      </c>
      <c r="R76" s="62" t="str">
        <f t="shared" si="25"/>
        <v/>
      </c>
      <c r="V76" s="62" t="str">
        <f t="shared" si="26"/>
        <v/>
      </c>
      <c r="Z76" s="62" t="str">
        <f t="shared" si="27"/>
        <v/>
      </c>
      <c r="AC76" s="62" t="str">
        <f t="shared" si="28"/>
        <v/>
      </c>
      <c r="AG76" s="62" t="str">
        <f t="shared" si="29"/>
        <v/>
      </c>
      <c r="AJ76" s="62" t="str">
        <f t="shared" si="30"/>
        <v/>
      </c>
      <c r="AK76" s="44" t="s">
        <v>38</v>
      </c>
      <c r="AL76" s="44">
        <v>467</v>
      </c>
      <c r="AM76" s="44">
        <v>412</v>
      </c>
      <c r="AN76" s="62">
        <f t="shared" si="31"/>
        <v>0.88222698072805139</v>
      </c>
      <c r="AO76" s="44" t="s">
        <v>38</v>
      </c>
      <c r="AP76" s="44">
        <v>800</v>
      </c>
      <c r="AQ76" s="44">
        <v>1000</v>
      </c>
      <c r="AR76" s="62">
        <f t="shared" si="32"/>
        <v>1.25</v>
      </c>
      <c r="AS76" s="44" t="s">
        <v>38</v>
      </c>
      <c r="AT76" s="44">
        <v>440</v>
      </c>
      <c r="AU76" s="44">
        <v>440</v>
      </c>
      <c r="AV76" s="62">
        <f t="shared" si="33"/>
        <v>1</v>
      </c>
      <c r="AW76" s="44">
        <v>800</v>
      </c>
      <c r="AX76" s="44">
        <v>907</v>
      </c>
      <c r="AY76" s="62">
        <f t="shared" si="34"/>
        <v>1.13375</v>
      </c>
      <c r="AZ76" s="44" t="s">
        <v>38</v>
      </c>
      <c r="BA76" s="44">
        <v>500</v>
      </c>
      <c r="BB76" s="44">
        <v>567</v>
      </c>
      <c r="BC76" s="62">
        <f t="shared" si="35"/>
        <v>1.1339999999999999</v>
      </c>
      <c r="BD76" s="44">
        <v>520</v>
      </c>
      <c r="BE76" s="44">
        <v>590</v>
      </c>
      <c r="BF76" s="62">
        <f t="shared" si="36"/>
        <v>1.1346153846153846</v>
      </c>
      <c r="BG76" s="44" t="s">
        <v>38</v>
      </c>
      <c r="BH76" s="44">
        <v>1669</v>
      </c>
      <c r="BI76" s="44">
        <v>2661</v>
      </c>
      <c r="BJ76" s="62">
        <f t="shared" si="37"/>
        <v>1.5943678849610545</v>
      </c>
      <c r="BK76" s="44">
        <v>2299</v>
      </c>
      <c r="BL76" s="44">
        <v>2988</v>
      </c>
      <c r="BM76" s="62">
        <f t="shared" si="38"/>
        <v>1.2996955197912137</v>
      </c>
      <c r="BN76" s="44" t="s">
        <v>38</v>
      </c>
      <c r="BO76" s="44">
        <v>572</v>
      </c>
      <c r="BP76" s="44">
        <v>903</v>
      </c>
      <c r="BQ76" s="62">
        <f t="shared" si="39"/>
        <v>1.5786713286713288</v>
      </c>
      <c r="BR76" s="44">
        <v>528</v>
      </c>
      <c r="BS76" s="44">
        <v>438</v>
      </c>
      <c r="BT76" s="62">
        <f t="shared" si="40"/>
        <v>0.82954545454545459</v>
      </c>
      <c r="BU76" s="44">
        <v>1231</v>
      </c>
      <c r="BV76" s="44">
        <v>328</v>
      </c>
      <c r="BW76" s="62">
        <f t="shared" si="41"/>
        <v>0.26645004061738425</v>
      </c>
      <c r="BX76" s="44" t="s">
        <v>38</v>
      </c>
      <c r="BY76" s="44">
        <v>650</v>
      </c>
      <c r="BZ76" s="44">
        <v>760</v>
      </c>
      <c r="CA76" s="62">
        <f t="shared" si="42"/>
        <v>1.1692307692307693</v>
      </c>
      <c r="CB76" s="44">
        <v>1501</v>
      </c>
      <c r="CC76" s="44">
        <v>2729</v>
      </c>
      <c r="CD76" s="62">
        <f t="shared" si="43"/>
        <v>1.8181212524983343</v>
      </c>
    </row>
    <row r="77" spans="1:82" x14ac:dyDescent="0.3">
      <c r="A77" s="77" t="s">
        <v>345</v>
      </c>
      <c r="B77" s="49" t="s">
        <v>104</v>
      </c>
      <c r="C77" s="44" t="s">
        <v>38</v>
      </c>
      <c r="F77" s="62" t="str">
        <f t="shared" si="22"/>
        <v/>
      </c>
      <c r="J77" s="62" t="str">
        <f t="shared" si="23"/>
        <v/>
      </c>
      <c r="N77" s="62" t="str">
        <f t="shared" si="24"/>
        <v/>
      </c>
      <c r="R77" s="62" t="str">
        <f t="shared" si="25"/>
        <v/>
      </c>
      <c r="V77" s="62" t="str">
        <f t="shared" si="26"/>
        <v/>
      </c>
      <c r="Z77" s="62" t="str">
        <f t="shared" si="27"/>
        <v/>
      </c>
      <c r="AC77" s="62" t="str">
        <f t="shared" si="28"/>
        <v/>
      </c>
      <c r="AG77" s="62" t="str">
        <f t="shared" si="29"/>
        <v/>
      </c>
      <c r="AJ77" s="62" t="str">
        <f t="shared" si="30"/>
        <v/>
      </c>
      <c r="AN77" s="62" t="str">
        <f t="shared" si="31"/>
        <v/>
      </c>
      <c r="AR77" s="62" t="str">
        <f t="shared" si="32"/>
        <v/>
      </c>
      <c r="AV77" s="62" t="str">
        <f t="shared" si="33"/>
        <v/>
      </c>
      <c r="AY77" s="62" t="str">
        <f t="shared" si="34"/>
        <v/>
      </c>
      <c r="BC77" s="62" t="str">
        <f t="shared" si="35"/>
        <v/>
      </c>
      <c r="BF77" s="62" t="str">
        <f t="shared" si="36"/>
        <v/>
      </c>
      <c r="BG77" s="44" t="s">
        <v>38</v>
      </c>
      <c r="BH77" s="44">
        <v>43</v>
      </c>
      <c r="BI77" s="44">
        <v>27</v>
      </c>
      <c r="BJ77" s="62">
        <f t="shared" si="37"/>
        <v>0.62790697674418605</v>
      </c>
      <c r="BK77" s="44">
        <v>36</v>
      </c>
      <c r="BL77" s="44">
        <v>30</v>
      </c>
      <c r="BM77" s="62">
        <f t="shared" si="38"/>
        <v>0.83333333333333337</v>
      </c>
      <c r="BQ77" s="62" t="str">
        <f t="shared" si="39"/>
        <v/>
      </c>
      <c r="BT77" s="62" t="str">
        <f t="shared" si="40"/>
        <v/>
      </c>
      <c r="BW77" s="62" t="str">
        <f t="shared" si="41"/>
        <v/>
      </c>
      <c r="CA77" s="62" t="str">
        <f t="shared" si="42"/>
        <v/>
      </c>
      <c r="CD77" s="62" t="str">
        <f t="shared" si="43"/>
        <v/>
      </c>
    </row>
    <row r="78" spans="1:82" x14ac:dyDescent="0.3">
      <c r="A78" s="77" t="s">
        <v>22</v>
      </c>
      <c r="B78" s="49" t="s">
        <v>104</v>
      </c>
      <c r="C78" s="44" t="s">
        <v>38</v>
      </c>
      <c r="F78" s="62" t="str">
        <f t="shared" si="22"/>
        <v/>
      </c>
      <c r="J78" s="62" t="str">
        <f t="shared" si="23"/>
        <v/>
      </c>
      <c r="N78" s="62" t="str">
        <f t="shared" si="24"/>
        <v/>
      </c>
      <c r="R78" s="62" t="str">
        <f t="shared" si="25"/>
        <v/>
      </c>
      <c r="V78" s="62" t="str">
        <f t="shared" si="26"/>
        <v/>
      </c>
      <c r="Z78" s="62" t="str">
        <f t="shared" si="27"/>
        <v/>
      </c>
      <c r="AC78" s="62" t="str">
        <f t="shared" si="28"/>
        <v/>
      </c>
      <c r="AG78" s="62" t="str">
        <f t="shared" si="29"/>
        <v/>
      </c>
      <c r="AJ78" s="62" t="str">
        <f t="shared" si="30"/>
        <v/>
      </c>
      <c r="AN78" s="62" t="str">
        <f t="shared" si="31"/>
        <v/>
      </c>
      <c r="AR78" s="62" t="str">
        <f t="shared" si="32"/>
        <v/>
      </c>
      <c r="AV78" s="62" t="str">
        <f t="shared" si="33"/>
        <v/>
      </c>
      <c r="AY78" s="62" t="str">
        <f t="shared" si="34"/>
        <v/>
      </c>
      <c r="BC78" s="62" t="str">
        <f t="shared" si="35"/>
        <v/>
      </c>
      <c r="BF78" s="62" t="str">
        <f t="shared" si="36"/>
        <v/>
      </c>
      <c r="BJ78" s="62" t="str">
        <f t="shared" si="37"/>
        <v/>
      </c>
      <c r="BM78" s="62" t="str">
        <f t="shared" si="38"/>
        <v/>
      </c>
      <c r="BQ78" s="62" t="str">
        <f t="shared" si="39"/>
        <v/>
      </c>
      <c r="BT78" s="62" t="str">
        <f t="shared" si="40"/>
        <v/>
      </c>
      <c r="BW78" s="62" t="str">
        <f t="shared" si="41"/>
        <v/>
      </c>
      <c r="CA78" s="62" t="str">
        <f t="shared" si="42"/>
        <v/>
      </c>
      <c r="CD78" s="62" t="str">
        <f t="shared" si="43"/>
        <v/>
      </c>
    </row>
    <row r="79" spans="1:82" x14ac:dyDescent="0.3">
      <c r="A79" s="49" t="s">
        <v>23</v>
      </c>
      <c r="B79" s="49" t="s">
        <v>104</v>
      </c>
      <c r="C79" s="44" t="s">
        <v>38</v>
      </c>
      <c r="F79" s="62" t="str">
        <f t="shared" si="22"/>
        <v/>
      </c>
      <c r="J79" s="62" t="str">
        <f t="shared" si="23"/>
        <v/>
      </c>
      <c r="N79" s="62" t="str">
        <f t="shared" si="24"/>
        <v/>
      </c>
      <c r="R79" s="62" t="str">
        <f t="shared" si="25"/>
        <v/>
      </c>
      <c r="V79" s="62" t="str">
        <f t="shared" si="26"/>
        <v/>
      </c>
      <c r="Z79" s="62" t="str">
        <f t="shared" si="27"/>
        <v/>
      </c>
      <c r="AC79" s="62" t="str">
        <f t="shared" si="28"/>
        <v/>
      </c>
      <c r="AG79" s="62" t="str">
        <f t="shared" si="29"/>
        <v/>
      </c>
      <c r="AJ79" s="62" t="str">
        <f t="shared" si="30"/>
        <v/>
      </c>
      <c r="AN79" s="62" t="str">
        <f t="shared" si="31"/>
        <v/>
      </c>
      <c r="AR79" s="62" t="str">
        <f t="shared" si="32"/>
        <v/>
      </c>
      <c r="AV79" s="62" t="str">
        <f t="shared" si="33"/>
        <v/>
      </c>
      <c r="AY79" s="62" t="str">
        <f t="shared" si="34"/>
        <v/>
      </c>
      <c r="BC79" s="62" t="str">
        <f t="shared" si="35"/>
        <v/>
      </c>
      <c r="BF79" s="62" t="str">
        <f t="shared" si="36"/>
        <v/>
      </c>
      <c r="BJ79" s="62" t="str">
        <f t="shared" si="37"/>
        <v/>
      </c>
      <c r="BM79" s="62" t="str">
        <f t="shared" si="38"/>
        <v/>
      </c>
      <c r="BQ79" s="62" t="str">
        <f t="shared" si="39"/>
        <v/>
      </c>
      <c r="BT79" s="62" t="str">
        <f t="shared" si="40"/>
        <v/>
      </c>
      <c r="BW79" s="62" t="str">
        <f t="shared" si="41"/>
        <v/>
      </c>
      <c r="CA79" s="62" t="str">
        <f t="shared" si="42"/>
        <v/>
      </c>
      <c r="CD79" s="62" t="str">
        <f t="shared" si="43"/>
        <v/>
      </c>
    </row>
    <row r="80" spans="1:82" x14ac:dyDescent="0.3">
      <c r="A80" s="49" t="s">
        <v>252</v>
      </c>
      <c r="B80" s="49" t="s">
        <v>104</v>
      </c>
      <c r="C80" s="44" t="s">
        <v>38</v>
      </c>
      <c r="F80" s="62" t="str">
        <f t="shared" si="22"/>
        <v/>
      </c>
      <c r="J80" s="62" t="str">
        <f t="shared" si="23"/>
        <v/>
      </c>
      <c r="N80" s="62" t="str">
        <f t="shared" si="24"/>
        <v/>
      </c>
      <c r="R80" s="62" t="str">
        <f t="shared" si="25"/>
        <v/>
      </c>
      <c r="V80" s="62" t="str">
        <f t="shared" si="26"/>
        <v/>
      </c>
      <c r="Z80" s="62" t="str">
        <f t="shared" si="27"/>
        <v/>
      </c>
      <c r="AC80" s="62" t="str">
        <f t="shared" si="28"/>
        <v/>
      </c>
      <c r="AG80" s="62" t="str">
        <f t="shared" si="29"/>
        <v/>
      </c>
      <c r="AJ80" s="62" t="str">
        <f t="shared" si="30"/>
        <v/>
      </c>
      <c r="AN80" s="62" t="str">
        <f t="shared" si="31"/>
        <v/>
      </c>
      <c r="AR80" s="62" t="str">
        <f t="shared" si="32"/>
        <v/>
      </c>
      <c r="AS80" s="44" t="s">
        <v>38</v>
      </c>
      <c r="AV80" s="62" t="str">
        <f t="shared" si="33"/>
        <v/>
      </c>
      <c r="AW80" s="44">
        <v>60</v>
      </c>
      <c r="AX80" s="44">
        <v>101</v>
      </c>
      <c r="AY80" s="62">
        <f t="shared" si="34"/>
        <v>1.6833333333333333</v>
      </c>
      <c r="AZ80" s="44" t="s">
        <v>38</v>
      </c>
      <c r="BA80" s="44">
        <v>50</v>
      </c>
      <c r="BB80" s="44">
        <v>84</v>
      </c>
      <c r="BC80" s="62">
        <f t="shared" si="35"/>
        <v>1.68</v>
      </c>
      <c r="BD80" s="44">
        <v>50</v>
      </c>
      <c r="BE80" s="44">
        <v>83</v>
      </c>
      <c r="BF80" s="62">
        <f t="shared" si="36"/>
        <v>1.66</v>
      </c>
      <c r="BG80" s="44" t="s">
        <v>38</v>
      </c>
      <c r="BJ80" s="62" t="str">
        <f t="shared" si="37"/>
        <v/>
      </c>
      <c r="BK80" s="44">
        <v>306</v>
      </c>
      <c r="BL80" s="44">
        <v>201</v>
      </c>
      <c r="BM80" s="62">
        <f t="shared" si="38"/>
        <v>0.65686274509803921</v>
      </c>
      <c r="BN80" s="44" t="s">
        <v>38</v>
      </c>
      <c r="BO80" s="44">
        <v>771</v>
      </c>
      <c r="BP80" s="44">
        <v>612</v>
      </c>
      <c r="BQ80" s="62">
        <f t="shared" si="39"/>
        <v>0.79377431906614782</v>
      </c>
      <c r="BR80" s="44">
        <v>827.25</v>
      </c>
      <c r="BS80" s="44">
        <v>332</v>
      </c>
      <c r="BT80" s="62">
        <f t="shared" si="40"/>
        <v>0.40132970686007857</v>
      </c>
      <c r="BW80" s="62" t="str">
        <f t="shared" si="41"/>
        <v/>
      </c>
      <c r="CA80" s="62" t="str">
        <f t="shared" si="42"/>
        <v/>
      </c>
      <c r="CD80" s="62" t="str">
        <f t="shared" si="43"/>
        <v/>
      </c>
    </row>
    <row r="81" spans="1:82" x14ac:dyDescent="0.3">
      <c r="A81" s="77" t="s">
        <v>281</v>
      </c>
      <c r="B81" s="49" t="s">
        <v>104</v>
      </c>
      <c r="C81" s="44" t="s">
        <v>38</v>
      </c>
      <c r="F81" s="62" t="str">
        <f t="shared" si="22"/>
        <v/>
      </c>
      <c r="J81" s="62" t="str">
        <f t="shared" si="23"/>
        <v/>
      </c>
      <c r="N81" s="62" t="str">
        <f t="shared" si="24"/>
        <v/>
      </c>
      <c r="R81" s="62" t="str">
        <f t="shared" si="25"/>
        <v/>
      </c>
      <c r="V81" s="62" t="str">
        <f t="shared" si="26"/>
        <v/>
      </c>
      <c r="Z81" s="62" t="str">
        <f t="shared" si="27"/>
        <v/>
      </c>
      <c r="AC81" s="62" t="str">
        <f t="shared" si="28"/>
        <v/>
      </c>
      <c r="AG81" s="62" t="str">
        <f t="shared" si="29"/>
        <v/>
      </c>
      <c r="AJ81" s="62" t="str">
        <f t="shared" si="30"/>
        <v/>
      </c>
      <c r="AN81" s="62" t="str">
        <f t="shared" si="31"/>
        <v/>
      </c>
      <c r="AR81" s="62" t="str">
        <f t="shared" si="32"/>
        <v/>
      </c>
      <c r="AV81" s="62" t="str">
        <f t="shared" si="33"/>
        <v/>
      </c>
      <c r="AY81" s="62" t="str">
        <f t="shared" si="34"/>
        <v/>
      </c>
      <c r="BC81" s="62" t="str">
        <f t="shared" si="35"/>
        <v/>
      </c>
      <c r="BF81" s="62" t="str">
        <f t="shared" si="36"/>
        <v/>
      </c>
      <c r="BJ81" s="62" t="str">
        <f t="shared" si="37"/>
        <v/>
      </c>
      <c r="BM81" s="62" t="str">
        <f t="shared" si="38"/>
        <v/>
      </c>
      <c r="BN81" s="44" t="s">
        <v>38</v>
      </c>
      <c r="BQ81" s="62" t="str">
        <f t="shared" si="39"/>
        <v/>
      </c>
      <c r="BT81" s="62" t="str">
        <f t="shared" si="40"/>
        <v/>
      </c>
      <c r="BU81" s="44">
        <v>1595</v>
      </c>
      <c r="BV81" s="44">
        <v>2148</v>
      </c>
      <c r="BW81" s="62">
        <f t="shared" si="41"/>
        <v>1.3467084639498432</v>
      </c>
      <c r="BX81" s="44" t="s">
        <v>38</v>
      </c>
      <c r="BY81" s="44">
        <v>1160.75</v>
      </c>
      <c r="BZ81" s="44">
        <v>1572</v>
      </c>
      <c r="CA81" s="62">
        <f t="shared" si="42"/>
        <v>1.3542967908679733</v>
      </c>
      <c r="CB81" s="44">
        <v>1544.5</v>
      </c>
      <c r="CC81" s="44">
        <v>1887</v>
      </c>
      <c r="CD81" s="62">
        <f t="shared" si="43"/>
        <v>1.221754613143412</v>
      </c>
    </row>
    <row r="82" spans="1:82" x14ac:dyDescent="0.3">
      <c r="A82" s="49" t="s">
        <v>253</v>
      </c>
      <c r="B82" s="49" t="s">
        <v>296</v>
      </c>
      <c r="C82" s="44" t="s">
        <v>71</v>
      </c>
      <c r="F82" s="62" t="str">
        <f t="shared" si="22"/>
        <v/>
      </c>
      <c r="J82" s="62" t="str">
        <f t="shared" si="23"/>
        <v/>
      </c>
      <c r="N82" s="62" t="str">
        <f t="shared" si="24"/>
        <v/>
      </c>
      <c r="R82" s="62" t="str">
        <f t="shared" si="25"/>
        <v/>
      </c>
      <c r="V82" s="62" t="str">
        <f t="shared" si="26"/>
        <v/>
      </c>
      <c r="Z82" s="62" t="str">
        <f t="shared" si="27"/>
        <v/>
      </c>
      <c r="AC82" s="62" t="str">
        <f t="shared" si="28"/>
        <v/>
      </c>
      <c r="AG82" s="62" t="str">
        <f t="shared" si="29"/>
        <v/>
      </c>
      <c r="AJ82" s="62" t="str">
        <f t="shared" si="30"/>
        <v/>
      </c>
      <c r="AN82" s="62" t="str">
        <f t="shared" si="31"/>
        <v/>
      </c>
      <c r="AR82" s="62" t="str">
        <f t="shared" si="32"/>
        <v/>
      </c>
      <c r="AS82" s="44" t="s">
        <v>71</v>
      </c>
      <c r="AV82" s="62" t="str">
        <f t="shared" si="33"/>
        <v/>
      </c>
      <c r="AW82" s="44">
        <v>220</v>
      </c>
      <c r="AX82" s="44">
        <v>220</v>
      </c>
      <c r="AY82" s="62">
        <f t="shared" si="34"/>
        <v>1</v>
      </c>
      <c r="AZ82" s="44" t="s">
        <v>71</v>
      </c>
      <c r="BA82" s="44">
        <v>75</v>
      </c>
      <c r="BB82" s="44">
        <v>75</v>
      </c>
      <c r="BC82" s="62">
        <f t="shared" si="35"/>
        <v>1</v>
      </c>
      <c r="BD82" s="44">
        <v>25</v>
      </c>
      <c r="BE82" s="44">
        <v>25</v>
      </c>
      <c r="BF82" s="62">
        <f t="shared" si="36"/>
        <v>1</v>
      </c>
      <c r="BJ82" s="62" t="str">
        <f t="shared" si="37"/>
        <v/>
      </c>
      <c r="BM82" s="62" t="str">
        <f t="shared" si="38"/>
        <v/>
      </c>
      <c r="BQ82" s="62" t="str">
        <f t="shared" si="39"/>
        <v/>
      </c>
      <c r="BT82" s="62" t="str">
        <f t="shared" si="40"/>
        <v/>
      </c>
      <c r="BW82" s="62" t="str">
        <f t="shared" si="41"/>
        <v/>
      </c>
      <c r="CA82" s="62" t="str">
        <f t="shared" si="42"/>
        <v/>
      </c>
      <c r="CD82" s="62" t="str">
        <f t="shared" si="43"/>
        <v/>
      </c>
    </row>
    <row r="83" spans="1:82" x14ac:dyDescent="0.3">
      <c r="A83" s="49" t="s">
        <v>24</v>
      </c>
      <c r="B83" s="49" t="s">
        <v>293</v>
      </c>
      <c r="C83" s="44" t="s">
        <v>37</v>
      </c>
      <c r="D83" s="44">
        <v>251</v>
      </c>
      <c r="E83" s="44">
        <v>643</v>
      </c>
      <c r="F83" s="62">
        <f t="shared" si="22"/>
        <v>2.5617529880478087</v>
      </c>
      <c r="G83" s="44" t="s">
        <v>37</v>
      </c>
      <c r="H83" s="44">
        <v>250</v>
      </c>
      <c r="I83" s="44">
        <v>668</v>
      </c>
      <c r="J83" s="62">
        <f t="shared" si="23"/>
        <v>2.6720000000000002</v>
      </c>
      <c r="K83" s="44" t="s">
        <v>37</v>
      </c>
      <c r="L83" s="44">
        <v>258</v>
      </c>
      <c r="M83" s="44">
        <v>706</v>
      </c>
      <c r="N83" s="62">
        <f t="shared" si="24"/>
        <v>2.7364341085271318</v>
      </c>
      <c r="O83" s="44" t="s">
        <v>37</v>
      </c>
      <c r="P83" s="44">
        <v>250</v>
      </c>
      <c r="Q83" s="44">
        <v>769</v>
      </c>
      <c r="R83" s="62">
        <f t="shared" si="25"/>
        <v>3.0760000000000001</v>
      </c>
      <c r="S83" s="44" t="s">
        <v>37</v>
      </c>
      <c r="T83" s="44">
        <v>280</v>
      </c>
      <c r="U83" s="44">
        <v>1000</v>
      </c>
      <c r="V83" s="62">
        <f t="shared" si="26"/>
        <v>3.5714285714285716</v>
      </c>
      <c r="W83" s="44" t="s">
        <v>37</v>
      </c>
      <c r="X83" s="44">
        <v>220</v>
      </c>
      <c r="Y83" s="44">
        <v>687</v>
      </c>
      <c r="Z83" s="62">
        <f t="shared" si="27"/>
        <v>3.1227272727272726</v>
      </c>
      <c r="AC83" s="62" t="str">
        <f t="shared" si="28"/>
        <v/>
      </c>
      <c r="AG83" s="62" t="str">
        <f t="shared" si="29"/>
        <v/>
      </c>
      <c r="AJ83" s="62" t="str">
        <f t="shared" si="30"/>
        <v/>
      </c>
      <c r="AN83" s="62" t="str">
        <f t="shared" si="31"/>
        <v/>
      </c>
      <c r="AR83" s="62" t="str">
        <f t="shared" si="32"/>
        <v/>
      </c>
      <c r="AV83" s="62" t="str">
        <f t="shared" si="33"/>
        <v/>
      </c>
      <c r="AY83" s="62" t="str">
        <f t="shared" si="34"/>
        <v/>
      </c>
      <c r="BC83" s="62" t="str">
        <f t="shared" si="35"/>
        <v/>
      </c>
      <c r="BF83" s="62" t="str">
        <f t="shared" si="36"/>
        <v/>
      </c>
      <c r="BG83" s="44" t="s">
        <v>38</v>
      </c>
      <c r="BJ83" s="62" t="str">
        <f t="shared" si="37"/>
        <v/>
      </c>
      <c r="BK83" s="44">
        <v>43</v>
      </c>
      <c r="BL83" s="44">
        <v>4</v>
      </c>
      <c r="BM83" s="62">
        <f t="shared" si="38"/>
        <v>9.3023255813953487E-2</v>
      </c>
      <c r="BN83" s="44" t="s">
        <v>38</v>
      </c>
      <c r="BO83" s="44">
        <v>32</v>
      </c>
      <c r="BP83" s="44">
        <v>11</v>
      </c>
      <c r="BQ83" s="62">
        <f t="shared" si="39"/>
        <v>0.34375</v>
      </c>
      <c r="BR83" s="44">
        <v>62</v>
      </c>
      <c r="BS83" s="44">
        <v>33</v>
      </c>
      <c r="BT83" s="62">
        <f t="shared" si="40"/>
        <v>0.532258064516129</v>
      </c>
      <c r="BU83" s="44">
        <v>9</v>
      </c>
      <c r="BV83" s="44">
        <v>14</v>
      </c>
      <c r="BW83" s="62">
        <f t="shared" si="41"/>
        <v>1.5555555555555556</v>
      </c>
      <c r="CA83" s="62" t="str">
        <f t="shared" si="42"/>
        <v/>
      </c>
      <c r="CD83" s="62" t="str">
        <f t="shared" si="43"/>
        <v/>
      </c>
    </row>
    <row r="84" spans="1:82" x14ac:dyDescent="0.3">
      <c r="A84" s="53" t="s">
        <v>25</v>
      </c>
      <c r="B84" s="49" t="s">
        <v>104</v>
      </c>
      <c r="C84" s="44" t="s">
        <v>38</v>
      </c>
      <c r="F84" s="62" t="str">
        <f t="shared" si="22"/>
        <v/>
      </c>
      <c r="J84" s="62" t="str">
        <f t="shared" si="23"/>
        <v/>
      </c>
      <c r="N84" s="62" t="str">
        <f t="shared" si="24"/>
        <v/>
      </c>
      <c r="R84" s="62" t="str">
        <f t="shared" si="25"/>
        <v/>
      </c>
      <c r="V84" s="62" t="str">
        <f t="shared" si="26"/>
        <v/>
      </c>
      <c r="Z84" s="62" t="str">
        <f t="shared" si="27"/>
        <v/>
      </c>
      <c r="AC84" s="62" t="str">
        <f t="shared" si="28"/>
        <v/>
      </c>
      <c r="AG84" s="62" t="str">
        <f t="shared" si="29"/>
        <v/>
      </c>
      <c r="AJ84" s="62" t="str">
        <f t="shared" si="30"/>
        <v/>
      </c>
      <c r="AN84" s="62" t="str">
        <f t="shared" si="31"/>
        <v/>
      </c>
      <c r="AR84" s="62" t="str">
        <f t="shared" si="32"/>
        <v/>
      </c>
      <c r="AV84" s="62" t="str">
        <f t="shared" si="33"/>
        <v/>
      </c>
      <c r="AY84" s="62" t="str">
        <f t="shared" si="34"/>
        <v/>
      </c>
      <c r="BC84" s="62" t="str">
        <f t="shared" si="35"/>
        <v/>
      </c>
      <c r="BF84" s="62" t="str">
        <f t="shared" si="36"/>
        <v/>
      </c>
      <c r="BJ84" s="62" t="str">
        <f t="shared" si="37"/>
        <v/>
      </c>
      <c r="BM84" s="62" t="str">
        <f t="shared" si="38"/>
        <v/>
      </c>
      <c r="BQ84" s="62" t="str">
        <f t="shared" si="39"/>
        <v/>
      </c>
      <c r="BT84" s="62" t="str">
        <f t="shared" si="40"/>
        <v/>
      </c>
      <c r="BW84" s="62" t="str">
        <f t="shared" si="41"/>
        <v/>
      </c>
      <c r="CA84" s="62" t="str">
        <f t="shared" si="42"/>
        <v/>
      </c>
      <c r="CD84" s="62" t="str">
        <f t="shared" si="43"/>
        <v/>
      </c>
    </row>
    <row r="85" spans="1:82" x14ac:dyDescent="0.3">
      <c r="A85" s="53" t="s">
        <v>121</v>
      </c>
      <c r="B85" s="49" t="s">
        <v>104</v>
      </c>
      <c r="C85" s="44" t="s">
        <v>38</v>
      </c>
      <c r="F85" s="62" t="str">
        <f t="shared" si="22"/>
        <v/>
      </c>
      <c r="J85" s="62" t="str">
        <f t="shared" si="23"/>
        <v/>
      </c>
      <c r="N85" s="62" t="str">
        <f t="shared" si="24"/>
        <v/>
      </c>
      <c r="R85" s="62" t="str">
        <f t="shared" si="25"/>
        <v/>
      </c>
      <c r="V85" s="62" t="str">
        <f t="shared" si="26"/>
        <v/>
      </c>
      <c r="Z85" s="62" t="str">
        <f t="shared" si="27"/>
        <v/>
      </c>
      <c r="AC85" s="62" t="str">
        <f t="shared" si="28"/>
        <v/>
      </c>
      <c r="AG85" s="62" t="str">
        <f t="shared" si="29"/>
        <v/>
      </c>
      <c r="AJ85" s="62" t="str">
        <f t="shared" si="30"/>
        <v/>
      </c>
      <c r="AN85" s="62" t="str">
        <f t="shared" si="31"/>
        <v/>
      </c>
      <c r="AR85" s="62" t="str">
        <f t="shared" si="32"/>
        <v/>
      </c>
      <c r="AV85" s="62" t="str">
        <f t="shared" si="33"/>
        <v/>
      </c>
      <c r="AY85" s="62" t="str">
        <f t="shared" si="34"/>
        <v/>
      </c>
      <c r="BC85" s="62" t="str">
        <f t="shared" si="35"/>
        <v/>
      </c>
      <c r="BF85" s="62" t="str">
        <f t="shared" si="36"/>
        <v/>
      </c>
      <c r="BJ85" s="62" t="str">
        <f t="shared" si="37"/>
        <v/>
      </c>
      <c r="BM85" s="62" t="str">
        <f t="shared" si="38"/>
        <v/>
      </c>
      <c r="BN85" s="44" t="s">
        <v>38</v>
      </c>
      <c r="BQ85" s="62" t="str">
        <f t="shared" si="39"/>
        <v/>
      </c>
      <c r="BT85" s="62" t="str">
        <f t="shared" si="40"/>
        <v/>
      </c>
      <c r="BU85" s="44">
        <v>4.5</v>
      </c>
      <c r="BV85" s="44">
        <v>3</v>
      </c>
      <c r="BW85" s="62">
        <f t="shared" si="41"/>
        <v>0.66666666666666663</v>
      </c>
      <c r="BX85" s="44" t="s">
        <v>38</v>
      </c>
      <c r="BY85" s="44">
        <v>56</v>
      </c>
      <c r="BZ85" s="44">
        <v>43</v>
      </c>
      <c r="CA85" s="62">
        <f t="shared" si="42"/>
        <v>0.7678571428571429</v>
      </c>
      <c r="CB85" s="44">
        <v>13</v>
      </c>
      <c r="CC85" s="44">
        <v>11</v>
      </c>
      <c r="CD85" s="62">
        <f t="shared" si="43"/>
        <v>0.84615384615384615</v>
      </c>
    </row>
    <row r="86" spans="1:82" x14ac:dyDescent="0.3">
      <c r="A86" s="53" t="s">
        <v>137</v>
      </c>
      <c r="B86" s="49" t="s">
        <v>104</v>
      </c>
      <c r="C86" s="44" t="s">
        <v>38</v>
      </c>
      <c r="F86" s="62" t="str">
        <f t="shared" si="22"/>
        <v/>
      </c>
      <c r="J86" s="62" t="str">
        <f t="shared" si="23"/>
        <v/>
      </c>
      <c r="N86" s="62" t="str">
        <f t="shared" si="24"/>
        <v/>
      </c>
      <c r="R86" s="62" t="str">
        <f t="shared" si="25"/>
        <v/>
      </c>
      <c r="V86" s="62" t="str">
        <f t="shared" si="26"/>
        <v/>
      </c>
      <c r="Z86" s="62" t="str">
        <f t="shared" si="27"/>
        <v/>
      </c>
      <c r="AC86" s="62" t="str">
        <f t="shared" si="28"/>
        <v/>
      </c>
      <c r="AG86" s="62" t="str">
        <f t="shared" si="29"/>
        <v/>
      </c>
      <c r="AJ86" s="62" t="str">
        <f t="shared" si="30"/>
        <v/>
      </c>
      <c r="AK86" s="44" t="s">
        <v>38</v>
      </c>
      <c r="AL86" s="44">
        <v>1550</v>
      </c>
      <c r="AM86" s="44">
        <v>3647</v>
      </c>
      <c r="AN86" s="62">
        <f t="shared" si="31"/>
        <v>2.3529032258064517</v>
      </c>
      <c r="AO86" s="44" t="s">
        <v>38</v>
      </c>
      <c r="AP86" s="44">
        <v>1000</v>
      </c>
      <c r="AQ86" s="44">
        <v>2500</v>
      </c>
      <c r="AR86" s="62">
        <f t="shared" si="32"/>
        <v>2.5</v>
      </c>
      <c r="AS86" s="44" t="s">
        <v>38</v>
      </c>
      <c r="AT86" s="44">
        <v>1000</v>
      </c>
      <c r="AU86" s="44">
        <v>3125</v>
      </c>
      <c r="AV86" s="62">
        <f t="shared" si="33"/>
        <v>3.125</v>
      </c>
      <c r="AW86" s="44">
        <v>800</v>
      </c>
      <c r="AX86" s="44">
        <v>2667</v>
      </c>
      <c r="AY86" s="62">
        <f t="shared" si="34"/>
        <v>3.3337500000000002</v>
      </c>
      <c r="AZ86" s="44" t="s">
        <v>38</v>
      </c>
      <c r="BA86" s="44">
        <v>1850</v>
      </c>
      <c r="BB86" s="44">
        <v>4625</v>
      </c>
      <c r="BC86" s="62">
        <f t="shared" si="35"/>
        <v>2.5</v>
      </c>
      <c r="BD86" s="44">
        <v>1300</v>
      </c>
      <c r="BE86" s="44">
        <v>4333</v>
      </c>
      <c r="BF86" s="62">
        <f t="shared" si="36"/>
        <v>3.333076923076923</v>
      </c>
      <c r="BG86" s="44" t="s">
        <v>38</v>
      </c>
      <c r="BH86" s="44">
        <v>2694</v>
      </c>
      <c r="BI86" s="44">
        <v>7572</v>
      </c>
      <c r="BJ86" s="62">
        <f t="shared" si="37"/>
        <v>2.8106904231625833</v>
      </c>
      <c r="BK86" s="44">
        <v>215</v>
      </c>
      <c r="BL86" s="44">
        <v>727</v>
      </c>
      <c r="BM86" s="62">
        <f t="shared" si="38"/>
        <v>3.3813953488372093</v>
      </c>
      <c r="BN86" s="44" t="s">
        <v>38</v>
      </c>
      <c r="BO86" s="44">
        <v>145</v>
      </c>
      <c r="BP86" s="44">
        <v>589</v>
      </c>
      <c r="BQ86" s="62">
        <f t="shared" si="39"/>
        <v>4.0620689655172413</v>
      </c>
      <c r="BR86" s="44">
        <v>258.25</v>
      </c>
      <c r="BS86" s="44">
        <v>1208</v>
      </c>
      <c r="BT86" s="62">
        <f t="shared" si="40"/>
        <v>4.6776379477250725</v>
      </c>
      <c r="BU86" s="44">
        <v>529</v>
      </c>
      <c r="BV86" s="44">
        <v>2066</v>
      </c>
      <c r="BW86" s="62">
        <f t="shared" si="41"/>
        <v>3.9054820415879017</v>
      </c>
      <c r="BX86" s="44" t="s">
        <v>38</v>
      </c>
      <c r="BY86" s="44">
        <v>671</v>
      </c>
      <c r="BZ86" s="44">
        <v>2457</v>
      </c>
      <c r="CA86" s="62">
        <f t="shared" si="42"/>
        <v>3.6616989567809242</v>
      </c>
      <c r="CB86" s="44">
        <v>566</v>
      </c>
      <c r="CC86" s="44">
        <v>2459</v>
      </c>
      <c r="CD86" s="62">
        <f t="shared" si="43"/>
        <v>4.3445229681978796</v>
      </c>
    </row>
    <row r="87" spans="1:82" x14ac:dyDescent="0.3">
      <c r="A87" s="53" t="s">
        <v>255</v>
      </c>
      <c r="B87" s="49" t="s">
        <v>104</v>
      </c>
      <c r="C87" s="44" t="s">
        <v>38</v>
      </c>
      <c r="F87" s="62" t="str">
        <f t="shared" si="22"/>
        <v/>
      </c>
      <c r="J87" s="62" t="str">
        <f t="shared" si="23"/>
        <v/>
      </c>
      <c r="N87" s="62" t="str">
        <f t="shared" si="24"/>
        <v/>
      </c>
      <c r="R87" s="62" t="str">
        <f t="shared" si="25"/>
        <v/>
      </c>
      <c r="V87" s="62" t="str">
        <f t="shared" si="26"/>
        <v/>
      </c>
      <c r="Z87" s="62" t="str">
        <f t="shared" si="27"/>
        <v/>
      </c>
      <c r="AC87" s="62" t="str">
        <f t="shared" si="28"/>
        <v/>
      </c>
      <c r="AG87" s="62" t="str">
        <f t="shared" si="29"/>
        <v/>
      </c>
      <c r="AJ87" s="62" t="str">
        <f t="shared" si="30"/>
        <v/>
      </c>
      <c r="AN87" s="62" t="str">
        <f t="shared" si="31"/>
        <v/>
      </c>
      <c r="AR87" s="62" t="str">
        <f t="shared" si="32"/>
        <v/>
      </c>
      <c r="AV87" s="62" t="str">
        <f t="shared" si="33"/>
        <v/>
      </c>
      <c r="AY87" s="62" t="str">
        <f t="shared" si="34"/>
        <v/>
      </c>
      <c r="BC87" s="62" t="str">
        <f t="shared" si="35"/>
        <v/>
      </c>
      <c r="BF87" s="62" t="str">
        <f t="shared" si="36"/>
        <v/>
      </c>
      <c r="BG87" s="44" t="s">
        <v>38</v>
      </c>
      <c r="BJ87" s="62" t="str">
        <f t="shared" si="37"/>
        <v/>
      </c>
      <c r="BK87" s="44">
        <v>1838</v>
      </c>
      <c r="BL87" s="44">
        <v>747</v>
      </c>
      <c r="BM87" s="62">
        <f t="shared" si="38"/>
        <v>0.40642002176278563</v>
      </c>
      <c r="BN87" s="44" t="s">
        <v>38</v>
      </c>
      <c r="BO87" s="44">
        <v>2743</v>
      </c>
      <c r="BP87" s="44">
        <v>894</v>
      </c>
      <c r="BQ87" s="62">
        <f t="shared" si="39"/>
        <v>0.32592052497265767</v>
      </c>
      <c r="BR87" s="44">
        <v>296</v>
      </c>
      <c r="BS87" s="44">
        <v>157</v>
      </c>
      <c r="BT87" s="62">
        <f t="shared" si="40"/>
        <v>0.53040540540540537</v>
      </c>
      <c r="BU87" s="44">
        <v>2463</v>
      </c>
      <c r="BV87" s="44">
        <v>1322</v>
      </c>
      <c r="BW87" s="62">
        <f t="shared" si="41"/>
        <v>0.53674380836378399</v>
      </c>
      <c r="BX87" s="44" t="s">
        <v>38</v>
      </c>
      <c r="BY87" s="44">
        <v>3263</v>
      </c>
      <c r="BZ87" s="44">
        <v>1175.5</v>
      </c>
      <c r="CA87" s="62">
        <f t="shared" si="42"/>
        <v>0.36025130248237819</v>
      </c>
      <c r="CB87" s="44">
        <v>2730</v>
      </c>
      <c r="CC87" s="44">
        <v>1131</v>
      </c>
      <c r="CD87" s="62">
        <f t="shared" si="43"/>
        <v>0.41428571428571431</v>
      </c>
    </row>
    <row r="88" spans="1:82" x14ac:dyDescent="0.3">
      <c r="A88" s="53" t="s">
        <v>135</v>
      </c>
      <c r="B88" s="49" t="s">
        <v>104</v>
      </c>
      <c r="C88" s="44" t="s">
        <v>38</v>
      </c>
      <c r="F88" s="62" t="str">
        <f t="shared" si="22"/>
        <v/>
      </c>
      <c r="J88" s="62" t="str">
        <f t="shared" si="23"/>
        <v/>
      </c>
      <c r="N88" s="62" t="str">
        <f t="shared" si="24"/>
        <v/>
      </c>
      <c r="R88" s="62" t="str">
        <f t="shared" si="25"/>
        <v/>
      </c>
      <c r="V88" s="62" t="str">
        <f t="shared" si="26"/>
        <v/>
      </c>
      <c r="Z88" s="62" t="str">
        <f t="shared" si="27"/>
        <v/>
      </c>
      <c r="AC88" s="62" t="str">
        <f t="shared" si="28"/>
        <v/>
      </c>
      <c r="AG88" s="62" t="str">
        <f t="shared" si="29"/>
        <v/>
      </c>
      <c r="AJ88" s="62" t="str">
        <f t="shared" si="30"/>
        <v/>
      </c>
      <c r="AN88" s="62" t="str">
        <f t="shared" si="31"/>
        <v/>
      </c>
      <c r="AR88" s="62" t="str">
        <f t="shared" si="32"/>
        <v/>
      </c>
      <c r="AV88" s="62" t="str">
        <f t="shared" si="33"/>
        <v/>
      </c>
      <c r="AY88" s="62" t="str">
        <f t="shared" si="34"/>
        <v/>
      </c>
      <c r="BC88" s="62" t="str">
        <f t="shared" si="35"/>
        <v/>
      </c>
      <c r="BF88" s="62" t="str">
        <f t="shared" si="36"/>
        <v/>
      </c>
      <c r="BG88" s="44" t="s">
        <v>38</v>
      </c>
      <c r="BH88" s="44">
        <v>448</v>
      </c>
      <c r="BI88" s="44">
        <v>284</v>
      </c>
      <c r="BJ88" s="62">
        <f t="shared" si="37"/>
        <v>0.6339285714285714</v>
      </c>
      <c r="BK88" s="44">
        <v>324</v>
      </c>
      <c r="BL88" s="44">
        <v>194</v>
      </c>
      <c r="BM88" s="62">
        <f t="shared" si="38"/>
        <v>0.59876543209876543</v>
      </c>
      <c r="BN88" s="44" t="s">
        <v>38</v>
      </c>
      <c r="BO88" s="44">
        <v>314</v>
      </c>
      <c r="BP88" s="44">
        <v>187</v>
      </c>
      <c r="BQ88" s="62">
        <f t="shared" si="39"/>
        <v>0.59554140127388533</v>
      </c>
      <c r="BR88" s="44">
        <v>632.75</v>
      </c>
      <c r="BS88" s="44">
        <v>462</v>
      </c>
      <c r="BT88" s="62">
        <f t="shared" si="40"/>
        <v>0.73014618727775582</v>
      </c>
      <c r="BU88" s="44">
        <v>821</v>
      </c>
      <c r="BV88" s="44">
        <v>680</v>
      </c>
      <c r="BW88" s="62">
        <f t="shared" si="41"/>
        <v>0.82825822168087693</v>
      </c>
      <c r="BX88" s="44" t="s">
        <v>38</v>
      </c>
      <c r="BY88" s="44">
        <v>1161.25</v>
      </c>
      <c r="BZ88" s="44">
        <v>735</v>
      </c>
      <c r="CA88" s="62">
        <f t="shared" si="42"/>
        <v>0.63293864370290631</v>
      </c>
      <c r="CB88" s="44">
        <v>1465</v>
      </c>
      <c r="CC88" s="44">
        <v>832</v>
      </c>
      <c r="CD88" s="62">
        <f t="shared" si="43"/>
        <v>0.5679180887372014</v>
      </c>
    </row>
    <row r="89" spans="1:82" x14ac:dyDescent="0.3">
      <c r="A89" s="49" t="s">
        <v>52</v>
      </c>
      <c r="B89" s="49" t="s">
        <v>104</v>
      </c>
      <c r="C89" s="44" t="s">
        <v>38</v>
      </c>
      <c r="F89" s="62" t="str">
        <f t="shared" si="22"/>
        <v/>
      </c>
      <c r="J89" s="62" t="str">
        <f t="shared" si="23"/>
        <v/>
      </c>
      <c r="N89" s="62" t="str">
        <f t="shared" si="24"/>
        <v/>
      </c>
      <c r="R89" s="62" t="str">
        <f t="shared" si="25"/>
        <v/>
      </c>
      <c r="V89" s="62" t="str">
        <f t="shared" si="26"/>
        <v/>
      </c>
      <c r="Z89" s="62" t="str">
        <f t="shared" si="27"/>
        <v/>
      </c>
      <c r="AC89" s="62" t="str">
        <f t="shared" si="28"/>
        <v/>
      </c>
      <c r="AG89" s="62" t="str">
        <f t="shared" si="29"/>
        <v/>
      </c>
      <c r="AJ89" s="62" t="str">
        <f t="shared" si="30"/>
        <v/>
      </c>
      <c r="AN89" s="62" t="str">
        <f t="shared" si="31"/>
        <v/>
      </c>
      <c r="AR89" s="62" t="str">
        <f t="shared" si="32"/>
        <v/>
      </c>
      <c r="AV89" s="62" t="str">
        <f t="shared" si="33"/>
        <v/>
      </c>
      <c r="AY89" s="62" t="str">
        <f t="shared" si="34"/>
        <v/>
      </c>
      <c r="BC89" s="62" t="str">
        <f t="shared" si="35"/>
        <v/>
      </c>
      <c r="BF89" s="62" t="str">
        <f t="shared" si="36"/>
        <v/>
      </c>
      <c r="BG89" s="44" t="s">
        <v>38</v>
      </c>
      <c r="BJ89" s="62" t="str">
        <f t="shared" si="37"/>
        <v/>
      </c>
      <c r="BK89" s="44">
        <v>34</v>
      </c>
      <c r="BL89" s="44">
        <v>49</v>
      </c>
      <c r="BM89" s="62">
        <f t="shared" si="38"/>
        <v>1.4411764705882353</v>
      </c>
      <c r="BQ89" s="62" t="str">
        <f t="shared" si="39"/>
        <v/>
      </c>
      <c r="BT89" s="62" t="str">
        <f t="shared" si="40"/>
        <v/>
      </c>
      <c r="BW89" s="62" t="str">
        <f t="shared" si="41"/>
        <v/>
      </c>
      <c r="CA89" s="62" t="str">
        <f t="shared" si="42"/>
        <v/>
      </c>
      <c r="CD89" s="62" t="str">
        <f t="shared" si="43"/>
        <v/>
      </c>
    </row>
    <row r="90" spans="1:82" x14ac:dyDescent="0.3">
      <c r="A90" s="49" t="s">
        <v>32</v>
      </c>
      <c r="B90" s="49" t="s">
        <v>104</v>
      </c>
      <c r="C90" s="44" t="s">
        <v>38</v>
      </c>
      <c r="D90" s="44">
        <v>107</v>
      </c>
      <c r="E90" s="44">
        <v>714</v>
      </c>
      <c r="F90" s="62">
        <f t="shared" si="22"/>
        <v>6.6728971962616823</v>
      </c>
      <c r="G90" s="44" t="s">
        <v>38</v>
      </c>
      <c r="H90" s="44">
        <f>$D$187*170</f>
        <v>150.28</v>
      </c>
      <c r="I90" s="44">
        <v>581</v>
      </c>
      <c r="J90" s="62">
        <f t="shared" si="23"/>
        <v>3.8661165823795582</v>
      </c>
      <c r="K90" s="44" t="s">
        <v>38</v>
      </c>
      <c r="L90" s="44">
        <f>$D$187*286</f>
        <v>252.82400000000001</v>
      </c>
      <c r="M90" s="44">
        <v>684</v>
      </c>
      <c r="N90" s="62">
        <f t="shared" si="24"/>
        <v>2.7054393570230673</v>
      </c>
      <c r="O90" s="44" t="s">
        <v>38</v>
      </c>
      <c r="P90" s="44">
        <f>$D$187*488</f>
        <v>431.392</v>
      </c>
      <c r="Q90" s="44">
        <v>1269</v>
      </c>
      <c r="R90" s="62">
        <f t="shared" si="25"/>
        <v>2.9416400860470291</v>
      </c>
      <c r="S90" s="44" t="s">
        <v>38</v>
      </c>
      <c r="T90" s="44">
        <f>$D$187*240</f>
        <v>212.16</v>
      </c>
      <c r="U90" s="44">
        <v>857</v>
      </c>
      <c r="V90" s="62">
        <f t="shared" si="26"/>
        <v>4.0394042232277529</v>
      </c>
      <c r="W90" s="44" t="s">
        <v>38</v>
      </c>
      <c r="X90" s="44">
        <f>$D$187*149</f>
        <v>131.71600000000001</v>
      </c>
      <c r="Y90" s="44">
        <v>625</v>
      </c>
      <c r="Z90" s="62">
        <f t="shared" si="27"/>
        <v>4.7450575480579422</v>
      </c>
      <c r="AA90" s="44">
        <f>$D$187*150</f>
        <v>132.6</v>
      </c>
      <c r="AB90" s="44">
        <v>615</v>
      </c>
      <c r="AC90" s="62">
        <f t="shared" si="28"/>
        <v>4.6380090497737561</v>
      </c>
      <c r="AD90" s="44" t="s">
        <v>38</v>
      </c>
      <c r="AE90" s="44">
        <f>$D$187*185</f>
        <v>163.54</v>
      </c>
      <c r="AF90" s="44">
        <v>556</v>
      </c>
      <c r="AG90" s="62">
        <f t="shared" si="29"/>
        <v>3.3997798703681057</v>
      </c>
      <c r="AH90" s="44">
        <f>$D$187*170</f>
        <v>150.28</v>
      </c>
      <c r="AI90" s="44">
        <v>556</v>
      </c>
      <c r="AJ90" s="62">
        <f t="shared" si="30"/>
        <v>3.6997604471652914</v>
      </c>
      <c r="AK90" s="44" t="s">
        <v>38</v>
      </c>
      <c r="AL90" s="44">
        <f>$D$187*70</f>
        <v>61.88</v>
      </c>
      <c r="AM90" s="44">
        <v>224</v>
      </c>
      <c r="AN90" s="62">
        <f t="shared" si="31"/>
        <v>3.6199095022624435</v>
      </c>
      <c r="AO90" s="44" t="s">
        <v>38</v>
      </c>
      <c r="AP90" s="44">
        <f>$D$187*94</f>
        <v>83.096000000000004</v>
      </c>
      <c r="AQ90" s="44">
        <v>353</v>
      </c>
      <c r="AR90" s="62">
        <f t="shared" si="32"/>
        <v>4.2480985847694228</v>
      </c>
      <c r="AS90" s="44" t="s">
        <v>38</v>
      </c>
      <c r="AT90" s="44">
        <f>$D$187*145</f>
        <v>128.18</v>
      </c>
      <c r="AU90" s="44">
        <v>544</v>
      </c>
      <c r="AV90" s="62">
        <f t="shared" si="33"/>
        <v>4.2440318302387263</v>
      </c>
      <c r="AW90" s="44">
        <f>$D$187*59</f>
        <v>52.155999999999999</v>
      </c>
      <c r="AX90" s="44">
        <v>240</v>
      </c>
      <c r="AY90" s="62">
        <f t="shared" si="34"/>
        <v>4.6015798757573432</v>
      </c>
      <c r="AZ90" s="44" t="s">
        <v>38</v>
      </c>
      <c r="BA90" s="44">
        <f>$D$187*34</f>
        <v>30.056000000000001</v>
      </c>
      <c r="BB90" s="44">
        <v>136</v>
      </c>
      <c r="BC90" s="62">
        <f t="shared" si="35"/>
        <v>4.5248868778280542</v>
      </c>
      <c r="BD90" s="44">
        <f>$D$187*72</f>
        <v>63.648000000000003</v>
      </c>
      <c r="BE90" s="44">
        <v>288</v>
      </c>
      <c r="BF90" s="62">
        <f t="shared" si="36"/>
        <v>4.5248868778280542</v>
      </c>
      <c r="BJ90" s="62" t="str">
        <f t="shared" si="37"/>
        <v/>
      </c>
      <c r="BM90" s="62" t="str">
        <f t="shared" si="38"/>
        <v/>
      </c>
      <c r="BQ90" s="62" t="str">
        <f t="shared" si="39"/>
        <v/>
      </c>
      <c r="BT90" s="62" t="str">
        <f t="shared" si="40"/>
        <v/>
      </c>
      <c r="BW90" s="62" t="str">
        <f t="shared" si="41"/>
        <v/>
      </c>
      <c r="CA90" s="62" t="str">
        <f t="shared" si="42"/>
        <v/>
      </c>
      <c r="CD90" s="62" t="str">
        <f t="shared" si="43"/>
        <v/>
      </c>
    </row>
    <row r="91" spans="1:82" x14ac:dyDescent="0.3">
      <c r="A91" s="53" t="s">
        <v>256</v>
      </c>
      <c r="B91" s="49" t="s">
        <v>104</v>
      </c>
      <c r="C91" s="44" t="s">
        <v>38</v>
      </c>
      <c r="D91" s="44">
        <v>621</v>
      </c>
      <c r="E91" s="44">
        <v>429</v>
      </c>
      <c r="F91" s="62">
        <f t="shared" si="22"/>
        <v>0.6908212560386473</v>
      </c>
      <c r="G91" s="44" t="s">
        <v>38</v>
      </c>
      <c r="H91" s="44">
        <v>433</v>
      </c>
      <c r="I91" s="44">
        <v>358</v>
      </c>
      <c r="J91" s="62">
        <f t="shared" si="23"/>
        <v>0.82678983833718245</v>
      </c>
      <c r="K91" s="44" t="s">
        <v>38</v>
      </c>
      <c r="L91" s="44">
        <v>978</v>
      </c>
      <c r="M91" s="44">
        <v>602</v>
      </c>
      <c r="N91" s="62">
        <f t="shared" si="24"/>
        <v>0.61554192229038851</v>
      </c>
      <c r="O91" s="44" t="s">
        <v>38</v>
      </c>
      <c r="P91" s="44">
        <v>1300</v>
      </c>
      <c r="Q91" s="44">
        <v>1000</v>
      </c>
      <c r="R91" s="62">
        <f t="shared" si="25"/>
        <v>0.76923076923076927</v>
      </c>
      <c r="S91" s="44" t="s">
        <v>38</v>
      </c>
      <c r="T91" s="44">
        <v>1170</v>
      </c>
      <c r="U91" s="44">
        <v>1003</v>
      </c>
      <c r="V91" s="62">
        <f t="shared" si="26"/>
        <v>0.85726495726495722</v>
      </c>
      <c r="W91" s="44" t="s">
        <v>38</v>
      </c>
      <c r="X91" s="44">
        <v>1200</v>
      </c>
      <c r="Y91" s="44">
        <v>1350</v>
      </c>
      <c r="Z91" s="62">
        <f t="shared" si="27"/>
        <v>1.125</v>
      </c>
      <c r="AA91" s="44">
        <v>1222</v>
      </c>
      <c r="AB91" s="44">
        <v>1354</v>
      </c>
      <c r="AC91" s="62">
        <f t="shared" si="28"/>
        <v>1.1080196399345335</v>
      </c>
      <c r="AD91" s="44" t="s">
        <v>38</v>
      </c>
      <c r="AE91" s="44">
        <v>1444.5</v>
      </c>
      <c r="AF91" s="44">
        <v>1444</v>
      </c>
      <c r="AG91" s="62">
        <f t="shared" si="29"/>
        <v>0.99965385946694363</v>
      </c>
      <c r="AH91" s="44">
        <v>1286</v>
      </c>
      <c r="AI91" s="44">
        <v>1000</v>
      </c>
      <c r="AJ91" s="62">
        <f t="shared" si="30"/>
        <v>0.77760497667185069</v>
      </c>
      <c r="AK91" s="44" t="s">
        <v>38</v>
      </c>
      <c r="AL91" s="44">
        <v>1366</v>
      </c>
      <c r="AM91" s="44">
        <v>1177</v>
      </c>
      <c r="AN91" s="62">
        <f t="shared" si="31"/>
        <v>0.86163982430453878</v>
      </c>
      <c r="AO91" s="44" t="s">
        <v>38</v>
      </c>
      <c r="AP91" s="44">
        <v>1600</v>
      </c>
      <c r="AQ91" s="44">
        <v>1200</v>
      </c>
      <c r="AR91" s="62">
        <f t="shared" si="32"/>
        <v>0.75</v>
      </c>
      <c r="AS91" s="44" t="s">
        <v>38</v>
      </c>
      <c r="AT91" s="44">
        <v>900</v>
      </c>
      <c r="AU91" s="44">
        <v>675</v>
      </c>
      <c r="AV91" s="62">
        <f t="shared" si="33"/>
        <v>0.75</v>
      </c>
      <c r="AW91" s="44">
        <v>550</v>
      </c>
      <c r="AX91" s="44">
        <v>660</v>
      </c>
      <c r="AY91" s="62">
        <f t="shared" si="34"/>
        <v>1.2</v>
      </c>
      <c r="AZ91" s="44" t="s">
        <v>38</v>
      </c>
      <c r="BA91" s="44">
        <v>525</v>
      </c>
      <c r="BB91" s="44">
        <v>630</v>
      </c>
      <c r="BC91" s="62">
        <f t="shared" si="35"/>
        <v>1.2</v>
      </c>
      <c r="BD91" s="44">
        <v>700</v>
      </c>
      <c r="BE91" s="44">
        <v>934</v>
      </c>
      <c r="BF91" s="62">
        <f t="shared" si="36"/>
        <v>1.3342857142857143</v>
      </c>
      <c r="BJ91" s="62" t="str">
        <f t="shared" si="37"/>
        <v/>
      </c>
      <c r="BM91" s="62" t="str">
        <f t="shared" si="38"/>
        <v/>
      </c>
      <c r="BQ91" s="62" t="str">
        <f t="shared" si="39"/>
        <v/>
      </c>
      <c r="BT91" s="62" t="str">
        <f t="shared" si="40"/>
        <v/>
      </c>
      <c r="BW91" s="62" t="str">
        <f t="shared" si="41"/>
        <v/>
      </c>
      <c r="CA91" s="62" t="str">
        <f t="shared" si="42"/>
        <v/>
      </c>
      <c r="CD91" s="62" t="str">
        <f t="shared" si="43"/>
        <v/>
      </c>
    </row>
    <row r="92" spans="1:82" x14ac:dyDescent="0.3">
      <c r="A92" s="53" t="s">
        <v>258</v>
      </c>
      <c r="B92" s="49" t="s">
        <v>104</v>
      </c>
      <c r="C92" s="44" t="s">
        <v>38</v>
      </c>
      <c r="F92" s="62" t="str">
        <f t="shared" si="22"/>
        <v/>
      </c>
      <c r="J92" s="62" t="str">
        <f t="shared" si="23"/>
        <v/>
      </c>
      <c r="N92" s="62" t="str">
        <f t="shared" si="24"/>
        <v/>
      </c>
      <c r="R92" s="62" t="str">
        <f t="shared" si="25"/>
        <v/>
      </c>
      <c r="V92" s="62" t="str">
        <f t="shared" si="26"/>
        <v/>
      </c>
      <c r="Z92" s="62" t="str">
        <f t="shared" si="27"/>
        <v/>
      </c>
      <c r="AC92" s="62" t="str">
        <f t="shared" si="28"/>
        <v/>
      </c>
      <c r="AG92" s="62" t="str">
        <f t="shared" si="29"/>
        <v/>
      </c>
      <c r="AJ92" s="62" t="str">
        <f t="shared" si="30"/>
        <v/>
      </c>
      <c r="AK92" s="44" t="s">
        <v>38</v>
      </c>
      <c r="AL92" s="44">
        <v>1500</v>
      </c>
      <c r="AM92" s="44">
        <v>882</v>
      </c>
      <c r="AN92" s="62">
        <f t="shared" si="31"/>
        <v>0.58799999999999997</v>
      </c>
      <c r="AO92" s="44" t="s">
        <v>38</v>
      </c>
      <c r="AP92" s="44">
        <v>2050</v>
      </c>
      <c r="AQ92" s="44">
        <v>1280</v>
      </c>
      <c r="AR92" s="62">
        <f t="shared" si="32"/>
        <v>0.62439024390243902</v>
      </c>
      <c r="AS92" s="44" t="s">
        <v>38</v>
      </c>
      <c r="AT92" s="44">
        <v>1500</v>
      </c>
      <c r="AU92" s="44">
        <v>938</v>
      </c>
      <c r="AV92" s="62">
        <f t="shared" si="33"/>
        <v>0.6253333333333333</v>
      </c>
      <c r="AW92" s="44">
        <v>2880</v>
      </c>
      <c r="AX92" s="44">
        <v>960</v>
      </c>
      <c r="AY92" s="62">
        <f t="shared" si="34"/>
        <v>0.33333333333333331</v>
      </c>
      <c r="AZ92" s="44" t="s">
        <v>38</v>
      </c>
      <c r="BA92" s="44">
        <v>2680</v>
      </c>
      <c r="BB92" s="44">
        <v>894</v>
      </c>
      <c r="BC92" s="62">
        <f t="shared" si="35"/>
        <v>0.33358208955223878</v>
      </c>
      <c r="BD92" s="44">
        <v>1974</v>
      </c>
      <c r="BE92" s="44">
        <v>658</v>
      </c>
      <c r="BF92" s="62">
        <f t="shared" si="36"/>
        <v>0.33333333333333331</v>
      </c>
      <c r="BG92" s="44" t="s">
        <v>38</v>
      </c>
      <c r="BJ92" s="62" t="str">
        <f t="shared" si="37"/>
        <v/>
      </c>
      <c r="BK92" s="44">
        <v>2341</v>
      </c>
      <c r="BL92" s="44">
        <v>1105</v>
      </c>
      <c r="BM92" s="62">
        <f t="shared" si="38"/>
        <v>0.47202050405809481</v>
      </c>
      <c r="BN92" s="44" t="s">
        <v>38</v>
      </c>
      <c r="BO92" s="44">
        <v>11</v>
      </c>
      <c r="BP92" s="44">
        <v>9</v>
      </c>
      <c r="BQ92" s="62">
        <f t="shared" si="39"/>
        <v>0.81818181818181823</v>
      </c>
      <c r="BR92" s="44">
        <v>435</v>
      </c>
      <c r="BS92" s="44">
        <v>280</v>
      </c>
      <c r="BT92" s="62">
        <f t="shared" si="40"/>
        <v>0.64367816091954022</v>
      </c>
      <c r="BU92" s="44">
        <v>72</v>
      </c>
      <c r="BV92" s="44">
        <v>64</v>
      </c>
      <c r="BW92" s="62">
        <f t="shared" si="41"/>
        <v>0.88888888888888884</v>
      </c>
      <c r="BX92" s="44" t="s">
        <v>38</v>
      </c>
      <c r="BY92" s="44">
        <v>62</v>
      </c>
      <c r="BZ92" s="44">
        <v>35.5</v>
      </c>
      <c r="CA92" s="62">
        <f t="shared" si="42"/>
        <v>0.57258064516129037</v>
      </c>
      <c r="CD92" s="62" t="str">
        <f t="shared" si="43"/>
        <v/>
      </c>
    </row>
    <row r="93" spans="1:82" x14ac:dyDescent="0.3">
      <c r="A93" s="53" t="s">
        <v>62</v>
      </c>
      <c r="B93" s="49" t="s">
        <v>104</v>
      </c>
      <c r="C93" s="44" t="s">
        <v>38</v>
      </c>
      <c r="F93" s="62" t="str">
        <f t="shared" si="22"/>
        <v/>
      </c>
      <c r="J93" s="62" t="str">
        <f t="shared" si="23"/>
        <v/>
      </c>
      <c r="N93" s="62" t="str">
        <f t="shared" si="24"/>
        <v/>
      </c>
      <c r="R93" s="62" t="str">
        <f t="shared" si="25"/>
        <v/>
      </c>
      <c r="V93" s="62" t="str">
        <f t="shared" si="26"/>
        <v/>
      </c>
      <c r="Z93" s="62" t="str">
        <f t="shared" si="27"/>
        <v/>
      </c>
      <c r="AC93" s="62" t="str">
        <f t="shared" si="28"/>
        <v/>
      </c>
      <c r="AG93" s="62" t="str">
        <f t="shared" si="29"/>
        <v/>
      </c>
      <c r="AJ93" s="62" t="str">
        <f t="shared" si="30"/>
        <v/>
      </c>
      <c r="AN93" s="62" t="str">
        <f t="shared" si="31"/>
        <v/>
      </c>
      <c r="AR93" s="62" t="str">
        <f t="shared" si="32"/>
        <v/>
      </c>
      <c r="AV93" s="62" t="str">
        <f t="shared" si="33"/>
        <v/>
      </c>
      <c r="AY93" s="62" t="str">
        <f t="shared" si="34"/>
        <v/>
      </c>
      <c r="BC93" s="62" t="str">
        <f t="shared" si="35"/>
        <v/>
      </c>
      <c r="BF93" s="62" t="str">
        <f t="shared" si="36"/>
        <v/>
      </c>
      <c r="BJ93" s="62" t="str">
        <f t="shared" si="37"/>
        <v/>
      </c>
      <c r="BM93" s="62" t="str">
        <f t="shared" si="38"/>
        <v/>
      </c>
      <c r="BN93" s="44" t="s">
        <v>38</v>
      </c>
      <c r="BQ93" s="62" t="str">
        <f t="shared" si="39"/>
        <v/>
      </c>
      <c r="BT93" s="62" t="str">
        <f t="shared" si="40"/>
        <v/>
      </c>
      <c r="BU93" s="44">
        <v>19</v>
      </c>
      <c r="BV93" s="44">
        <v>16</v>
      </c>
      <c r="BW93" s="62">
        <f t="shared" si="41"/>
        <v>0.84210526315789469</v>
      </c>
      <c r="BX93" s="44" t="s">
        <v>38</v>
      </c>
      <c r="CA93" s="62" t="str">
        <f t="shared" si="42"/>
        <v/>
      </c>
      <c r="CB93" s="44">
        <v>9</v>
      </c>
      <c r="CC93" s="44">
        <v>7</v>
      </c>
      <c r="CD93" s="62">
        <f t="shared" si="43"/>
        <v>0.77777777777777779</v>
      </c>
    </row>
    <row r="94" spans="1:82" x14ac:dyDescent="0.3">
      <c r="A94" s="49" t="s">
        <v>26</v>
      </c>
      <c r="B94" s="49" t="s">
        <v>134</v>
      </c>
      <c r="C94" s="44" t="s">
        <v>36</v>
      </c>
      <c r="D94" s="44">
        <v>5571</v>
      </c>
      <c r="E94" s="44">
        <v>1857</v>
      </c>
      <c r="F94" s="62">
        <f t="shared" si="22"/>
        <v>0.33333333333333331</v>
      </c>
      <c r="G94" s="44" t="s">
        <v>36</v>
      </c>
      <c r="H94" s="44">
        <v>1500</v>
      </c>
      <c r="I94" s="44">
        <v>540</v>
      </c>
      <c r="J94" s="62">
        <f t="shared" si="23"/>
        <v>0.36</v>
      </c>
      <c r="K94" s="44" t="s">
        <v>36</v>
      </c>
      <c r="L94" s="44">
        <v>1900</v>
      </c>
      <c r="M94" s="44">
        <v>650</v>
      </c>
      <c r="N94" s="62">
        <f t="shared" si="24"/>
        <v>0.34210526315789475</v>
      </c>
      <c r="O94" s="44" t="s">
        <v>36</v>
      </c>
      <c r="P94" s="44">
        <v>3200</v>
      </c>
      <c r="Q94" s="44">
        <v>1231</v>
      </c>
      <c r="R94" s="62">
        <f t="shared" si="25"/>
        <v>0.38468750000000002</v>
      </c>
      <c r="S94" s="44" t="s">
        <v>36</v>
      </c>
      <c r="T94" s="44">
        <v>2000</v>
      </c>
      <c r="U94" s="44">
        <v>857</v>
      </c>
      <c r="V94" s="62">
        <f t="shared" si="26"/>
        <v>0.42849999999999999</v>
      </c>
      <c r="W94" s="44" t="s">
        <v>36</v>
      </c>
      <c r="X94" s="44">
        <v>2700</v>
      </c>
      <c r="Y94" s="44">
        <v>843</v>
      </c>
      <c r="Z94" s="62">
        <f t="shared" si="27"/>
        <v>0.31222222222222223</v>
      </c>
      <c r="AA94" s="44">
        <v>3600</v>
      </c>
      <c r="AB94" s="44">
        <v>1108</v>
      </c>
      <c r="AC94" s="62">
        <f t="shared" si="28"/>
        <v>0.30777777777777776</v>
      </c>
      <c r="AD94" s="44" t="s">
        <v>36</v>
      </c>
      <c r="AE94" s="44">
        <v>5000</v>
      </c>
      <c r="AF94" s="44">
        <v>1389</v>
      </c>
      <c r="AG94" s="62">
        <f t="shared" si="29"/>
        <v>0.27779999999999999</v>
      </c>
      <c r="AH94" s="44">
        <v>5600</v>
      </c>
      <c r="AI94" s="44">
        <v>1556</v>
      </c>
      <c r="AJ94" s="62">
        <f t="shared" si="30"/>
        <v>0.27785714285714286</v>
      </c>
      <c r="AK94" s="44" t="s">
        <v>36</v>
      </c>
      <c r="AL94" s="44">
        <v>5400</v>
      </c>
      <c r="AM94" s="44">
        <v>1588</v>
      </c>
      <c r="AN94" s="62">
        <f t="shared" si="31"/>
        <v>0.2940740740740741</v>
      </c>
      <c r="AO94" s="44" t="s">
        <v>36</v>
      </c>
      <c r="AP94" s="44">
        <v>5000</v>
      </c>
      <c r="AQ94" s="44">
        <v>1562</v>
      </c>
      <c r="AR94" s="62">
        <f t="shared" si="32"/>
        <v>0.31240000000000001</v>
      </c>
      <c r="AS94" s="44" t="s">
        <v>36</v>
      </c>
      <c r="AT94" s="44">
        <v>3000</v>
      </c>
      <c r="AU94" s="44">
        <v>937</v>
      </c>
      <c r="AV94" s="62">
        <f t="shared" si="33"/>
        <v>0.31233333333333335</v>
      </c>
      <c r="AW94" s="44">
        <v>3500</v>
      </c>
      <c r="AX94" s="44">
        <v>1173</v>
      </c>
      <c r="AY94" s="62">
        <f t="shared" si="34"/>
        <v>0.33514285714285713</v>
      </c>
      <c r="AZ94" s="44" t="s">
        <v>36</v>
      </c>
      <c r="BA94" s="44">
        <v>2000</v>
      </c>
      <c r="BB94" s="44">
        <v>800</v>
      </c>
      <c r="BC94" s="62">
        <f t="shared" si="35"/>
        <v>0.4</v>
      </c>
      <c r="BD94" s="44">
        <v>1800</v>
      </c>
      <c r="BE94" s="44">
        <v>1260</v>
      </c>
      <c r="BF94" s="62">
        <f t="shared" si="36"/>
        <v>0.7</v>
      </c>
      <c r="BG94" s="44" t="s">
        <v>36</v>
      </c>
      <c r="BJ94" s="62" t="str">
        <f t="shared" si="37"/>
        <v/>
      </c>
      <c r="BK94" s="44">
        <f>163/$D$139</f>
        <v>8.15</v>
      </c>
      <c r="BL94" s="44">
        <v>4</v>
      </c>
      <c r="BM94" s="62">
        <f t="shared" si="38"/>
        <v>0.49079754601226994</v>
      </c>
      <c r="BQ94" s="62" t="str">
        <f t="shared" si="39"/>
        <v/>
      </c>
      <c r="BT94" s="62" t="str">
        <f t="shared" si="40"/>
        <v/>
      </c>
      <c r="BW94" s="62" t="str">
        <f t="shared" si="41"/>
        <v/>
      </c>
      <c r="BX94" s="44" t="s">
        <v>36</v>
      </c>
      <c r="CA94" s="62" t="str">
        <f t="shared" si="42"/>
        <v/>
      </c>
      <c r="CB94" s="44">
        <f>1752/$D$139</f>
        <v>87.6</v>
      </c>
      <c r="CC94" s="44">
        <v>60</v>
      </c>
      <c r="CD94" s="62">
        <f t="shared" si="43"/>
        <v>0.68493150684931514</v>
      </c>
    </row>
    <row r="95" spans="1:82" x14ac:dyDescent="0.3">
      <c r="A95" s="49" t="s">
        <v>27</v>
      </c>
      <c r="B95" s="49" t="s">
        <v>104</v>
      </c>
      <c r="C95" s="44" t="s">
        <v>38</v>
      </c>
      <c r="D95" s="44">
        <v>1782</v>
      </c>
      <c r="E95" s="44">
        <v>1200</v>
      </c>
      <c r="F95" s="62">
        <f t="shared" si="22"/>
        <v>0.67340067340067344</v>
      </c>
      <c r="G95" s="44" t="s">
        <v>38</v>
      </c>
      <c r="H95" s="44">
        <v>1639</v>
      </c>
      <c r="I95" s="44">
        <v>911</v>
      </c>
      <c r="J95" s="62">
        <f t="shared" si="23"/>
        <v>0.55582672361195851</v>
      </c>
      <c r="K95" s="44" t="s">
        <v>38</v>
      </c>
      <c r="L95" s="44">
        <v>660</v>
      </c>
      <c r="M95" s="44">
        <v>767</v>
      </c>
      <c r="N95" s="62">
        <f t="shared" si="24"/>
        <v>1.1621212121212121</v>
      </c>
      <c r="O95" s="44" t="s">
        <v>38</v>
      </c>
      <c r="P95" s="44">
        <v>823</v>
      </c>
      <c r="Q95" s="44">
        <v>1077</v>
      </c>
      <c r="R95" s="62">
        <f t="shared" si="25"/>
        <v>1.3086269744835966</v>
      </c>
      <c r="S95" s="44" t="s">
        <v>38</v>
      </c>
      <c r="T95" s="44">
        <v>711</v>
      </c>
      <c r="U95" s="44">
        <v>914</v>
      </c>
      <c r="V95" s="62">
        <f t="shared" si="26"/>
        <v>1.2855133614627285</v>
      </c>
      <c r="W95" s="44" t="s">
        <v>38</v>
      </c>
      <c r="X95" s="44">
        <v>611</v>
      </c>
      <c r="Y95" s="44">
        <v>687</v>
      </c>
      <c r="Z95" s="62">
        <f t="shared" si="27"/>
        <v>1.1243862520458265</v>
      </c>
      <c r="AA95" s="44">
        <v>583</v>
      </c>
      <c r="AB95" s="44">
        <v>646</v>
      </c>
      <c r="AC95" s="62">
        <f t="shared" si="28"/>
        <v>1.1080617495711835</v>
      </c>
      <c r="AD95" s="44" t="s">
        <v>38</v>
      </c>
      <c r="AE95" s="44">
        <v>555.5</v>
      </c>
      <c r="AF95" s="44">
        <v>556</v>
      </c>
      <c r="AG95" s="62">
        <f t="shared" si="29"/>
        <v>1.0009000900090008</v>
      </c>
      <c r="AH95" s="44">
        <v>583</v>
      </c>
      <c r="AI95" s="44">
        <v>783</v>
      </c>
      <c r="AJ95" s="62">
        <f t="shared" si="30"/>
        <v>1.3430531732418525</v>
      </c>
      <c r="AN95" s="62" t="str">
        <f t="shared" si="31"/>
        <v/>
      </c>
      <c r="AR95" s="62" t="str">
        <f t="shared" si="32"/>
        <v/>
      </c>
      <c r="AS95" s="44" t="s">
        <v>38</v>
      </c>
      <c r="AT95" s="44">
        <v>150</v>
      </c>
      <c r="AU95" s="44">
        <v>66</v>
      </c>
      <c r="AV95" s="62">
        <f t="shared" si="33"/>
        <v>0.44</v>
      </c>
      <c r="AY95" s="62" t="str">
        <f t="shared" si="34"/>
        <v/>
      </c>
      <c r="BC95" s="62" t="str">
        <f t="shared" si="35"/>
        <v/>
      </c>
      <c r="BF95" s="62" t="str">
        <f t="shared" si="36"/>
        <v/>
      </c>
      <c r="BJ95" s="62" t="str">
        <f t="shared" si="37"/>
        <v/>
      </c>
      <c r="BM95" s="62" t="str">
        <f t="shared" si="38"/>
        <v/>
      </c>
      <c r="BQ95" s="62" t="str">
        <f t="shared" si="39"/>
        <v/>
      </c>
      <c r="BT95" s="62" t="str">
        <f t="shared" si="40"/>
        <v/>
      </c>
      <c r="BW95" s="62" t="str">
        <f t="shared" si="41"/>
        <v/>
      </c>
      <c r="CA95" s="62" t="str">
        <f t="shared" si="42"/>
        <v/>
      </c>
      <c r="CD95" s="62" t="str">
        <f t="shared" si="43"/>
        <v/>
      </c>
    </row>
    <row r="96" spans="1:82" x14ac:dyDescent="0.3">
      <c r="A96" s="49" t="s">
        <v>260</v>
      </c>
      <c r="B96" s="49" t="s">
        <v>104</v>
      </c>
      <c r="C96" s="44" t="s">
        <v>38</v>
      </c>
      <c r="F96" s="62" t="str">
        <f t="shared" si="22"/>
        <v/>
      </c>
      <c r="J96" s="62" t="str">
        <f t="shared" si="23"/>
        <v/>
      </c>
      <c r="N96" s="62" t="str">
        <f t="shared" si="24"/>
        <v/>
      </c>
      <c r="R96" s="62" t="str">
        <f t="shared" si="25"/>
        <v/>
      </c>
      <c r="V96" s="62" t="str">
        <f t="shared" si="26"/>
        <v/>
      </c>
      <c r="Z96" s="62" t="str">
        <f t="shared" si="27"/>
        <v/>
      </c>
      <c r="AC96" s="62" t="str">
        <f t="shared" si="28"/>
        <v/>
      </c>
      <c r="AG96" s="62" t="str">
        <f t="shared" si="29"/>
        <v/>
      </c>
      <c r="AJ96" s="62" t="str">
        <f t="shared" si="30"/>
        <v/>
      </c>
      <c r="AK96" s="44" t="s">
        <v>38</v>
      </c>
      <c r="AL96" s="44">
        <v>2500</v>
      </c>
      <c r="AM96" s="44">
        <v>735</v>
      </c>
      <c r="AN96" s="62">
        <f t="shared" si="31"/>
        <v>0.29399999999999998</v>
      </c>
      <c r="AO96" s="44" t="s">
        <v>38</v>
      </c>
      <c r="AP96" s="44">
        <v>3000</v>
      </c>
      <c r="AQ96" s="44">
        <v>937</v>
      </c>
      <c r="AR96" s="62">
        <f t="shared" si="32"/>
        <v>0.31233333333333335</v>
      </c>
      <c r="AV96" s="62" t="str">
        <f t="shared" si="33"/>
        <v/>
      </c>
      <c r="AY96" s="62" t="str">
        <f t="shared" si="34"/>
        <v/>
      </c>
      <c r="AZ96" s="44" t="s">
        <v>38</v>
      </c>
      <c r="BA96" s="44">
        <v>4000</v>
      </c>
      <c r="BB96" s="44">
        <v>1600</v>
      </c>
      <c r="BC96" s="62">
        <f t="shared" si="35"/>
        <v>0.4</v>
      </c>
      <c r="BD96" s="44">
        <v>500</v>
      </c>
      <c r="BE96" s="44">
        <v>233</v>
      </c>
      <c r="BF96" s="62">
        <f t="shared" si="36"/>
        <v>0.46600000000000003</v>
      </c>
      <c r="BJ96" s="62" t="str">
        <f t="shared" si="37"/>
        <v/>
      </c>
      <c r="BM96" s="62" t="str">
        <f t="shared" si="38"/>
        <v/>
      </c>
      <c r="BQ96" s="62" t="str">
        <f t="shared" si="39"/>
        <v/>
      </c>
      <c r="BT96" s="62" t="str">
        <f t="shared" si="40"/>
        <v/>
      </c>
      <c r="BW96" s="62" t="str">
        <f t="shared" si="41"/>
        <v/>
      </c>
      <c r="CA96" s="62" t="str">
        <f t="shared" si="42"/>
        <v/>
      </c>
      <c r="CD96" s="62" t="str">
        <f t="shared" si="43"/>
        <v/>
      </c>
    </row>
    <row r="97" spans="1:82" x14ac:dyDescent="0.3">
      <c r="A97" s="49" t="s">
        <v>262</v>
      </c>
      <c r="B97" s="49" t="s">
        <v>104</v>
      </c>
      <c r="C97" s="44" t="s">
        <v>38</v>
      </c>
      <c r="F97" s="62" t="str">
        <f t="shared" si="22"/>
        <v/>
      </c>
      <c r="J97" s="62" t="str">
        <f t="shared" si="23"/>
        <v/>
      </c>
      <c r="N97" s="62" t="str">
        <f t="shared" si="24"/>
        <v/>
      </c>
      <c r="R97" s="62" t="str">
        <f t="shared" si="25"/>
        <v/>
      </c>
      <c r="V97" s="62" t="str">
        <f t="shared" si="26"/>
        <v/>
      </c>
      <c r="Z97" s="62" t="str">
        <f t="shared" si="27"/>
        <v/>
      </c>
      <c r="AC97" s="62" t="str">
        <f t="shared" si="28"/>
        <v/>
      </c>
      <c r="AG97" s="62" t="str">
        <f t="shared" si="29"/>
        <v/>
      </c>
      <c r="AJ97" s="62" t="str">
        <f t="shared" si="30"/>
        <v/>
      </c>
      <c r="AK97" s="44" t="s">
        <v>38</v>
      </c>
      <c r="AL97" s="44">
        <v>400</v>
      </c>
      <c r="AM97" s="44">
        <v>382</v>
      </c>
      <c r="AN97" s="62">
        <f t="shared" si="31"/>
        <v>0.95499999999999996</v>
      </c>
      <c r="AR97" s="62" t="str">
        <f t="shared" si="32"/>
        <v/>
      </c>
      <c r="AV97" s="62" t="str">
        <f t="shared" si="33"/>
        <v/>
      </c>
      <c r="AY97" s="62" t="str">
        <f t="shared" si="34"/>
        <v/>
      </c>
      <c r="BC97" s="62" t="str">
        <f t="shared" si="35"/>
        <v/>
      </c>
      <c r="BF97" s="62" t="str">
        <f t="shared" si="36"/>
        <v/>
      </c>
      <c r="BJ97" s="62" t="str">
        <f t="shared" si="37"/>
        <v/>
      </c>
      <c r="BM97" s="62" t="str">
        <f t="shared" si="38"/>
        <v/>
      </c>
      <c r="BQ97" s="62" t="str">
        <f t="shared" si="39"/>
        <v/>
      </c>
      <c r="BT97" s="62" t="str">
        <f t="shared" si="40"/>
        <v/>
      </c>
      <c r="BW97" s="62" t="str">
        <f t="shared" si="41"/>
        <v/>
      </c>
      <c r="CA97" s="62" t="str">
        <f t="shared" si="42"/>
        <v/>
      </c>
      <c r="CD97" s="62" t="str">
        <f t="shared" si="43"/>
        <v/>
      </c>
    </row>
    <row r="98" spans="1:82" x14ac:dyDescent="0.3">
      <c r="A98" s="49" t="s">
        <v>68</v>
      </c>
      <c r="B98" s="49" t="s">
        <v>104</v>
      </c>
      <c r="C98" s="44" t="s">
        <v>38</v>
      </c>
      <c r="F98" s="62" t="str">
        <f t="shared" si="22"/>
        <v/>
      </c>
      <c r="J98" s="62" t="str">
        <f t="shared" si="23"/>
        <v/>
      </c>
      <c r="N98" s="62" t="str">
        <f t="shared" si="24"/>
        <v/>
      </c>
      <c r="R98" s="62" t="str">
        <f t="shared" si="25"/>
        <v/>
      </c>
      <c r="V98" s="62" t="str">
        <f t="shared" si="26"/>
        <v/>
      </c>
      <c r="Z98" s="62" t="str">
        <f t="shared" si="27"/>
        <v/>
      </c>
      <c r="AC98" s="62" t="str">
        <f t="shared" si="28"/>
        <v/>
      </c>
      <c r="AG98" s="62" t="str">
        <f t="shared" si="29"/>
        <v/>
      </c>
      <c r="AJ98" s="62" t="str">
        <f t="shared" si="30"/>
        <v/>
      </c>
      <c r="AN98" s="62" t="str">
        <f t="shared" si="31"/>
        <v/>
      </c>
      <c r="AO98" s="44" t="s">
        <v>38</v>
      </c>
      <c r="AP98" s="44">
        <v>167</v>
      </c>
      <c r="AQ98" s="44">
        <v>125</v>
      </c>
      <c r="AR98" s="62">
        <f t="shared" si="32"/>
        <v>0.74850299401197606</v>
      </c>
      <c r="AS98" s="44" t="s">
        <v>38</v>
      </c>
      <c r="AT98" s="44">
        <v>180</v>
      </c>
      <c r="AU98" s="44">
        <v>131</v>
      </c>
      <c r="AV98" s="62">
        <f t="shared" si="33"/>
        <v>0.72777777777777775</v>
      </c>
      <c r="AW98" s="44">
        <v>150</v>
      </c>
      <c r="AX98" s="44">
        <v>150</v>
      </c>
      <c r="AY98" s="62">
        <f t="shared" si="34"/>
        <v>1</v>
      </c>
      <c r="AZ98" s="44" t="s">
        <v>38</v>
      </c>
      <c r="BA98" s="44">
        <v>100</v>
      </c>
      <c r="BB98" s="44">
        <v>100</v>
      </c>
      <c r="BC98" s="62">
        <f t="shared" si="35"/>
        <v>1</v>
      </c>
      <c r="BD98" s="44">
        <v>80</v>
      </c>
      <c r="BE98" s="44">
        <v>80</v>
      </c>
      <c r="BF98" s="62">
        <f t="shared" si="36"/>
        <v>1</v>
      </c>
      <c r="BJ98" s="62" t="str">
        <f t="shared" si="37"/>
        <v/>
      </c>
      <c r="BM98" s="62" t="str">
        <f t="shared" si="38"/>
        <v/>
      </c>
      <c r="BQ98" s="62" t="str">
        <f t="shared" si="39"/>
        <v/>
      </c>
      <c r="BT98" s="62" t="str">
        <f t="shared" si="40"/>
        <v/>
      </c>
      <c r="BW98" s="62" t="str">
        <f t="shared" si="41"/>
        <v/>
      </c>
      <c r="CA98" s="62" t="str">
        <f t="shared" si="42"/>
        <v/>
      </c>
      <c r="CD98" s="62" t="str">
        <f t="shared" si="43"/>
        <v/>
      </c>
    </row>
    <row r="99" spans="1:82" x14ac:dyDescent="0.3">
      <c r="A99" s="49" t="s">
        <v>28</v>
      </c>
      <c r="B99" s="49" t="s">
        <v>104</v>
      </c>
      <c r="C99" s="44" t="s">
        <v>38</v>
      </c>
      <c r="D99" s="44">
        <v>7609</v>
      </c>
      <c r="E99" s="44">
        <v>6857</v>
      </c>
      <c r="F99" s="62">
        <f t="shared" si="22"/>
        <v>0.90116966749901428</v>
      </c>
      <c r="G99" s="44" t="s">
        <v>38</v>
      </c>
      <c r="H99" s="44">
        <v>6911</v>
      </c>
      <c r="I99" s="44">
        <v>6413</v>
      </c>
      <c r="J99" s="62">
        <f t="shared" si="23"/>
        <v>0.92794096368108814</v>
      </c>
      <c r="K99" s="44" t="s">
        <v>38</v>
      </c>
      <c r="L99" s="44">
        <v>10000</v>
      </c>
      <c r="M99" s="44">
        <v>11282</v>
      </c>
      <c r="N99" s="62">
        <f t="shared" si="24"/>
        <v>1.1282000000000001</v>
      </c>
      <c r="O99" s="44" t="s">
        <v>38</v>
      </c>
      <c r="P99" s="44">
        <v>6208</v>
      </c>
      <c r="Q99" s="44">
        <v>11462</v>
      </c>
      <c r="R99" s="62">
        <f t="shared" si="25"/>
        <v>1.8463273195876289</v>
      </c>
      <c r="S99" s="44" t="s">
        <v>38</v>
      </c>
      <c r="T99" s="44">
        <v>3960</v>
      </c>
      <c r="U99" s="44">
        <v>7071</v>
      </c>
      <c r="V99" s="62">
        <f t="shared" si="26"/>
        <v>1.7856060606060606</v>
      </c>
      <c r="W99" s="44" t="s">
        <v>38</v>
      </c>
      <c r="X99" s="44">
        <v>7040</v>
      </c>
      <c r="Y99" s="44">
        <v>9200</v>
      </c>
      <c r="Z99" s="62">
        <f t="shared" si="27"/>
        <v>1.3068181818181819</v>
      </c>
      <c r="AA99" s="44">
        <v>5266.5</v>
      </c>
      <c r="AB99" s="44">
        <v>6892</v>
      </c>
      <c r="AC99" s="62">
        <f t="shared" si="28"/>
        <v>1.3086490078799962</v>
      </c>
      <c r="AD99" s="44" t="s">
        <v>38</v>
      </c>
      <c r="AE99" s="44">
        <v>2050</v>
      </c>
      <c r="AF99" s="44">
        <v>2678</v>
      </c>
      <c r="AG99" s="62">
        <f t="shared" si="29"/>
        <v>1.3063414634146342</v>
      </c>
      <c r="AH99" s="54">
        <v>2300</v>
      </c>
      <c r="AI99" s="44">
        <v>2822</v>
      </c>
      <c r="AJ99" s="62">
        <f t="shared" si="30"/>
        <v>1.2269565217391305</v>
      </c>
      <c r="AN99" s="62" t="str">
        <f t="shared" si="31"/>
        <v/>
      </c>
      <c r="AO99" s="44" t="s">
        <v>38</v>
      </c>
      <c r="AP99" s="44">
        <v>2360</v>
      </c>
      <c r="AQ99" s="44">
        <v>2306</v>
      </c>
      <c r="AR99" s="62">
        <f t="shared" si="32"/>
        <v>0.97711864406779658</v>
      </c>
      <c r="AS99" s="44" t="s">
        <v>38</v>
      </c>
      <c r="AT99" s="44">
        <v>7550</v>
      </c>
      <c r="AU99" s="44">
        <v>3037</v>
      </c>
      <c r="AV99" s="62">
        <f t="shared" si="33"/>
        <v>0.40225165562913906</v>
      </c>
      <c r="AW99" s="44">
        <v>4150</v>
      </c>
      <c r="AX99" s="44">
        <v>5315</v>
      </c>
      <c r="AY99" s="62">
        <f t="shared" si="34"/>
        <v>1.280722891566265</v>
      </c>
      <c r="AZ99" s="44" t="s">
        <v>38</v>
      </c>
      <c r="BA99" s="44">
        <v>2900</v>
      </c>
      <c r="BB99" s="44">
        <v>3400</v>
      </c>
      <c r="BC99" s="62">
        <f t="shared" si="35"/>
        <v>1.1724137931034482</v>
      </c>
      <c r="BD99" s="44">
        <v>6050</v>
      </c>
      <c r="BE99" s="44">
        <v>6133</v>
      </c>
      <c r="BF99" s="62">
        <f t="shared" si="36"/>
        <v>1.0137190082644627</v>
      </c>
      <c r="BG99" s="44" t="s">
        <v>38</v>
      </c>
      <c r="BJ99" s="62" t="str">
        <f t="shared" si="37"/>
        <v/>
      </c>
      <c r="BK99" s="44">
        <v>2232</v>
      </c>
      <c r="BL99" s="44">
        <v>1486</v>
      </c>
      <c r="BM99" s="62">
        <f t="shared" si="38"/>
        <v>0.66577060931899645</v>
      </c>
      <c r="BN99" s="44" t="s">
        <v>38</v>
      </c>
      <c r="BO99" s="44">
        <v>1798</v>
      </c>
      <c r="BP99" s="44">
        <v>2625</v>
      </c>
      <c r="BQ99" s="62">
        <f t="shared" si="39"/>
        <v>1.4599555061179088</v>
      </c>
      <c r="BR99" s="44">
        <v>7982</v>
      </c>
      <c r="BS99" s="44">
        <v>2313</v>
      </c>
      <c r="BT99" s="62">
        <f t="shared" si="40"/>
        <v>0.28977699824605363</v>
      </c>
      <c r="BU99" s="44">
        <v>7144</v>
      </c>
      <c r="BV99" s="44">
        <v>1603</v>
      </c>
      <c r="BW99" s="62">
        <f t="shared" si="41"/>
        <v>0.22438409854423291</v>
      </c>
      <c r="BX99" s="44" t="s">
        <v>38</v>
      </c>
      <c r="BY99" s="44">
        <v>4610</v>
      </c>
      <c r="BZ99" s="44">
        <v>421</v>
      </c>
      <c r="CA99" s="62">
        <f t="shared" si="42"/>
        <v>9.1323210412147499E-2</v>
      </c>
      <c r="CB99" s="44">
        <v>6002</v>
      </c>
      <c r="CC99" s="44">
        <v>5119</v>
      </c>
      <c r="CD99" s="62">
        <f t="shared" si="43"/>
        <v>0.85288237254248589</v>
      </c>
    </row>
    <row r="100" spans="1:82" x14ac:dyDescent="0.3">
      <c r="A100" s="77" t="s">
        <v>73</v>
      </c>
      <c r="B100" s="49" t="s">
        <v>104</v>
      </c>
      <c r="C100" s="44" t="s">
        <v>38</v>
      </c>
      <c r="F100" s="62" t="str">
        <f t="shared" si="22"/>
        <v/>
      </c>
      <c r="J100" s="62" t="str">
        <f t="shared" si="23"/>
        <v/>
      </c>
      <c r="N100" s="62" t="str">
        <f t="shared" si="24"/>
        <v/>
      </c>
      <c r="R100" s="62" t="str">
        <f t="shared" si="25"/>
        <v/>
      </c>
      <c r="V100" s="62" t="str">
        <f t="shared" si="26"/>
        <v/>
      </c>
      <c r="Z100" s="62" t="str">
        <f t="shared" si="27"/>
        <v/>
      </c>
      <c r="AC100" s="62" t="str">
        <f t="shared" si="28"/>
        <v/>
      </c>
      <c r="AG100" s="62" t="str">
        <f t="shared" si="29"/>
        <v/>
      </c>
      <c r="AH100" s="32"/>
      <c r="AJ100" s="62" t="str">
        <f t="shared" si="30"/>
        <v/>
      </c>
      <c r="AN100" s="62" t="str">
        <f t="shared" si="31"/>
        <v/>
      </c>
      <c r="AR100" s="62" t="str">
        <f t="shared" si="32"/>
        <v/>
      </c>
      <c r="AV100" s="62" t="str">
        <f t="shared" si="33"/>
        <v/>
      </c>
      <c r="AY100" s="62" t="str">
        <f t="shared" si="34"/>
        <v/>
      </c>
      <c r="BC100" s="62" t="str">
        <f t="shared" si="35"/>
        <v/>
      </c>
      <c r="BF100" s="62" t="str">
        <f t="shared" si="36"/>
        <v/>
      </c>
      <c r="BJ100" s="62" t="str">
        <f t="shared" si="37"/>
        <v/>
      </c>
      <c r="BM100" s="62" t="str">
        <f t="shared" si="38"/>
        <v/>
      </c>
      <c r="BN100" s="44" t="s">
        <v>38</v>
      </c>
      <c r="BQ100" s="62" t="str">
        <f t="shared" si="39"/>
        <v/>
      </c>
      <c r="BR100" s="44">
        <v>11.5</v>
      </c>
      <c r="BS100" s="44">
        <v>10</v>
      </c>
      <c r="BT100" s="62">
        <f t="shared" si="40"/>
        <v>0.86956521739130432</v>
      </c>
      <c r="BU100" s="44">
        <v>70</v>
      </c>
      <c r="BV100" s="44">
        <v>32</v>
      </c>
      <c r="BW100" s="62">
        <f t="shared" si="41"/>
        <v>0.45714285714285713</v>
      </c>
      <c r="BX100" s="44" t="s">
        <v>38</v>
      </c>
      <c r="BY100" s="44">
        <v>97</v>
      </c>
      <c r="BZ100" s="44">
        <v>38</v>
      </c>
      <c r="CA100" s="62">
        <f t="shared" si="42"/>
        <v>0.39175257731958762</v>
      </c>
      <c r="CB100" s="44">
        <v>214</v>
      </c>
      <c r="CC100" s="44">
        <v>68</v>
      </c>
      <c r="CD100" s="62">
        <f t="shared" si="43"/>
        <v>0.31775700934579437</v>
      </c>
    </row>
    <row r="101" spans="1:82" x14ac:dyDescent="0.3">
      <c r="A101" s="49" t="s">
        <v>29</v>
      </c>
      <c r="B101" s="49" t="s">
        <v>104</v>
      </c>
      <c r="C101" s="44" t="s">
        <v>38</v>
      </c>
      <c r="F101" s="62" t="str">
        <f t="shared" si="22"/>
        <v/>
      </c>
      <c r="J101" s="62" t="str">
        <f t="shared" si="23"/>
        <v/>
      </c>
      <c r="N101" s="62" t="str">
        <f t="shared" si="24"/>
        <v/>
      </c>
      <c r="R101" s="62" t="str">
        <f t="shared" si="25"/>
        <v/>
      </c>
      <c r="V101" s="62" t="str">
        <f t="shared" si="26"/>
        <v/>
      </c>
      <c r="Z101" s="62" t="str">
        <f t="shared" si="27"/>
        <v/>
      </c>
      <c r="AC101" s="62" t="str">
        <f t="shared" si="28"/>
        <v/>
      </c>
      <c r="AG101" s="62" t="str">
        <f t="shared" si="29"/>
        <v/>
      </c>
      <c r="AH101" s="32"/>
      <c r="AJ101" s="62" t="str">
        <f t="shared" si="30"/>
        <v/>
      </c>
      <c r="AN101" s="62" t="str">
        <f t="shared" si="31"/>
        <v/>
      </c>
      <c r="AO101" s="44" t="s">
        <v>42</v>
      </c>
      <c r="AP101" s="44">
        <v>350</v>
      </c>
      <c r="AQ101" s="44">
        <v>219</v>
      </c>
      <c r="AR101" s="62">
        <f t="shared" si="32"/>
        <v>0.62571428571428567</v>
      </c>
      <c r="AS101" s="44" t="s">
        <v>42</v>
      </c>
      <c r="AT101" s="44">
        <v>240</v>
      </c>
      <c r="AU101" s="44">
        <v>150</v>
      </c>
      <c r="AV101" s="62">
        <f t="shared" si="33"/>
        <v>0.625</v>
      </c>
      <c r="AW101" s="44">
        <v>249</v>
      </c>
      <c r="AX101" s="44">
        <v>166</v>
      </c>
      <c r="AY101" s="62">
        <f t="shared" si="34"/>
        <v>0.66666666666666663</v>
      </c>
      <c r="AZ101" s="44" t="s">
        <v>42</v>
      </c>
      <c r="BA101" s="44">
        <v>175</v>
      </c>
      <c r="BB101" s="44">
        <v>117</v>
      </c>
      <c r="BC101" s="62">
        <f t="shared" si="35"/>
        <v>0.66857142857142859</v>
      </c>
      <c r="BD101" s="44">
        <v>430</v>
      </c>
      <c r="BE101" s="44">
        <v>287</v>
      </c>
      <c r="BF101" s="62">
        <f t="shared" si="36"/>
        <v>0.66744186046511633</v>
      </c>
      <c r="BJ101" s="62" t="str">
        <f t="shared" si="37"/>
        <v/>
      </c>
      <c r="BM101" s="62" t="str">
        <f t="shared" si="38"/>
        <v/>
      </c>
      <c r="BQ101" s="62" t="str">
        <f t="shared" si="39"/>
        <v/>
      </c>
      <c r="BT101" s="62" t="str">
        <f t="shared" si="40"/>
        <v/>
      </c>
      <c r="BW101" s="62" t="str">
        <f t="shared" si="41"/>
        <v/>
      </c>
      <c r="CA101" s="62" t="str">
        <f t="shared" si="42"/>
        <v/>
      </c>
      <c r="CD101" s="62" t="str">
        <f t="shared" si="43"/>
        <v/>
      </c>
    </row>
    <row r="102" spans="1:82" x14ac:dyDescent="0.3">
      <c r="A102" s="49" t="s">
        <v>184</v>
      </c>
      <c r="B102" s="49" t="s">
        <v>292</v>
      </c>
      <c r="C102" s="44" t="s">
        <v>35</v>
      </c>
      <c r="D102" s="44">
        <v>367</v>
      </c>
      <c r="E102" s="44">
        <v>1756</v>
      </c>
      <c r="F102" s="62">
        <f t="shared" si="22"/>
        <v>4.784741144414169</v>
      </c>
      <c r="G102" s="76" t="s">
        <v>42</v>
      </c>
      <c r="H102" s="44">
        <v>3150</v>
      </c>
      <c r="I102" s="44">
        <v>1458</v>
      </c>
      <c r="J102" s="62">
        <f t="shared" si="23"/>
        <v>0.46285714285714286</v>
      </c>
      <c r="N102" s="62" t="str">
        <f t="shared" si="24"/>
        <v/>
      </c>
      <c r="O102" s="44" t="s">
        <v>42</v>
      </c>
      <c r="R102" s="62" t="str">
        <f t="shared" si="25"/>
        <v/>
      </c>
      <c r="S102" s="44" t="s">
        <v>42</v>
      </c>
      <c r="T102" s="44">
        <v>1100</v>
      </c>
      <c r="U102" s="44">
        <v>786</v>
      </c>
      <c r="V102" s="62">
        <f t="shared" si="26"/>
        <v>0.71454545454545459</v>
      </c>
      <c r="W102" s="44" t="s">
        <v>42</v>
      </c>
      <c r="X102" s="44">
        <v>1000</v>
      </c>
      <c r="Y102" s="44">
        <v>625</v>
      </c>
      <c r="Z102" s="62">
        <f t="shared" si="27"/>
        <v>0.625</v>
      </c>
      <c r="AC102" s="62" t="str">
        <f t="shared" si="28"/>
        <v/>
      </c>
      <c r="AG102" s="62" t="str">
        <f t="shared" si="29"/>
        <v/>
      </c>
      <c r="AJ102" s="62" t="str">
        <f t="shared" si="30"/>
        <v/>
      </c>
      <c r="AN102" s="62" t="str">
        <f t="shared" si="31"/>
        <v/>
      </c>
      <c r="AR102" s="62" t="str">
        <f t="shared" si="32"/>
        <v/>
      </c>
      <c r="AV102" s="62" t="str">
        <f t="shared" si="33"/>
        <v/>
      </c>
      <c r="AY102" s="62" t="str">
        <f t="shared" si="34"/>
        <v/>
      </c>
      <c r="BC102" s="62" t="str">
        <f t="shared" si="35"/>
        <v/>
      </c>
      <c r="BF102" s="62" t="str">
        <f t="shared" si="36"/>
        <v/>
      </c>
      <c r="BJ102" s="62" t="str">
        <f t="shared" si="37"/>
        <v/>
      </c>
      <c r="BM102" s="62" t="str">
        <f t="shared" si="38"/>
        <v/>
      </c>
      <c r="BQ102" s="62" t="str">
        <f t="shared" si="39"/>
        <v/>
      </c>
      <c r="BT102" s="62" t="str">
        <f t="shared" si="40"/>
        <v/>
      </c>
      <c r="BW102" s="62" t="str">
        <f t="shared" si="41"/>
        <v/>
      </c>
      <c r="CA102" s="62" t="str">
        <f t="shared" si="42"/>
        <v/>
      </c>
      <c r="CD102" s="62" t="str">
        <f t="shared" si="43"/>
        <v/>
      </c>
    </row>
    <row r="103" spans="1:82" x14ac:dyDescent="0.3">
      <c r="A103" s="49" t="s">
        <v>348</v>
      </c>
      <c r="B103" s="49" t="s">
        <v>292</v>
      </c>
      <c r="C103" s="44" t="s">
        <v>35</v>
      </c>
      <c r="F103" s="62" t="str">
        <f t="shared" si="22"/>
        <v/>
      </c>
      <c r="J103" s="62" t="str">
        <f t="shared" si="23"/>
        <v/>
      </c>
      <c r="N103" s="62" t="str">
        <f t="shared" si="24"/>
        <v/>
      </c>
      <c r="R103" s="62" t="str">
        <f t="shared" si="25"/>
        <v/>
      </c>
      <c r="V103" s="62" t="str">
        <f t="shared" si="26"/>
        <v/>
      </c>
      <c r="Z103" s="62" t="str">
        <f t="shared" si="27"/>
        <v/>
      </c>
      <c r="AC103" s="62" t="str">
        <f t="shared" si="28"/>
        <v/>
      </c>
      <c r="AG103" s="62" t="str">
        <f t="shared" si="29"/>
        <v/>
      </c>
      <c r="AJ103" s="62" t="str">
        <f t="shared" si="30"/>
        <v/>
      </c>
      <c r="AN103" s="62" t="str">
        <f t="shared" si="31"/>
        <v/>
      </c>
      <c r="AO103" s="44" t="s">
        <v>35</v>
      </c>
      <c r="AP103" s="54">
        <v>230</v>
      </c>
      <c r="AQ103" s="54">
        <v>719</v>
      </c>
      <c r="AR103" s="62">
        <f t="shared" si="32"/>
        <v>3.1260869565217391</v>
      </c>
      <c r="AV103" s="62" t="str">
        <f t="shared" si="33"/>
        <v/>
      </c>
      <c r="AY103" s="62" t="str">
        <f t="shared" si="34"/>
        <v/>
      </c>
      <c r="BC103" s="62" t="str">
        <f t="shared" si="35"/>
        <v/>
      </c>
      <c r="BF103" s="62" t="str">
        <f t="shared" si="36"/>
        <v/>
      </c>
      <c r="BJ103" s="62" t="str">
        <f t="shared" si="37"/>
        <v/>
      </c>
      <c r="BM103" s="62" t="str">
        <f t="shared" si="38"/>
        <v/>
      </c>
      <c r="BN103" s="44" t="s">
        <v>38</v>
      </c>
      <c r="BQ103" s="62" t="str">
        <f t="shared" si="39"/>
        <v/>
      </c>
      <c r="BT103" s="62" t="str">
        <f t="shared" si="40"/>
        <v/>
      </c>
      <c r="BU103" s="76">
        <v>7.5</v>
      </c>
      <c r="BV103" s="44">
        <v>182</v>
      </c>
      <c r="BW103" s="62">
        <f t="shared" si="41"/>
        <v>24.266666666666666</v>
      </c>
      <c r="BX103" s="44" t="s">
        <v>38</v>
      </c>
      <c r="BY103" s="44">
        <v>2.5</v>
      </c>
      <c r="BZ103" s="44">
        <v>60</v>
      </c>
      <c r="CA103" s="62">
        <f t="shared" si="42"/>
        <v>24</v>
      </c>
      <c r="CB103" s="44">
        <v>1</v>
      </c>
      <c r="CC103" s="44">
        <v>60</v>
      </c>
      <c r="CD103" s="62">
        <f t="shared" si="43"/>
        <v>60</v>
      </c>
    </row>
    <row r="104" spans="1:82" x14ac:dyDescent="0.3">
      <c r="A104" s="49" t="s">
        <v>349</v>
      </c>
      <c r="B104" s="49" t="s">
        <v>104</v>
      </c>
      <c r="C104" s="44" t="s">
        <v>38</v>
      </c>
      <c r="F104" s="62" t="str">
        <f t="shared" si="22"/>
        <v/>
      </c>
      <c r="J104" s="62" t="str">
        <f t="shared" si="23"/>
        <v/>
      </c>
      <c r="N104" s="62" t="str">
        <f t="shared" si="24"/>
        <v/>
      </c>
      <c r="R104" s="62" t="str">
        <f t="shared" si="25"/>
        <v/>
      </c>
      <c r="V104" s="62" t="str">
        <f t="shared" si="26"/>
        <v/>
      </c>
      <c r="Z104" s="62" t="str">
        <f t="shared" si="27"/>
        <v/>
      </c>
      <c r="AC104" s="62" t="str">
        <f t="shared" si="28"/>
        <v/>
      </c>
      <c r="AG104" s="62" t="str">
        <f t="shared" si="29"/>
        <v/>
      </c>
      <c r="AJ104" s="62" t="str">
        <f t="shared" si="30"/>
        <v/>
      </c>
      <c r="AN104" s="62" t="str">
        <f t="shared" si="31"/>
        <v/>
      </c>
      <c r="AP104" s="32"/>
      <c r="AQ104" s="32"/>
      <c r="AR104" s="62" t="str">
        <f t="shared" si="32"/>
        <v/>
      </c>
      <c r="AV104" s="62" t="str">
        <f t="shared" si="33"/>
        <v/>
      </c>
      <c r="AY104" s="62" t="str">
        <f t="shared" si="34"/>
        <v/>
      </c>
      <c r="BC104" s="62" t="str">
        <f t="shared" si="35"/>
        <v/>
      </c>
      <c r="BF104" s="62" t="str">
        <f t="shared" si="36"/>
        <v/>
      </c>
      <c r="BJ104" s="62" t="str">
        <f t="shared" si="37"/>
        <v/>
      </c>
      <c r="BM104" s="62" t="str">
        <f t="shared" si="38"/>
        <v/>
      </c>
      <c r="BQ104" s="62" t="str">
        <f t="shared" si="39"/>
        <v/>
      </c>
      <c r="BT104" s="62" t="str">
        <f t="shared" si="40"/>
        <v/>
      </c>
      <c r="BW104" s="62" t="str">
        <f t="shared" si="41"/>
        <v/>
      </c>
      <c r="BX104" s="44" t="s">
        <v>38</v>
      </c>
      <c r="BY104" s="44">
        <v>0.75</v>
      </c>
      <c r="BZ104" s="44">
        <v>32</v>
      </c>
      <c r="CA104" s="62">
        <f t="shared" si="42"/>
        <v>42.666666666666664</v>
      </c>
      <c r="CD104" s="62" t="str">
        <f t="shared" si="43"/>
        <v/>
      </c>
    </row>
    <row r="105" spans="1:82" x14ac:dyDescent="0.3">
      <c r="A105" s="49" t="s">
        <v>50</v>
      </c>
      <c r="B105" s="49" t="s">
        <v>104</v>
      </c>
      <c r="C105" s="44" t="s">
        <v>38</v>
      </c>
      <c r="F105" s="62" t="str">
        <f t="shared" si="22"/>
        <v/>
      </c>
      <c r="J105" s="62" t="str">
        <f t="shared" si="23"/>
        <v/>
      </c>
      <c r="N105" s="62" t="str">
        <f t="shared" si="24"/>
        <v/>
      </c>
      <c r="R105" s="62" t="str">
        <f t="shared" si="25"/>
        <v/>
      </c>
      <c r="V105" s="62" t="str">
        <f t="shared" si="26"/>
        <v/>
      </c>
      <c r="Z105" s="62" t="str">
        <f t="shared" si="27"/>
        <v/>
      </c>
      <c r="AC105" s="62" t="str">
        <f t="shared" si="28"/>
        <v/>
      </c>
      <c r="AG105" s="62" t="str">
        <f t="shared" si="29"/>
        <v/>
      </c>
      <c r="AJ105" s="62" t="str">
        <f t="shared" si="30"/>
        <v/>
      </c>
      <c r="AN105" s="62" t="str">
        <f t="shared" si="31"/>
        <v/>
      </c>
      <c r="AP105" s="32"/>
      <c r="AQ105" s="32"/>
      <c r="AR105" s="62" t="str">
        <f t="shared" si="32"/>
        <v/>
      </c>
      <c r="AV105" s="62" t="str">
        <f t="shared" si="33"/>
        <v/>
      </c>
      <c r="AY105" s="62" t="str">
        <f t="shared" si="34"/>
        <v/>
      </c>
      <c r="BC105" s="62" t="str">
        <f t="shared" si="35"/>
        <v/>
      </c>
      <c r="BF105" s="62" t="str">
        <f t="shared" si="36"/>
        <v/>
      </c>
      <c r="BG105" s="44" t="s">
        <v>38</v>
      </c>
      <c r="BH105" s="44">
        <v>2</v>
      </c>
      <c r="BI105" s="44">
        <v>2</v>
      </c>
      <c r="BJ105" s="62">
        <f t="shared" si="37"/>
        <v>1</v>
      </c>
      <c r="BM105" s="62" t="str">
        <f t="shared" si="38"/>
        <v/>
      </c>
      <c r="BN105" s="44" t="s">
        <v>38</v>
      </c>
      <c r="BQ105" s="62" t="str">
        <f t="shared" si="39"/>
        <v/>
      </c>
      <c r="BR105" s="44">
        <v>42.5</v>
      </c>
      <c r="BS105" s="44">
        <v>13</v>
      </c>
      <c r="BT105" s="62">
        <f t="shared" si="40"/>
        <v>0.30588235294117649</v>
      </c>
      <c r="BU105" s="44">
        <v>7</v>
      </c>
      <c r="BV105" s="44">
        <v>6</v>
      </c>
      <c r="BW105" s="62">
        <f t="shared" si="41"/>
        <v>0.8571428571428571</v>
      </c>
      <c r="BX105" s="44" t="s">
        <v>38</v>
      </c>
      <c r="BY105" s="44">
        <v>9</v>
      </c>
      <c r="BZ105" s="44">
        <v>21</v>
      </c>
      <c r="CA105" s="62">
        <f t="shared" si="42"/>
        <v>2.3333333333333335</v>
      </c>
      <c r="CB105" s="44">
        <v>6.5</v>
      </c>
      <c r="CC105" s="44">
        <v>10</v>
      </c>
      <c r="CD105" s="62">
        <f t="shared" si="43"/>
        <v>1.5384615384615385</v>
      </c>
    </row>
    <row r="106" spans="1:82" x14ac:dyDescent="0.3">
      <c r="A106" s="49" t="s">
        <v>30</v>
      </c>
      <c r="B106" s="49" t="s">
        <v>104</v>
      </c>
      <c r="C106" s="44" t="s">
        <v>38</v>
      </c>
      <c r="D106" s="44">
        <v>1817</v>
      </c>
      <c r="E106" s="44">
        <v>4000</v>
      </c>
      <c r="F106" s="62">
        <f t="shared" si="22"/>
        <v>2.2014309301045678</v>
      </c>
      <c r="G106" s="44" t="s">
        <v>38</v>
      </c>
      <c r="H106" s="44">
        <v>3220</v>
      </c>
      <c r="I106" s="44">
        <v>4287</v>
      </c>
      <c r="J106" s="62">
        <f t="shared" si="23"/>
        <v>1.3313664596273291</v>
      </c>
      <c r="K106" s="44" t="s">
        <v>38</v>
      </c>
      <c r="L106" s="44">
        <v>2067</v>
      </c>
      <c r="M106" s="44">
        <v>4239</v>
      </c>
      <c r="N106" s="62">
        <f t="shared" si="24"/>
        <v>2.0507982583454281</v>
      </c>
      <c r="O106" s="44" t="s">
        <v>38</v>
      </c>
      <c r="P106" s="44">
        <v>2000</v>
      </c>
      <c r="Q106" s="44">
        <v>4615</v>
      </c>
      <c r="R106" s="62">
        <f t="shared" si="25"/>
        <v>2.3075000000000001</v>
      </c>
      <c r="S106" s="44" t="s">
        <v>38</v>
      </c>
      <c r="T106" s="44">
        <v>3080</v>
      </c>
      <c r="U106" s="44">
        <v>5500</v>
      </c>
      <c r="V106" s="62">
        <f t="shared" si="26"/>
        <v>1.7857142857142858</v>
      </c>
      <c r="W106" s="44" t="s">
        <v>38</v>
      </c>
      <c r="X106" s="44">
        <v>2800</v>
      </c>
      <c r="Y106" s="44">
        <v>4406</v>
      </c>
      <c r="Z106" s="62">
        <f t="shared" si="27"/>
        <v>1.5735714285714286</v>
      </c>
      <c r="AA106" s="44">
        <v>2540</v>
      </c>
      <c r="AB106" s="44">
        <v>3908</v>
      </c>
      <c r="AC106" s="62">
        <f t="shared" si="28"/>
        <v>1.5385826771653544</v>
      </c>
      <c r="AD106" s="44" t="s">
        <v>38</v>
      </c>
      <c r="AE106" s="44">
        <v>2380</v>
      </c>
      <c r="AF106" s="44">
        <v>3306</v>
      </c>
      <c r="AG106" s="62">
        <f t="shared" si="29"/>
        <v>1.3890756302521008</v>
      </c>
      <c r="AH106" s="44">
        <v>1840</v>
      </c>
      <c r="AI106" s="44">
        <v>2555</v>
      </c>
      <c r="AJ106" s="62">
        <f t="shared" si="30"/>
        <v>1.388586956521739</v>
      </c>
      <c r="AK106" s="44" t="s">
        <v>38</v>
      </c>
      <c r="AL106" s="44">
        <v>488</v>
      </c>
      <c r="AM106" s="44">
        <v>559</v>
      </c>
      <c r="AN106" s="62">
        <f t="shared" si="31"/>
        <v>1.1454918032786885</v>
      </c>
      <c r="AO106" s="44" t="s">
        <v>38</v>
      </c>
      <c r="AP106" s="44">
        <v>1100</v>
      </c>
      <c r="AQ106" s="44">
        <v>1375</v>
      </c>
      <c r="AR106" s="62">
        <f t="shared" si="32"/>
        <v>1.25</v>
      </c>
      <c r="AS106" s="44" t="s">
        <v>38</v>
      </c>
      <c r="AT106" s="44">
        <v>1550</v>
      </c>
      <c r="AU106" s="44">
        <v>1938</v>
      </c>
      <c r="AV106" s="62">
        <f t="shared" si="33"/>
        <v>1.2503225806451612</v>
      </c>
      <c r="AW106" s="44">
        <v>660</v>
      </c>
      <c r="AX106" s="44">
        <v>1320</v>
      </c>
      <c r="AY106" s="62">
        <f t="shared" si="34"/>
        <v>2</v>
      </c>
      <c r="AZ106" s="44" t="s">
        <v>38</v>
      </c>
      <c r="BA106" s="44">
        <v>380</v>
      </c>
      <c r="BB106" s="44">
        <v>760</v>
      </c>
      <c r="BC106" s="62">
        <f t="shared" si="35"/>
        <v>2</v>
      </c>
      <c r="BD106" s="44">
        <v>1085</v>
      </c>
      <c r="BE106" s="44">
        <v>1503</v>
      </c>
      <c r="BF106" s="62">
        <f t="shared" si="36"/>
        <v>1.3852534562211982</v>
      </c>
      <c r="BG106" s="44" t="s">
        <v>38</v>
      </c>
      <c r="BJ106" s="62" t="str">
        <f t="shared" si="37"/>
        <v/>
      </c>
      <c r="BK106" s="44">
        <v>942</v>
      </c>
      <c r="BL106" s="44">
        <v>782</v>
      </c>
      <c r="BM106" s="62">
        <f t="shared" si="38"/>
        <v>0.83014861995753719</v>
      </c>
      <c r="BN106" s="44" t="s">
        <v>38</v>
      </c>
      <c r="BO106" s="44">
        <v>712</v>
      </c>
      <c r="BP106" s="44">
        <v>818</v>
      </c>
      <c r="BQ106" s="62">
        <f t="shared" si="39"/>
        <v>1.148876404494382</v>
      </c>
      <c r="BR106" s="44">
        <v>776.5</v>
      </c>
      <c r="BS106" s="44">
        <v>771</v>
      </c>
      <c r="BT106" s="62">
        <f t="shared" si="40"/>
        <v>0.99291693496458466</v>
      </c>
      <c r="BU106" s="44">
        <v>217</v>
      </c>
      <c r="BV106" s="44">
        <v>303</v>
      </c>
      <c r="BW106" s="62">
        <f t="shared" si="41"/>
        <v>1.3963133640552996</v>
      </c>
      <c r="BX106" s="44" t="s">
        <v>38</v>
      </c>
      <c r="BY106" s="44">
        <v>146.75</v>
      </c>
      <c r="BZ106" s="44">
        <v>184.5</v>
      </c>
      <c r="CA106" s="62">
        <f t="shared" si="42"/>
        <v>1.2572402044293016</v>
      </c>
      <c r="CB106" s="44">
        <v>176</v>
      </c>
      <c r="CC106" s="44">
        <v>165</v>
      </c>
      <c r="CD106" s="62">
        <f t="shared" si="43"/>
        <v>0.9375</v>
      </c>
    </row>
    <row r="107" spans="1:82" x14ac:dyDescent="0.3">
      <c r="A107" s="49" t="s">
        <v>51</v>
      </c>
      <c r="B107" s="49" t="s">
        <v>104</v>
      </c>
      <c r="C107" s="44" t="s">
        <v>38</v>
      </c>
      <c r="F107" s="62" t="str">
        <f t="shared" si="22"/>
        <v/>
      </c>
      <c r="J107" s="62" t="str">
        <f t="shared" si="23"/>
        <v/>
      </c>
      <c r="N107" s="62" t="str">
        <f t="shared" si="24"/>
        <v/>
      </c>
      <c r="R107" s="62" t="str">
        <f t="shared" si="25"/>
        <v/>
      </c>
      <c r="V107" s="62" t="str">
        <f t="shared" si="26"/>
        <v/>
      </c>
      <c r="Z107" s="62" t="str">
        <f t="shared" si="27"/>
        <v/>
      </c>
      <c r="AC107" s="62" t="str">
        <f t="shared" si="28"/>
        <v/>
      </c>
      <c r="AG107" s="62" t="str">
        <f t="shared" si="29"/>
        <v/>
      </c>
      <c r="AJ107" s="62" t="str">
        <f t="shared" si="30"/>
        <v/>
      </c>
      <c r="AN107" s="62" t="str">
        <f t="shared" si="31"/>
        <v/>
      </c>
      <c r="AR107" s="62" t="str">
        <f t="shared" si="32"/>
        <v/>
      </c>
      <c r="AV107" s="62" t="str">
        <f t="shared" si="33"/>
        <v/>
      </c>
      <c r="AY107" s="62" t="str">
        <f t="shared" si="34"/>
        <v/>
      </c>
      <c r="BC107" s="62" t="str">
        <f t="shared" si="35"/>
        <v/>
      </c>
      <c r="BF107" s="62" t="str">
        <f t="shared" si="36"/>
        <v/>
      </c>
      <c r="BJ107" s="62" t="str">
        <f t="shared" si="37"/>
        <v/>
      </c>
      <c r="BM107" s="62" t="str">
        <f t="shared" si="38"/>
        <v/>
      </c>
      <c r="BN107" s="44" t="s">
        <v>38</v>
      </c>
      <c r="BQ107" s="62" t="str">
        <f t="shared" si="39"/>
        <v/>
      </c>
      <c r="BR107" s="44">
        <v>1.3</v>
      </c>
      <c r="BS107" s="44">
        <v>4</v>
      </c>
      <c r="BT107" s="62">
        <f t="shared" si="40"/>
        <v>3.0769230769230766</v>
      </c>
      <c r="BW107" s="62" t="str">
        <f t="shared" si="41"/>
        <v/>
      </c>
      <c r="CA107" s="62" t="str">
        <f t="shared" si="42"/>
        <v/>
      </c>
      <c r="CD107" s="62" t="str">
        <f t="shared" si="43"/>
        <v/>
      </c>
    </row>
    <row r="108" spans="1:82" x14ac:dyDescent="0.3">
      <c r="A108" s="49" t="s">
        <v>268</v>
      </c>
      <c r="B108" s="49" t="s">
        <v>104</v>
      </c>
      <c r="C108" s="44" t="s">
        <v>38</v>
      </c>
      <c r="F108" s="62" t="str">
        <f t="shared" si="22"/>
        <v/>
      </c>
      <c r="J108" s="62" t="str">
        <f t="shared" si="23"/>
        <v/>
      </c>
      <c r="K108" s="44" t="s">
        <v>38</v>
      </c>
      <c r="L108" s="44">
        <v>409</v>
      </c>
      <c r="M108" s="44">
        <v>670</v>
      </c>
      <c r="N108" s="62">
        <f t="shared" si="24"/>
        <v>1.6381418092909537</v>
      </c>
      <c r="O108" s="44" t="s">
        <v>38</v>
      </c>
      <c r="P108" s="44">
        <v>700</v>
      </c>
      <c r="Q108" s="44">
        <v>1077</v>
      </c>
      <c r="R108" s="62">
        <f t="shared" si="25"/>
        <v>1.5385714285714285</v>
      </c>
      <c r="S108" s="44" t="s">
        <v>38</v>
      </c>
      <c r="T108" s="44">
        <v>783</v>
      </c>
      <c r="U108" s="44">
        <v>839</v>
      </c>
      <c r="V108" s="62">
        <f t="shared" si="26"/>
        <v>1.0715197956577267</v>
      </c>
      <c r="W108" s="44" t="s">
        <v>38</v>
      </c>
      <c r="X108" s="44">
        <v>650</v>
      </c>
      <c r="Y108" s="44">
        <v>731</v>
      </c>
      <c r="Z108" s="62">
        <f t="shared" si="27"/>
        <v>1.1246153846153846</v>
      </c>
      <c r="AA108" s="44">
        <v>476</v>
      </c>
      <c r="AB108" s="44">
        <v>615</v>
      </c>
      <c r="AC108" s="62">
        <f t="shared" si="28"/>
        <v>1.2920168067226891</v>
      </c>
      <c r="AD108" s="44" t="s">
        <v>38</v>
      </c>
      <c r="AE108" s="44">
        <v>500</v>
      </c>
      <c r="AF108" s="44">
        <v>556</v>
      </c>
      <c r="AG108" s="62">
        <f t="shared" si="29"/>
        <v>1.1120000000000001</v>
      </c>
      <c r="AJ108" s="62" t="str">
        <f t="shared" si="30"/>
        <v/>
      </c>
      <c r="AN108" s="62" t="str">
        <f t="shared" si="31"/>
        <v/>
      </c>
      <c r="AR108" s="62" t="str">
        <f t="shared" si="32"/>
        <v/>
      </c>
      <c r="AV108" s="62" t="str">
        <f t="shared" si="33"/>
        <v/>
      </c>
      <c r="AY108" s="62" t="str">
        <f t="shared" si="34"/>
        <v/>
      </c>
      <c r="BC108" s="62" t="str">
        <f t="shared" si="35"/>
        <v/>
      </c>
      <c r="BF108" s="62" t="str">
        <f t="shared" si="36"/>
        <v/>
      </c>
      <c r="BJ108" s="62" t="str">
        <f t="shared" si="37"/>
        <v/>
      </c>
      <c r="BM108" s="62" t="str">
        <f t="shared" si="38"/>
        <v/>
      </c>
      <c r="BQ108" s="62" t="str">
        <f t="shared" si="39"/>
        <v/>
      </c>
      <c r="BT108" s="62" t="str">
        <f t="shared" si="40"/>
        <v/>
      </c>
      <c r="BW108" s="62" t="str">
        <f t="shared" si="41"/>
        <v/>
      </c>
      <c r="CA108" s="62" t="str">
        <f t="shared" si="42"/>
        <v/>
      </c>
      <c r="CD108" s="62" t="str">
        <f t="shared" si="43"/>
        <v/>
      </c>
    </row>
    <row r="109" spans="1:82" x14ac:dyDescent="0.3">
      <c r="A109" s="49" t="s">
        <v>266</v>
      </c>
      <c r="B109" s="49" t="s">
        <v>104</v>
      </c>
      <c r="C109" s="44" t="s">
        <v>38</v>
      </c>
      <c r="D109" s="44">
        <v>2295</v>
      </c>
      <c r="E109" s="44">
        <v>2564</v>
      </c>
      <c r="F109" s="62">
        <f t="shared" si="22"/>
        <v>1.1172113289760348</v>
      </c>
      <c r="G109" s="44" t="s">
        <v>38</v>
      </c>
      <c r="H109" s="44">
        <v>482</v>
      </c>
      <c r="I109" s="44">
        <v>648</v>
      </c>
      <c r="J109" s="62">
        <f t="shared" si="23"/>
        <v>1.3443983402489628</v>
      </c>
      <c r="K109" s="44" t="s">
        <v>38</v>
      </c>
      <c r="L109" s="44">
        <v>1386</v>
      </c>
      <c r="M109" s="44">
        <v>1706</v>
      </c>
      <c r="N109" s="62">
        <f t="shared" si="24"/>
        <v>1.2308802308802309</v>
      </c>
      <c r="O109" s="44" t="s">
        <v>38</v>
      </c>
      <c r="P109" s="44">
        <v>5000</v>
      </c>
      <c r="Q109" s="44">
        <v>5808</v>
      </c>
      <c r="R109" s="62">
        <f t="shared" si="25"/>
        <v>1.1616</v>
      </c>
      <c r="S109" s="44" t="s">
        <v>38</v>
      </c>
      <c r="T109" s="44">
        <v>5500</v>
      </c>
      <c r="U109" s="44">
        <v>5893</v>
      </c>
      <c r="V109" s="62">
        <f t="shared" si="26"/>
        <v>1.0714545454545454</v>
      </c>
      <c r="W109" s="44" t="s">
        <v>38</v>
      </c>
      <c r="Z109" s="62" t="str">
        <f t="shared" si="27"/>
        <v/>
      </c>
      <c r="AA109" s="44">
        <v>476</v>
      </c>
      <c r="AB109" s="44">
        <v>615</v>
      </c>
      <c r="AC109" s="62">
        <f t="shared" si="28"/>
        <v>1.2920168067226891</v>
      </c>
      <c r="AD109" s="44" t="s">
        <v>38</v>
      </c>
      <c r="AE109" s="44">
        <v>905</v>
      </c>
      <c r="AF109" s="44">
        <v>1055</v>
      </c>
      <c r="AG109" s="62">
        <f t="shared" si="29"/>
        <v>1.1657458563535912</v>
      </c>
      <c r="AH109" s="44">
        <v>1356</v>
      </c>
      <c r="AI109" s="44">
        <v>1355</v>
      </c>
      <c r="AJ109" s="62">
        <f t="shared" si="30"/>
        <v>0.99926253687315636</v>
      </c>
      <c r="AN109" s="62" t="str">
        <f t="shared" si="31"/>
        <v/>
      </c>
      <c r="AR109" s="62" t="str">
        <f t="shared" si="32"/>
        <v/>
      </c>
      <c r="AV109" s="62" t="str">
        <f t="shared" si="33"/>
        <v/>
      </c>
      <c r="AY109" s="62" t="str">
        <f t="shared" si="34"/>
        <v/>
      </c>
      <c r="BC109" s="62" t="str">
        <f t="shared" si="35"/>
        <v/>
      </c>
      <c r="BF109" s="62" t="str">
        <f t="shared" si="36"/>
        <v/>
      </c>
      <c r="BJ109" s="62" t="str">
        <f t="shared" si="37"/>
        <v/>
      </c>
      <c r="BM109" s="62" t="str">
        <f t="shared" si="38"/>
        <v/>
      </c>
      <c r="BQ109" s="62" t="str">
        <f t="shared" si="39"/>
        <v/>
      </c>
      <c r="BT109" s="62" t="str">
        <f t="shared" si="40"/>
        <v/>
      </c>
      <c r="BW109" s="62" t="str">
        <f t="shared" si="41"/>
        <v/>
      </c>
      <c r="CA109" s="62" t="str">
        <f t="shared" si="42"/>
        <v/>
      </c>
      <c r="CD109" s="62" t="str">
        <f t="shared" si="43"/>
        <v/>
      </c>
    </row>
    <row r="110" spans="1:82" x14ac:dyDescent="0.3">
      <c r="A110" s="49" t="s">
        <v>267</v>
      </c>
      <c r="B110" s="49" t="s">
        <v>104</v>
      </c>
      <c r="C110" s="44" t="s">
        <v>38</v>
      </c>
      <c r="D110" s="44">
        <v>4000</v>
      </c>
      <c r="E110" s="44">
        <v>4393</v>
      </c>
      <c r="F110" s="62">
        <f t="shared" si="22"/>
        <v>1.0982499999999999</v>
      </c>
      <c r="G110" s="44" t="s">
        <v>38</v>
      </c>
      <c r="H110" s="44">
        <v>4122</v>
      </c>
      <c r="I110" s="44">
        <v>3875</v>
      </c>
      <c r="J110" s="62">
        <f t="shared" si="23"/>
        <v>0.94007763221737017</v>
      </c>
      <c r="K110" s="44" t="s">
        <v>38</v>
      </c>
      <c r="L110" s="44">
        <v>2928</v>
      </c>
      <c r="M110" s="44">
        <v>3603</v>
      </c>
      <c r="N110" s="62">
        <f t="shared" si="24"/>
        <v>1.2305327868852458</v>
      </c>
      <c r="O110" s="44" t="s">
        <v>38</v>
      </c>
      <c r="P110" s="44">
        <v>4465</v>
      </c>
      <c r="Q110" s="44">
        <v>4808</v>
      </c>
      <c r="R110" s="62">
        <f t="shared" si="25"/>
        <v>1.0768197088465845</v>
      </c>
      <c r="S110" s="44" t="s">
        <v>38</v>
      </c>
      <c r="T110" s="44">
        <v>3852</v>
      </c>
      <c r="U110" s="44">
        <v>3714</v>
      </c>
      <c r="V110" s="62">
        <f t="shared" si="26"/>
        <v>0.96417445482866049</v>
      </c>
      <c r="W110" s="44" t="s">
        <v>38</v>
      </c>
      <c r="X110" s="44">
        <v>3647</v>
      </c>
      <c r="Y110" s="44">
        <v>3875</v>
      </c>
      <c r="Z110" s="62">
        <f t="shared" si="27"/>
        <v>1.0625171373731834</v>
      </c>
      <c r="AA110" s="44">
        <v>3361</v>
      </c>
      <c r="AB110" s="44">
        <v>3723</v>
      </c>
      <c r="AC110" s="62">
        <f t="shared" si="28"/>
        <v>1.1077060398690866</v>
      </c>
      <c r="AD110" s="44" t="s">
        <v>38</v>
      </c>
      <c r="AE110" s="44">
        <v>3600</v>
      </c>
      <c r="AF110" s="44">
        <v>3000</v>
      </c>
      <c r="AG110" s="62">
        <f t="shared" si="29"/>
        <v>0.83333333333333337</v>
      </c>
      <c r="AH110" s="44">
        <v>3000</v>
      </c>
      <c r="AI110" s="44">
        <v>2167</v>
      </c>
      <c r="AJ110" s="62">
        <f t="shared" si="30"/>
        <v>0.72233333333333338</v>
      </c>
      <c r="AN110" s="62" t="str">
        <f t="shared" si="31"/>
        <v/>
      </c>
      <c r="AR110" s="62" t="str">
        <f t="shared" si="32"/>
        <v/>
      </c>
      <c r="AV110" s="62" t="str">
        <f t="shared" si="33"/>
        <v/>
      </c>
      <c r="AY110" s="62" t="str">
        <f t="shared" si="34"/>
        <v/>
      </c>
      <c r="BC110" s="62" t="str">
        <f t="shared" si="35"/>
        <v/>
      </c>
      <c r="BF110" s="62" t="str">
        <f t="shared" si="36"/>
        <v/>
      </c>
      <c r="BJ110" s="62" t="str">
        <f t="shared" si="37"/>
        <v/>
      </c>
      <c r="BM110" s="62" t="str">
        <f t="shared" si="38"/>
        <v/>
      </c>
      <c r="BQ110" s="62" t="str">
        <f t="shared" si="39"/>
        <v/>
      </c>
      <c r="BT110" s="62" t="str">
        <f t="shared" si="40"/>
        <v/>
      </c>
      <c r="BW110" s="62" t="str">
        <f t="shared" si="41"/>
        <v/>
      </c>
      <c r="CA110" s="62" t="str">
        <f t="shared" si="42"/>
        <v/>
      </c>
      <c r="CD110" s="62" t="str">
        <f t="shared" si="43"/>
        <v/>
      </c>
    </row>
    <row r="111" spans="1:82" x14ac:dyDescent="0.3">
      <c r="A111" s="49" t="s">
        <v>74</v>
      </c>
      <c r="B111" s="49" t="s">
        <v>104</v>
      </c>
      <c r="C111" s="44" t="s">
        <v>38</v>
      </c>
      <c r="F111" s="62" t="str">
        <f t="shared" si="22"/>
        <v/>
      </c>
      <c r="J111" s="62" t="str">
        <f t="shared" si="23"/>
        <v/>
      </c>
      <c r="N111" s="62" t="str">
        <f t="shared" si="24"/>
        <v/>
      </c>
      <c r="R111" s="62" t="str">
        <f t="shared" si="25"/>
        <v/>
      </c>
      <c r="V111" s="62" t="str">
        <f t="shared" si="26"/>
        <v/>
      </c>
      <c r="Z111" s="62" t="str">
        <f t="shared" si="27"/>
        <v/>
      </c>
      <c r="AC111" s="62" t="str">
        <f t="shared" si="28"/>
        <v/>
      </c>
      <c r="AG111" s="62" t="str">
        <f t="shared" si="29"/>
        <v/>
      </c>
      <c r="AJ111" s="62" t="str">
        <f t="shared" si="30"/>
        <v/>
      </c>
      <c r="AK111" s="44" t="s">
        <v>38</v>
      </c>
      <c r="AL111" s="44">
        <v>1008</v>
      </c>
      <c r="AM111" s="44">
        <v>870</v>
      </c>
      <c r="AN111" s="62">
        <f t="shared" si="31"/>
        <v>0.86309523809523814</v>
      </c>
      <c r="AO111" s="44" t="s">
        <v>38</v>
      </c>
      <c r="AP111" s="44">
        <v>3150</v>
      </c>
      <c r="AQ111" s="44">
        <v>2756</v>
      </c>
      <c r="AR111" s="62">
        <f t="shared" si="32"/>
        <v>0.87492063492063488</v>
      </c>
      <c r="AS111" s="44" t="s">
        <v>38</v>
      </c>
      <c r="AT111" s="44">
        <v>3600</v>
      </c>
      <c r="AU111" s="44">
        <v>2850</v>
      </c>
      <c r="AV111" s="62">
        <f t="shared" si="33"/>
        <v>0.79166666666666663</v>
      </c>
      <c r="AW111" s="44">
        <v>3608</v>
      </c>
      <c r="AX111" s="44">
        <v>2609</v>
      </c>
      <c r="AY111" s="62">
        <f t="shared" si="34"/>
        <v>0.72311529933481156</v>
      </c>
      <c r="AZ111" s="44" t="s">
        <v>38</v>
      </c>
      <c r="BA111" s="44">
        <v>2600</v>
      </c>
      <c r="BB111" s="44">
        <v>2080</v>
      </c>
      <c r="BC111" s="62">
        <f t="shared" si="35"/>
        <v>0.8</v>
      </c>
      <c r="BD111" s="44">
        <v>8300</v>
      </c>
      <c r="BE111" s="44">
        <v>5533</v>
      </c>
      <c r="BF111" s="62">
        <f t="shared" si="36"/>
        <v>0.66662650602409634</v>
      </c>
      <c r="BG111" s="44" t="s">
        <v>38</v>
      </c>
      <c r="BJ111" s="62" t="str">
        <f t="shared" si="37"/>
        <v/>
      </c>
      <c r="BK111" s="44">
        <v>52</v>
      </c>
      <c r="BL111" s="44">
        <v>39</v>
      </c>
      <c r="BM111" s="62">
        <f t="shared" si="38"/>
        <v>0.75</v>
      </c>
      <c r="BN111" s="44" t="s">
        <v>38</v>
      </c>
      <c r="BO111" s="44">
        <v>357</v>
      </c>
      <c r="BP111" s="44">
        <v>266</v>
      </c>
      <c r="BQ111" s="62">
        <f t="shared" si="39"/>
        <v>0.74509803921568629</v>
      </c>
      <c r="BR111" s="44">
        <v>376</v>
      </c>
      <c r="BS111" s="44">
        <v>366</v>
      </c>
      <c r="BT111" s="62">
        <f t="shared" si="40"/>
        <v>0.97340425531914898</v>
      </c>
      <c r="BU111" s="44">
        <v>449</v>
      </c>
      <c r="BV111" s="44">
        <v>722</v>
      </c>
      <c r="BW111" s="62">
        <f t="shared" si="41"/>
        <v>1.6080178173719377</v>
      </c>
      <c r="BX111" s="44" t="s">
        <v>38</v>
      </c>
      <c r="BY111" s="44">
        <v>301.5</v>
      </c>
      <c r="BZ111" s="44">
        <v>240</v>
      </c>
      <c r="CA111" s="62">
        <f t="shared" si="42"/>
        <v>0.79601990049751248</v>
      </c>
      <c r="CB111" s="44">
        <v>315</v>
      </c>
      <c r="CC111" s="44">
        <v>306</v>
      </c>
      <c r="CD111" s="62">
        <f t="shared" si="43"/>
        <v>0.97142857142857142</v>
      </c>
    </row>
    <row r="112" spans="1:82" x14ac:dyDescent="0.3">
      <c r="A112" s="49" t="s">
        <v>52</v>
      </c>
      <c r="B112" s="49" t="s">
        <v>104</v>
      </c>
      <c r="C112" s="44" t="s">
        <v>38</v>
      </c>
      <c r="F112" s="62" t="str">
        <f t="shared" si="22"/>
        <v/>
      </c>
      <c r="J112" s="62" t="str">
        <f t="shared" si="23"/>
        <v/>
      </c>
      <c r="N112" s="62" t="str">
        <f t="shared" si="24"/>
        <v/>
      </c>
      <c r="R112" s="62" t="str">
        <f t="shared" si="25"/>
        <v/>
      </c>
      <c r="V112" s="62" t="str">
        <f t="shared" si="26"/>
        <v/>
      </c>
      <c r="Z112" s="62" t="str">
        <f t="shared" si="27"/>
        <v/>
      </c>
      <c r="AC112" s="62" t="str">
        <f t="shared" si="28"/>
        <v/>
      </c>
      <c r="AG112" s="62" t="str">
        <f t="shared" si="29"/>
        <v/>
      </c>
      <c r="AJ112" s="62" t="str">
        <f t="shared" si="30"/>
        <v/>
      </c>
      <c r="AN112" s="62" t="str">
        <f t="shared" si="31"/>
        <v/>
      </c>
      <c r="AR112" s="62" t="str">
        <f t="shared" si="32"/>
        <v/>
      </c>
      <c r="AV112" s="62" t="str">
        <f t="shared" si="33"/>
        <v/>
      </c>
      <c r="AY112" s="62" t="str">
        <f t="shared" si="34"/>
        <v/>
      </c>
      <c r="BC112" s="62" t="str">
        <f t="shared" si="35"/>
        <v/>
      </c>
      <c r="BF112" s="62" t="str">
        <f t="shared" si="36"/>
        <v/>
      </c>
      <c r="BJ112" s="62" t="str">
        <f t="shared" si="37"/>
        <v/>
      </c>
      <c r="BM112" s="62" t="str">
        <f t="shared" si="38"/>
        <v/>
      </c>
      <c r="BN112" s="44" t="s">
        <v>38</v>
      </c>
      <c r="BO112" s="44">
        <v>32</v>
      </c>
      <c r="BP112" s="44">
        <v>82</v>
      </c>
      <c r="BQ112" s="62">
        <f t="shared" si="39"/>
        <v>2.5625</v>
      </c>
      <c r="BT112" s="62" t="str">
        <f t="shared" si="40"/>
        <v/>
      </c>
      <c r="BU112" s="44">
        <v>11.75</v>
      </c>
      <c r="BV112" s="44">
        <v>12</v>
      </c>
      <c r="BW112" s="62">
        <f t="shared" si="41"/>
        <v>1.0212765957446808</v>
      </c>
      <c r="BX112" s="44" t="s">
        <v>38</v>
      </c>
      <c r="BY112" s="44">
        <v>16.75</v>
      </c>
      <c r="BZ112" s="44">
        <v>19</v>
      </c>
      <c r="CA112" s="62">
        <f t="shared" si="42"/>
        <v>1.1343283582089552</v>
      </c>
      <c r="CB112" s="44">
        <v>32</v>
      </c>
      <c r="CC112" s="44">
        <v>67</v>
      </c>
      <c r="CD112" s="62">
        <f t="shared" si="43"/>
        <v>2.09375</v>
      </c>
    </row>
    <row r="113" spans="1:82" x14ac:dyDescent="0.3">
      <c r="A113" s="49" t="s">
        <v>31</v>
      </c>
      <c r="B113" s="49" t="s">
        <v>104</v>
      </c>
      <c r="C113" s="44" t="s">
        <v>38</v>
      </c>
      <c r="F113" s="62" t="str">
        <f t="shared" si="22"/>
        <v/>
      </c>
      <c r="J113" s="62" t="str">
        <f t="shared" si="23"/>
        <v/>
      </c>
      <c r="N113" s="62" t="str">
        <f t="shared" si="24"/>
        <v/>
      </c>
      <c r="R113" s="62" t="str">
        <f t="shared" si="25"/>
        <v/>
      </c>
      <c r="S113" s="44" t="s">
        <v>38</v>
      </c>
      <c r="T113" s="44">
        <v>555</v>
      </c>
      <c r="U113" s="44">
        <v>714</v>
      </c>
      <c r="V113" s="62">
        <f t="shared" si="26"/>
        <v>1.2864864864864864</v>
      </c>
      <c r="W113" s="44" t="s">
        <v>38</v>
      </c>
      <c r="X113" s="44">
        <v>550</v>
      </c>
      <c r="Y113" s="44">
        <v>825</v>
      </c>
      <c r="Z113" s="62">
        <f t="shared" si="27"/>
        <v>1.5</v>
      </c>
      <c r="AA113" s="44">
        <v>521</v>
      </c>
      <c r="AB113" s="44">
        <v>769</v>
      </c>
      <c r="AC113" s="62">
        <f t="shared" si="28"/>
        <v>1.4760076775431861</v>
      </c>
      <c r="AD113" s="44" t="s">
        <v>38</v>
      </c>
      <c r="AE113" s="44">
        <v>416.5</v>
      </c>
      <c r="AF113" s="44">
        <v>556</v>
      </c>
      <c r="AG113" s="62">
        <f t="shared" si="29"/>
        <v>1.3349339735894359</v>
      </c>
      <c r="AJ113" s="62" t="str">
        <f t="shared" si="30"/>
        <v/>
      </c>
      <c r="AK113" s="44" t="s">
        <v>38</v>
      </c>
      <c r="AL113" s="44">
        <v>98</v>
      </c>
      <c r="AM113" s="44">
        <v>136</v>
      </c>
      <c r="AN113" s="62">
        <f t="shared" si="31"/>
        <v>1.3877551020408163</v>
      </c>
      <c r="AO113" s="44" t="s">
        <v>38</v>
      </c>
      <c r="AP113" s="44">
        <v>270</v>
      </c>
      <c r="AQ113" s="44">
        <v>253</v>
      </c>
      <c r="AR113" s="62">
        <f t="shared" si="32"/>
        <v>0.937037037037037</v>
      </c>
      <c r="AS113" s="44" t="s">
        <v>38</v>
      </c>
      <c r="AT113" s="44">
        <v>380</v>
      </c>
      <c r="AU113" s="44">
        <v>356</v>
      </c>
      <c r="AV113" s="62">
        <f t="shared" si="33"/>
        <v>0.93684210526315792</v>
      </c>
      <c r="AW113" s="44">
        <v>280</v>
      </c>
      <c r="AX113" s="44">
        <v>280</v>
      </c>
      <c r="AY113" s="62">
        <f t="shared" si="34"/>
        <v>1</v>
      </c>
      <c r="AZ113" s="44" t="s">
        <v>38</v>
      </c>
      <c r="BA113" s="44">
        <v>1555</v>
      </c>
      <c r="BB113" s="44">
        <v>1555</v>
      </c>
      <c r="BC113" s="62">
        <f t="shared" si="35"/>
        <v>1</v>
      </c>
      <c r="BD113" s="44">
        <v>725</v>
      </c>
      <c r="BE113" s="44">
        <v>725</v>
      </c>
      <c r="BF113" s="62">
        <f t="shared" si="36"/>
        <v>1</v>
      </c>
      <c r="BG113" s="44" t="s">
        <v>38</v>
      </c>
      <c r="BJ113" s="62" t="str">
        <f t="shared" si="37"/>
        <v/>
      </c>
      <c r="BM113" s="62" t="str">
        <f t="shared" si="38"/>
        <v/>
      </c>
      <c r="BQ113" s="62" t="str">
        <f t="shared" si="39"/>
        <v/>
      </c>
      <c r="BT113" s="62" t="str">
        <f t="shared" si="40"/>
        <v/>
      </c>
      <c r="BW113" s="62" t="str">
        <f t="shared" si="41"/>
        <v/>
      </c>
      <c r="CA113" s="62" t="str">
        <f t="shared" si="42"/>
        <v/>
      </c>
      <c r="CD113" s="62" t="str">
        <f t="shared" si="43"/>
        <v/>
      </c>
    </row>
    <row r="114" spans="1:82" x14ac:dyDescent="0.3">
      <c r="A114" s="49" t="s">
        <v>2</v>
      </c>
      <c r="B114" s="49" t="s">
        <v>104</v>
      </c>
      <c r="C114" s="44" t="s">
        <v>38</v>
      </c>
      <c r="D114" s="44">
        <v>21429</v>
      </c>
      <c r="E114" s="44">
        <v>14786</v>
      </c>
      <c r="F114" s="62">
        <f t="shared" si="22"/>
        <v>0.6899995333426665</v>
      </c>
      <c r="G114" s="44" t="s">
        <v>38</v>
      </c>
      <c r="H114" s="44">
        <f>F188*27300</f>
        <v>36318.75</v>
      </c>
      <c r="I114" s="44">
        <v>13299</v>
      </c>
      <c r="J114" s="62">
        <f t="shared" si="23"/>
        <v>0.3661744966442953</v>
      </c>
      <c r="K114" s="44" t="s">
        <v>38</v>
      </c>
      <c r="L114" s="44">
        <v>13650</v>
      </c>
      <c r="M114" s="44">
        <v>11200</v>
      </c>
      <c r="N114" s="62">
        <f t="shared" si="24"/>
        <v>0.82051282051282048</v>
      </c>
      <c r="O114" s="44" t="s">
        <v>38</v>
      </c>
      <c r="P114" s="44">
        <v>14500</v>
      </c>
      <c r="Q114" s="44">
        <v>11154</v>
      </c>
      <c r="R114" s="62">
        <f t="shared" si="25"/>
        <v>0.76924137931034486</v>
      </c>
      <c r="S114" s="44" t="s">
        <v>38</v>
      </c>
      <c r="T114" s="44">
        <v>13000</v>
      </c>
      <c r="U114" s="44">
        <v>9286</v>
      </c>
      <c r="V114" s="62">
        <f t="shared" si="26"/>
        <v>0.71430769230769231</v>
      </c>
      <c r="W114" s="44" t="s">
        <v>38</v>
      </c>
      <c r="X114" s="44">
        <v>1900</v>
      </c>
      <c r="Y114" s="44">
        <v>1250</v>
      </c>
      <c r="Z114" s="62">
        <f t="shared" si="27"/>
        <v>0.65789473684210531</v>
      </c>
      <c r="AA114" s="44">
        <v>5350</v>
      </c>
      <c r="AB114" s="44">
        <v>3446</v>
      </c>
      <c r="AC114" s="62">
        <f t="shared" si="28"/>
        <v>0.64411214953271023</v>
      </c>
      <c r="AD114" s="44" t="s">
        <v>38</v>
      </c>
      <c r="AE114" s="44">
        <v>5250</v>
      </c>
      <c r="AF114" s="44">
        <v>3611</v>
      </c>
      <c r="AG114" s="62">
        <f t="shared" si="29"/>
        <v>0.68780952380952376</v>
      </c>
      <c r="AH114" s="44">
        <v>4600</v>
      </c>
      <c r="AI114" s="44">
        <v>3333</v>
      </c>
      <c r="AJ114" s="62">
        <f t="shared" si="30"/>
        <v>0.72456521739130431</v>
      </c>
      <c r="AK114" s="44" t="s">
        <v>38</v>
      </c>
      <c r="AL114" s="44">
        <v>5800</v>
      </c>
      <c r="AM114" s="44">
        <v>3942</v>
      </c>
      <c r="AN114" s="62">
        <f t="shared" si="31"/>
        <v>0.67965517241379314</v>
      </c>
      <c r="AO114" s="44" t="s">
        <v>38</v>
      </c>
      <c r="AP114" s="44">
        <v>3850</v>
      </c>
      <c r="AQ114" s="44">
        <v>3619</v>
      </c>
      <c r="AR114" s="62">
        <f t="shared" si="32"/>
        <v>0.94</v>
      </c>
      <c r="AS114" s="44" t="s">
        <v>38</v>
      </c>
      <c r="AT114" s="44">
        <v>2300</v>
      </c>
      <c r="AU114" s="44">
        <v>2294</v>
      </c>
      <c r="AV114" s="62">
        <f t="shared" si="33"/>
        <v>0.99739130434782608</v>
      </c>
      <c r="AW114" s="44">
        <v>1401</v>
      </c>
      <c r="AX114" s="44">
        <v>1167</v>
      </c>
      <c r="AY114" s="62">
        <f t="shared" si="34"/>
        <v>0.83297644539614557</v>
      </c>
      <c r="AZ114" s="44" t="s">
        <v>38</v>
      </c>
      <c r="BA114" s="44">
        <v>5300</v>
      </c>
      <c r="BB114" s="44">
        <v>3800</v>
      </c>
      <c r="BC114" s="62">
        <f t="shared" si="35"/>
        <v>0.71698113207547165</v>
      </c>
      <c r="BD114" s="44">
        <v>11415</v>
      </c>
      <c r="BE114" s="44">
        <v>7736</v>
      </c>
      <c r="BF114" s="62">
        <f t="shared" si="36"/>
        <v>0.67770477441962329</v>
      </c>
      <c r="BG114" s="44" t="s">
        <v>38</v>
      </c>
      <c r="BH114" s="44">
        <v>3979</v>
      </c>
      <c r="BI114" s="44">
        <v>2182</v>
      </c>
      <c r="BJ114" s="62">
        <f t="shared" si="37"/>
        <v>0.54837898969590348</v>
      </c>
      <c r="BK114" s="44">
        <v>3134</v>
      </c>
      <c r="BL114" s="44">
        <v>2744</v>
      </c>
      <c r="BM114" s="62">
        <f t="shared" si="38"/>
        <v>0.87555839183152517</v>
      </c>
      <c r="BN114" s="44" t="s">
        <v>38</v>
      </c>
      <c r="BO114" s="44">
        <v>2883</v>
      </c>
      <c r="BP114" s="44">
        <v>2271</v>
      </c>
      <c r="BQ114" s="62">
        <f t="shared" si="39"/>
        <v>0.78772112382934445</v>
      </c>
      <c r="BR114" s="44">
        <v>1407.75</v>
      </c>
      <c r="BS114" s="44">
        <v>1679</v>
      </c>
      <c r="BT114" s="62">
        <f t="shared" si="40"/>
        <v>1.1926833599715858</v>
      </c>
      <c r="BU114" s="44">
        <v>2380</v>
      </c>
      <c r="BV114" s="44">
        <v>2415</v>
      </c>
      <c r="BW114" s="62">
        <f t="shared" si="41"/>
        <v>1.0147058823529411</v>
      </c>
      <c r="BX114" s="44" t="s">
        <v>38</v>
      </c>
      <c r="BY114" s="44">
        <v>3302</v>
      </c>
      <c r="BZ114" s="44">
        <v>3560</v>
      </c>
      <c r="CA114" s="62">
        <f t="shared" si="42"/>
        <v>1.0781344639612356</v>
      </c>
      <c r="CB114" s="44">
        <v>3585</v>
      </c>
      <c r="CC114" s="44">
        <v>4328</v>
      </c>
      <c r="CD114" s="62">
        <f t="shared" si="43"/>
        <v>1.2072524407252441</v>
      </c>
    </row>
    <row r="115" spans="1:82" x14ac:dyDescent="0.3">
      <c r="A115" s="49" t="s">
        <v>33</v>
      </c>
      <c r="B115" s="49" t="s">
        <v>104</v>
      </c>
      <c r="C115" s="44" t="s">
        <v>38</v>
      </c>
      <c r="F115" s="62" t="str">
        <f t="shared" si="22"/>
        <v/>
      </c>
      <c r="J115" s="62" t="str">
        <f t="shared" si="23"/>
        <v/>
      </c>
      <c r="N115" s="62" t="str">
        <f t="shared" si="24"/>
        <v/>
      </c>
      <c r="R115" s="62" t="str">
        <f t="shared" si="25"/>
        <v/>
      </c>
      <c r="V115" s="62" t="str">
        <f t="shared" si="26"/>
        <v/>
      </c>
      <c r="Z115" s="62" t="str">
        <f t="shared" si="27"/>
        <v/>
      </c>
      <c r="AC115" s="62" t="str">
        <f t="shared" si="28"/>
        <v/>
      </c>
      <c r="AG115" s="62" t="str">
        <f t="shared" si="29"/>
        <v/>
      </c>
      <c r="AJ115" s="62" t="str">
        <f t="shared" si="30"/>
        <v/>
      </c>
      <c r="AN115" s="62" t="str">
        <f t="shared" si="31"/>
        <v/>
      </c>
      <c r="AR115" s="62" t="str">
        <f t="shared" si="32"/>
        <v/>
      </c>
      <c r="AV115" s="62" t="str">
        <f t="shared" si="33"/>
        <v/>
      </c>
      <c r="AY115" s="62" t="str">
        <f t="shared" si="34"/>
        <v/>
      </c>
      <c r="BC115" s="62" t="str">
        <f t="shared" si="35"/>
        <v/>
      </c>
      <c r="BF115" s="62" t="str">
        <f t="shared" si="36"/>
        <v/>
      </c>
      <c r="BJ115" s="62" t="str">
        <f t="shared" si="37"/>
        <v/>
      </c>
      <c r="BM115" s="62" t="str">
        <f t="shared" si="38"/>
        <v/>
      </c>
      <c r="BQ115" s="62" t="str">
        <f t="shared" si="39"/>
        <v/>
      </c>
      <c r="BT115" s="62" t="str">
        <f t="shared" si="40"/>
        <v/>
      </c>
      <c r="BW115" s="62" t="str">
        <f t="shared" si="41"/>
        <v/>
      </c>
      <c r="CA115" s="62" t="str">
        <f t="shared" si="42"/>
        <v/>
      </c>
      <c r="CD115" s="62" t="str">
        <f t="shared" si="43"/>
        <v/>
      </c>
    </row>
    <row r="116" spans="1:82" x14ac:dyDescent="0.3">
      <c r="A116" s="49" t="s">
        <v>55</v>
      </c>
      <c r="B116" s="49" t="s">
        <v>104</v>
      </c>
      <c r="C116" s="44" t="s">
        <v>38</v>
      </c>
      <c r="F116" s="62" t="str">
        <f t="shared" si="22"/>
        <v/>
      </c>
      <c r="J116" s="62" t="str">
        <f t="shared" si="23"/>
        <v/>
      </c>
      <c r="N116" s="62" t="str">
        <f t="shared" si="24"/>
        <v/>
      </c>
      <c r="R116" s="62" t="str">
        <f t="shared" si="25"/>
        <v/>
      </c>
      <c r="V116" s="62" t="str">
        <f t="shared" si="26"/>
        <v/>
      </c>
      <c r="Z116" s="62" t="str">
        <f t="shared" si="27"/>
        <v/>
      </c>
      <c r="AC116" s="62" t="str">
        <f t="shared" si="28"/>
        <v/>
      </c>
      <c r="AG116" s="62" t="str">
        <f t="shared" si="29"/>
        <v/>
      </c>
      <c r="AJ116" s="62" t="str">
        <f t="shared" si="30"/>
        <v/>
      </c>
      <c r="AN116" s="62" t="str">
        <f t="shared" si="31"/>
        <v/>
      </c>
      <c r="AR116" s="62" t="str">
        <f t="shared" si="32"/>
        <v/>
      </c>
      <c r="AV116" s="62" t="str">
        <f t="shared" si="33"/>
        <v/>
      </c>
      <c r="AY116" s="62" t="str">
        <f t="shared" si="34"/>
        <v/>
      </c>
      <c r="BC116" s="62" t="str">
        <f t="shared" si="35"/>
        <v/>
      </c>
      <c r="BF116" s="62" t="str">
        <f t="shared" si="36"/>
        <v/>
      </c>
      <c r="BJ116" s="62" t="str">
        <f t="shared" si="37"/>
        <v/>
      </c>
      <c r="BM116" s="62" t="str">
        <f t="shared" si="38"/>
        <v/>
      </c>
      <c r="BN116" s="44" t="s">
        <v>38</v>
      </c>
      <c r="BO116" s="44">
        <v>39</v>
      </c>
      <c r="BP116" s="44">
        <v>13</v>
      </c>
      <c r="BQ116" s="62">
        <f t="shared" si="39"/>
        <v>0.33333333333333331</v>
      </c>
      <c r="BT116" s="62" t="str">
        <f t="shared" si="40"/>
        <v/>
      </c>
      <c r="BU116" s="44">
        <v>431</v>
      </c>
      <c r="BV116" s="44">
        <v>434</v>
      </c>
      <c r="BW116" s="62">
        <f t="shared" si="41"/>
        <v>1.0069605568445477</v>
      </c>
      <c r="BX116" s="44" t="s">
        <v>38</v>
      </c>
      <c r="BY116" s="44">
        <v>411.5</v>
      </c>
      <c r="BZ116" s="44">
        <v>132</v>
      </c>
      <c r="CA116" s="62">
        <f t="shared" si="42"/>
        <v>0.32077764277035237</v>
      </c>
      <c r="CB116" s="44">
        <v>156</v>
      </c>
      <c r="CC116" s="44">
        <v>40</v>
      </c>
      <c r="CD116" s="62">
        <f t="shared" si="43"/>
        <v>0.25641025641025639</v>
      </c>
    </row>
    <row r="117" spans="1:82" x14ac:dyDescent="0.3">
      <c r="A117" s="77" t="s">
        <v>352</v>
      </c>
      <c r="B117" s="49" t="s">
        <v>104</v>
      </c>
      <c r="C117" s="44" t="s">
        <v>38</v>
      </c>
      <c r="F117" s="62" t="str">
        <f t="shared" si="22"/>
        <v/>
      </c>
      <c r="J117" s="62" t="str">
        <f t="shared" si="23"/>
        <v/>
      </c>
      <c r="N117" s="62" t="str">
        <f t="shared" si="24"/>
        <v/>
      </c>
      <c r="R117" s="62" t="str">
        <f t="shared" si="25"/>
        <v/>
      </c>
      <c r="S117" s="44" t="s">
        <v>35</v>
      </c>
      <c r="T117" s="44">
        <v>5800</v>
      </c>
      <c r="U117" s="44">
        <v>1036</v>
      </c>
      <c r="V117" s="62">
        <f t="shared" si="26"/>
        <v>0.17862068965517242</v>
      </c>
      <c r="W117" s="44" t="s">
        <v>35</v>
      </c>
      <c r="X117" s="44">
        <v>5400</v>
      </c>
      <c r="Y117" s="44">
        <v>843</v>
      </c>
      <c r="Z117" s="62">
        <f t="shared" si="27"/>
        <v>0.15611111111111112</v>
      </c>
      <c r="AC117" s="62" t="str">
        <f t="shared" si="28"/>
        <v/>
      </c>
      <c r="AG117" s="62" t="str">
        <f t="shared" si="29"/>
        <v/>
      </c>
      <c r="AJ117" s="62" t="str">
        <f t="shared" si="30"/>
        <v/>
      </c>
      <c r="AN117" s="62" t="str">
        <f t="shared" si="31"/>
        <v/>
      </c>
      <c r="AR117" s="62" t="str">
        <f t="shared" si="32"/>
        <v/>
      </c>
      <c r="AV117" s="62" t="str">
        <f t="shared" si="33"/>
        <v/>
      </c>
      <c r="AY117" s="62" t="str">
        <f t="shared" si="34"/>
        <v/>
      </c>
      <c r="BC117" s="62" t="str">
        <f t="shared" si="35"/>
        <v/>
      </c>
      <c r="BF117" s="62" t="str">
        <f t="shared" si="36"/>
        <v/>
      </c>
      <c r="BJ117" s="62" t="str">
        <f t="shared" si="37"/>
        <v/>
      </c>
      <c r="BM117" s="62" t="str">
        <f t="shared" si="38"/>
        <v/>
      </c>
      <c r="BN117" s="44" t="s">
        <v>38</v>
      </c>
      <c r="BQ117" s="62" t="str">
        <f t="shared" si="39"/>
        <v/>
      </c>
      <c r="BT117" s="62" t="str">
        <f t="shared" si="40"/>
        <v/>
      </c>
      <c r="BU117" s="44">
        <v>8</v>
      </c>
      <c r="BV117" s="44">
        <v>27</v>
      </c>
      <c r="BW117" s="62">
        <f t="shared" si="41"/>
        <v>3.375</v>
      </c>
      <c r="BX117" s="44" t="s">
        <v>38</v>
      </c>
      <c r="BY117" s="44">
        <v>2.25</v>
      </c>
      <c r="BZ117" s="44">
        <v>9</v>
      </c>
      <c r="CA117" s="62">
        <f t="shared" si="42"/>
        <v>4</v>
      </c>
      <c r="CB117" s="44">
        <v>7</v>
      </c>
      <c r="CC117" s="44">
        <v>41</v>
      </c>
      <c r="CD117" s="62">
        <f t="shared" si="43"/>
        <v>5.8571428571428568</v>
      </c>
    </row>
    <row r="118" spans="1:82" x14ac:dyDescent="0.3">
      <c r="A118" s="77" t="s">
        <v>75</v>
      </c>
      <c r="B118" s="49" t="s">
        <v>104</v>
      </c>
      <c r="C118" s="44" t="s">
        <v>38</v>
      </c>
      <c r="F118" s="62" t="str">
        <f t="shared" si="22"/>
        <v/>
      </c>
      <c r="J118" s="62" t="str">
        <f t="shared" si="23"/>
        <v/>
      </c>
      <c r="N118" s="62" t="str">
        <f t="shared" si="24"/>
        <v/>
      </c>
      <c r="R118" s="62" t="str">
        <f t="shared" si="25"/>
        <v/>
      </c>
      <c r="V118" s="62" t="str">
        <f t="shared" si="26"/>
        <v/>
      </c>
      <c r="Z118" s="62" t="str">
        <f t="shared" si="27"/>
        <v/>
      </c>
      <c r="AC118" s="62" t="str">
        <f t="shared" si="28"/>
        <v/>
      </c>
      <c r="AG118" s="62" t="str">
        <f t="shared" si="29"/>
        <v/>
      </c>
      <c r="AJ118" s="62" t="str">
        <f t="shared" si="30"/>
        <v/>
      </c>
      <c r="AN118" s="62" t="str">
        <f t="shared" si="31"/>
        <v/>
      </c>
      <c r="AR118" s="62" t="str">
        <f t="shared" si="32"/>
        <v/>
      </c>
      <c r="AV118" s="62" t="str">
        <f t="shared" si="33"/>
        <v/>
      </c>
      <c r="AY118" s="62" t="str">
        <f t="shared" si="34"/>
        <v/>
      </c>
      <c r="BC118" s="62" t="str">
        <f t="shared" si="35"/>
        <v/>
      </c>
      <c r="BF118" s="62" t="str">
        <f t="shared" si="36"/>
        <v/>
      </c>
      <c r="BJ118" s="62" t="str">
        <f t="shared" si="37"/>
        <v/>
      </c>
      <c r="BM118" s="62" t="str">
        <f t="shared" si="38"/>
        <v/>
      </c>
      <c r="BN118" s="44" t="s">
        <v>38</v>
      </c>
      <c r="BO118" s="44">
        <v>69</v>
      </c>
      <c r="BP118" s="44">
        <v>66</v>
      </c>
      <c r="BQ118" s="62">
        <f t="shared" si="39"/>
        <v>0.95652173913043481</v>
      </c>
      <c r="BR118" s="44">
        <v>37.5</v>
      </c>
      <c r="BS118" s="44">
        <v>24.5</v>
      </c>
      <c r="BT118" s="62">
        <f t="shared" si="40"/>
        <v>0.65333333333333332</v>
      </c>
      <c r="BW118" s="62" t="str">
        <f t="shared" si="41"/>
        <v/>
      </c>
      <c r="CA118" s="62" t="str">
        <f t="shared" si="42"/>
        <v/>
      </c>
      <c r="CD118" s="62" t="str">
        <f t="shared" si="43"/>
        <v/>
      </c>
    </row>
    <row r="119" spans="1:82" x14ac:dyDescent="0.3">
      <c r="A119" s="49" t="s">
        <v>76</v>
      </c>
      <c r="B119" s="49" t="s">
        <v>104</v>
      </c>
      <c r="C119" s="44" t="s">
        <v>38</v>
      </c>
      <c r="F119" s="62" t="str">
        <f t="shared" si="22"/>
        <v/>
      </c>
      <c r="J119" s="62" t="str">
        <f t="shared" si="23"/>
        <v/>
      </c>
      <c r="N119" s="62" t="str">
        <f t="shared" si="24"/>
        <v/>
      </c>
      <c r="R119" s="62" t="str">
        <f t="shared" si="25"/>
        <v/>
      </c>
      <c r="V119" s="62" t="str">
        <f t="shared" si="26"/>
        <v/>
      </c>
      <c r="Z119" s="62" t="str">
        <f t="shared" si="27"/>
        <v/>
      </c>
      <c r="AC119" s="62" t="str">
        <f t="shared" si="28"/>
        <v/>
      </c>
      <c r="AG119" s="62" t="str">
        <f t="shared" si="29"/>
        <v/>
      </c>
      <c r="AJ119" s="62" t="str">
        <f t="shared" si="30"/>
        <v/>
      </c>
      <c r="AN119" s="62" t="str">
        <f t="shared" si="31"/>
        <v/>
      </c>
      <c r="AR119" s="62" t="str">
        <f t="shared" si="32"/>
        <v/>
      </c>
      <c r="AV119" s="62" t="str">
        <f t="shared" si="33"/>
        <v/>
      </c>
      <c r="AY119" s="62" t="str">
        <f t="shared" si="34"/>
        <v/>
      </c>
      <c r="BC119" s="62" t="str">
        <f t="shared" si="35"/>
        <v/>
      </c>
      <c r="BF119" s="62" t="str">
        <f t="shared" si="36"/>
        <v/>
      </c>
      <c r="BJ119" s="62" t="str">
        <f t="shared" si="37"/>
        <v/>
      </c>
      <c r="BM119" s="62" t="str">
        <f t="shared" si="38"/>
        <v/>
      </c>
      <c r="BN119" s="44" t="s">
        <v>38</v>
      </c>
      <c r="BQ119" s="62" t="str">
        <f t="shared" si="39"/>
        <v/>
      </c>
      <c r="BR119" s="44">
        <v>10676.5</v>
      </c>
      <c r="BS119" s="44">
        <v>1669</v>
      </c>
      <c r="BT119" s="62">
        <f t="shared" si="40"/>
        <v>0.15632463822413711</v>
      </c>
      <c r="BU119" s="44">
        <v>9263</v>
      </c>
      <c r="BV119" s="44">
        <v>1639</v>
      </c>
      <c r="BW119" s="62">
        <f t="shared" si="41"/>
        <v>0.17694051603152328</v>
      </c>
      <c r="BX119" s="44" t="s">
        <v>38</v>
      </c>
      <c r="BY119" s="44">
        <v>1224.5</v>
      </c>
      <c r="BZ119" s="44">
        <v>204</v>
      </c>
      <c r="CA119" s="62">
        <f t="shared" si="42"/>
        <v>0.166598611678236</v>
      </c>
      <c r="CB119" s="44">
        <v>6890</v>
      </c>
      <c r="CC119" s="44">
        <v>1293</v>
      </c>
      <c r="CD119" s="62">
        <f t="shared" si="43"/>
        <v>0.1876632801161103</v>
      </c>
    </row>
    <row r="120" spans="1:82" x14ac:dyDescent="0.3">
      <c r="A120" s="49" t="s">
        <v>54</v>
      </c>
      <c r="B120" s="49" t="s">
        <v>104</v>
      </c>
      <c r="C120" s="44" t="s">
        <v>38</v>
      </c>
      <c r="F120" s="62" t="str">
        <f t="shared" si="22"/>
        <v/>
      </c>
      <c r="J120" s="62" t="str">
        <f t="shared" si="23"/>
        <v/>
      </c>
      <c r="N120" s="62" t="str">
        <f t="shared" si="24"/>
        <v/>
      </c>
      <c r="R120" s="62" t="str">
        <f t="shared" si="25"/>
        <v/>
      </c>
      <c r="V120" s="62" t="str">
        <f t="shared" si="26"/>
        <v/>
      </c>
      <c r="Z120" s="62" t="str">
        <f t="shared" si="27"/>
        <v/>
      </c>
      <c r="AC120" s="62" t="str">
        <f t="shared" si="28"/>
        <v/>
      </c>
      <c r="AG120" s="62" t="str">
        <f t="shared" si="29"/>
        <v/>
      </c>
      <c r="AJ120" s="62" t="str">
        <f t="shared" si="30"/>
        <v/>
      </c>
      <c r="AN120" s="62" t="str">
        <f t="shared" si="31"/>
        <v/>
      </c>
      <c r="AR120" s="62" t="str">
        <f t="shared" si="32"/>
        <v/>
      </c>
      <c r="AV120" s="62" t="str">
        <f t="shared" si="33"/>
        <v/>
      </c>
      <c r="AY120" s="62" t="str">
        <f t="shared" si="34"/>
        <v/>
      </c>
      <c r="BC120" s="62" t="str">
        <f t="shared" si="35"/>
        <v/>
      </c>
      <c r="BF120" s="62" t="str">
        <f t="shared" si="36"/>
        <v/>
      </c>
      <c r="BG120" s="44" t="s">
        <v>38</v>
      </c>
      <c r="BJ120" s="62" t="str">
        <f t="shared" si="37"/>
        <v/>
      </c>
      <c r="BK120" s="44">
        <v>23</v>
      </c>
      <c r="BL120" s="44">
        <v>231</v>
      </c>
      <c r="BM120" s="62">
        <f t="shared" si="38"/>
        <v>10.043478260869565</v>
      </c>
      <c r="BN120" s="44" t="s">
        <v>38</v>
      </c>
      <c r="BQ120" s="62" t="str">
        <f t="shared" si="39"/>
        <v/>
      </c>
      <c r="BT120" s="62" t="str">
        <f t="shared" si="40"/>
        <v/>
      </c>
      <c r="BU120" s="44">
        <v>34</v>
      </c>
      <c r="BV120" s="44">
        <v>14</v>
      </c>
      <c r="BW120" s="62">
        <f t="shared" si="41"/>
        <v>0.41176470588235292</v>
      </c>
      <c r="BX120" s="44" t="s">
        <v>38</v>
      </c>
      <c r="BY120" s="44">
        <v>25.5</v>
      </c>
      <c r="BZ120" s="44">
        <v>25</v>
      </c>
      <c r="CA120" s="62">
        <f t="shared" si="42"/>
        <v>0.98039215686274506</v>
      </c>
      <c r="CD120" s="62" t="str">
        <f t="shared" si="43"/>
        <v/>
      </c>
    </row>
    <row r="121" spans="1:82" x14ac:dyDescent="0.3">
      <c r="A121" s="49" t="s">
        <v>270</v>
      </c>
      <c r="B121" s="49" t="s">
        <v>104</v>
      </c>
      <c r="C121" s="44" t="s">
        <v>38</v>
      </c>
      <c r="D121" s="44">
        <f>$F$191*128</f>
        <v>384</v>
      </c>
      <c r="E121" s="44">
        <v>13378</v>
      </c>
      <c r="F121" s="62">
        <f t="shared" si="22"/>
        <v>34.838541666666664</v>
      </c>
      <c r="G121" s="44" t="s">
        <v>38</v>
      </c>
      <c r="H121" s="44">
        <f>$F$191*174</f>
        <v>522</v>
      </c>
      <c r="I121" s="44">
        <v>15325</v>
      </c>
      <c r="J121" s="62">
        <f t="shared" si="23"/>
        <v>29.35823754789272</v>
      </c>
      <c r="K121" s="44" t="s">
        <v>38</v>
      </c>
      <c r="L121" s="44">
        <f>$F$191*178</f>
        <v>534</v>
      </c>
      <c r="M121" s="44">
        <v>12171</v>
      </c>
      <c r="N121" s="62">
        <f t="shared" si="24"/>
        <v>22.792134831460675</v>
      </c>
      <c r="O121" s="44" t="s">
        <v>38</v>
      </c>
      <c r="P121" s="44">
        <f>$F$191*200</f>
        <v>600</v>
      </c>
      <c r="Q121" s="44">
        <v>11000</v>
      </c>
      <c r="R121" s="62">
        <f t="shared" si="25"/>
        <v>18.333333333333332</v>
      </c>
      <c r="S121" s="44" t="s">
        <v>38</v>
      </c>
      <c r="T121" s="44">
        <f>$F$191*80</f>
        <v>240</v>
      </c>
      <c r="U121" s="44">
        <v>5714</v>
      </c>
      <c r="V121" s="62">
        <f t="shared" si="26"/>
        <v>23.808333333333334</v>
      </c>
      <c r="W121" s="44" t="s">
        <v>38</v>
      </c>
      <c r="X121" s="44">
        <f>$F$191*68</f>
        <v>204</v>
      </c>
      <c r="Y121" s="44">
        <v>5000</v>
      </c>
      <c r="Z121" s="62">
        <f t="shared" si="27"/>
        <v>24.509803921568629</v>
      </c>
      <c r="AA121" s="44">
        <f>$F$191*87</f>
        <v>261</v>
      </c>
      <c r="AB121" s="44">
        <v>5354</v>
      </c>
      <c r="AC121" s="62">
        <f t="shared" si="28"/>
        <v>20.513409961685824</v>
      </c>
      <c r="AD121" s="44" t="s">
        <v>38</v>
      </c>
      <c r="AE121" s="44">
        <f>$F$191*71</f>
        <v>213</v>
      </c>
      <c r="AF121" s="44">
        <v>3944</v>
      </c>
      <c r="AG121" s="62">
        <f t="shared" si="29"/>
        <v>18.516431924882628</v>
      </c>
      <c r="AH121" s="44">
        <f>$F$191*67</f>
        <v>201</v>
      </c>
      <c r="AI121" s="44">
        <v>3666</v>
      </c>
      <c r="AJ121" s="62">
        <f t="shared" si="30"/>
        <v>18.238805970149254</v>
      </c>
      <c r="AN121" s="62" t="str">
        <f t="shared" si="31"/>
        <v/>
      </c>
      <c r="AR121" s="62" t="str">
        <f t="shared" si="32"/>
        <v/>
      </c>
      <c r="AV121" s="62" t="str">
        <f t="shared" si="33"/>
        <v/>
      </c>
      <c r="AY121" s="62" t="str">
        <f t="shared" si="34"/>
        <v/>
      </c>
      <c r="BC121" s="62" t="str">
        <f t="shared" si="35"/>
        <v/>
      </c>
      <c r="BF121" s="62" t="str">
        <f t="shared" si="36"/>
        <v/>
      </c>
      <c r="BJ121" s="62" t="str">
        <f t="shared" si="37"/>
        <v/>
      </c>
      <c r="BM121" s="62" t="str">
        <f t="shared" si="38"/>
        <v/>
      </c>
      <c r="BQ121" s="62" t="str">
        <f t="shared" si="39"/>
        <v/>
      </c>
      <c r="BT121" s="62" t="str">
        <f t="shared" si="40"/>
        <v/>
      </c>
      <c r="BW121" s="62" t="str">
        <f t="shared" si="41"/>
        <v/>
      </c>
      <c r="CA121" s="62" t="str">
        <f t="shared" si="42"/>
        <v/>
      </c>
      <c r="CD121" s="62" t="str">
        <f t="shared" si="43"/>
        <v/>
      </c>
    </row>
    <row r="122" spans="1:82" x14ac:dyDescent="0.3">
      <c r="A122" s="49" t="s">
        <v>282</v>
      </c>
      <c r="B122" s="49" t="s">
        <v>104</v>
      </c>
      <c r="C122" s="44" t="s">
        <v>38</v>
      </c>
      <c r="F122" s="62" t="str">
        <f t="shared" si="22"/>
        <v/>
      </c>
      <c r="J122" s="62" t="str">
        <f t="shared" si="23"/>
        <v/>
      </c>
      <c r="N122" s="62" t="str">
        <f t="shared" si="24"/>
        <v/>
      </c>
      <c r="R122" s="62" t="str">
        <f t="shared" si="25"/>
        <v/>
      </c>
      <c r="V122" s="62" t="str">
        <f t="shared" si="26"/>
        <v/>
      </c>
      <c r="Z122" s="62" t="str">
        <f t="shared" si="27"/>
        <v/>
      </c>
      <c r="AC122" s="62" t="str">
        <f t="shared" si="28"/>
        <v/>
      </c>
      <c r="AG122" s="62" t="str">
        <f t="shared" si="29"/>
        <v/>
      </c>
      <c r="AJ122" s="62" t="str">
        <f t="shared" si="30"/>
        <v/>
      </c>
      <c r="AK122" s="44" t="s">
        <v>38</v>
      </c>
      <c r="AL122" s="44">
        <f>$D$161*80</f>
        <v>314.05785714285713</v>
      </c>
      <c r="AM122" s="44">
        <v>4706</v>
      </c>
      <c r="AN122" s="62">
        <f t="shared" si="31"/>
        <v>14.98450012622788</v>
      </c>
      <c r="AO122" s="77" t="s">
        <v>38</v>
      </c>
      <c r="AP122" s="54">
        <f>$D$161*85</f>
        <v>333.68647321428568</v>
      </c>
      <c r="AQ122" s="44">
        <v>5313</v>
      </c>
      <c r="AR122" s="62">
        <f t="shared" si="32"/>
        <v>15.922131780835224</v>
      </c>
      <c r="AV122" s="62" t="str">
        <f t="shared" si="33"/>
        <v/>
      </c>
      <c r="AY122" s="62" t="str">
        <f t="shared" si="34"/>
        <v/>
      </c>
      <c r="BC122" s="62" t="str">
        <f t="shared" si="35"/>
        <v/>
      </c>
      <c r="BF122" s="62" t="str">
        <f t="shared" si="36"/>
        <v/>
      </c>
      <c r="BG122" s="44" t="s">
        <v>38</v>
      </c>
      <c r="BH122" s="44">
        <v>1005</v>
      </c>
      <c r="BI122" s="44">
        <v>7797</v>
      </c>
      <c r="BJ122" s="62">
        <f t="shared" si="37"/>
        <v>7.7582089552238802</v>
      </c>
      <c r="BK122" s="44">
        <v>1331</v>
      </c>
      <c r="BL122" s="44">
        <v>14500</v>
      </c>
      <c r="BM122" s="62">
        <f t="shared" si="38"/>
        <v>10.894064613072878</v>
      </c>
      <c r="BN122" s="44" t="s">
        <v>38</v>
      </c>
      <c r="BO122" s="44">
        <v>702</v>
      </c>
      <c r="BP122" s="44">
        <v>6271</v>
      </c>
      <c r="BQ122" s="62">
        <f t="shared" si="39"/>
        <v>8.9330484330484339</v>
      </c>
      <c r="BR122" s="44">
        <v>341.75</v>
      </c>
      <c r="BS122" s="44">
        <v>3397</v>
      </c>
      <c r="BT122" s="62">
        <f t="shared" si="40"/>
        <v>9.9400146305779078</v>
      </c>
      <c r="BU122" s="44">
        <v>462.75</v>
      </c>
      <c r="BV122" s="44">
        <v>4892</v>
      </c>
      <c r="BW122" s="62">
        <f t="shared" si="41"/>
        <v>10.571582928146947</v>
      </c>
      <c r="BX122" s="44" t="s">
        <v>38</v>
      </c>
      <c r="BY122" s="44">
        <v>238.25</v>
      </c>
      <c r="BZ122" s="44">
        <v>3048</v>
      </c>
      <c r="CA122" s="62">
        <f t="shared" si="42"/>
        <v>12.793284365162645</v>
      </c>
      <c r="CB122" s="44">
        <v>530</v>
      </c>
      <c r="CC122" s="44">
        <v>7396</v>
      </c>
      <c r="CD122" s="62">
        <f t="shared" si="43"/>
        <v>13.954716981132075</v>
      </c>
    </row>
    <row r="123" spans="1:82" x14ac:dyDescent="0.3">
      <c r="A123" s="49" t="s">
        <v>271</v>
      </c>
      <c r="B123" s="49" t="s">
        <v>104</v>
      </c>
      <c r="C123" s="44" t="s">
        <v>38</v>
      </c>
      <c r="F123" s="62" t="str">
        <f t="shared" si="22"/>
        <v/>
      </c>
      <c r="J123" s="62" t="str">
        <f t="shared" si="23"/>
        <v/>
      </c>
      <c r="N123" s="62" t="str">
        <f t="shared" si="24"/>
        <v/>
      </c>
      <c r="R123" s="62" t="str">
        <f t="shared" si="25"/>
        <v/>
      </c>
      <c r="V123" s="62" t="str">
        <f t="shared" si="26"/>
        <v/>
      </c>
      <c r="Z123" s="62" t="str">
        <f t="shared" si="27"/>
        <v/>
      </c>
      <c r="AC123" s="62" t="str">
        <f t="shared" si="28"/>
        <v/>
      </c>
      <c r="AG123" s="62" t="str">
        <f t="shared" si="29"/>
        <v/>
      </c>
      <c r="AJ123" s="62" t="str">
        <f t="shared" si="30"/>
        <v/>
      </c>
      <c r="AN123" s="62" t="str">
        <f t="shared" si="31"/>
        <v/>
      </c>
      <c r="AP123" s="32"/>
      <c r="AR123" s="62" t="str">
        <f t="shared" si="32"/>
        <v/>
      </c>
      <c r="AV123" s="62" t="str">
        <f t="shared" si="33"/>
        <v/>
      </c>
      <c r="AY123" s="62" t="str">
        <f t="shared" si="34"/>
        <v/>
      </c>
      <c r="BC123" s="62" t="str">
        <f t="shared" si="35"/>
        <v/>
      </c>
      <c r="BF123" s="62" t="str">
        <f t="shared" si="36"/>
        <v/>
      </c>
      <c r="BG123" s="44" t="s">
        <v>38</v>
      </c>
      <c r="BH123" s="44">
        <v>321</v>
      </c>
      <c r="BI123" s="44">
        <v>190</v>
      </c>
      <c r="BJ123" s="62">
        <f t="shared" si="37"/>
        <v>0.59190031152647971</v>
      </c>
      <c r="BM123" s="62" t="str">
        <f t="shared" si="38"/>
        <v/>
      </c>
      <c r="BN123" s="44" t="s">
        <v>38</v>
      </c>
      <c r="BQ123" s="62" t="str">
        <f t="shared" si="39"/>
        <v/>
      </c>
      <c r="BT123" s="62" t="str">
        <f t="shared" si="40"/>
        <v/>
      </c>
      <c r="BW123" s="62" t="str">
        <f t="shared" si="41"/>
        <v/>
      </c>
      <c r="CA123" s="62" t="str">
        <f t="shared" si="42"/>
        <v/>
      </c>
      <c r="CD123" s="62" t="str">
        <f t="shared" si="43"/>
        <v/>
      </c>
    </row>
    <row r="124" spans="1:82" x14ac:dyDescent="0.3">
      <c r="A124" s="49" t="s">
        <v>272</v>
      </c>
      <c r="B124" s="49" t="s">
        <v>104</v>
      </c>
      <c r="C124" s="44" t="s">
        <v>38</v>
      </c>
      <c r="F124" s="62" t="str">
        <f t="shared" si="22"/>
        <v/>
      </c>
      <c r="J124" s="62" t="str">
        <f t="shared" si="23"/>
        <v/>
      </c>
      <c r="N124" s="62" t="str">
        <f t="shared" si="24"/>
        <v/>
      </c>
      <c r="R124" s="62" t="str">
        <f t="shared" si="25"/>
        <v/>
      </c>
      <c r="V124" s="62" t="str">
        <f t="shared" si="26"/>
        <v/>
      </c>
      <c r="Z124" s="62" t="str">
        <f t="shared" si="27"/>
        <v/>
      </c>
      <c r="AC124" s="62" t="str">
        <f t="shared" si="28"/>
        <v/>
      </c>
      <c r="AG124" s="62" t="str">
        <f t="shared" si="29"/>
        <v/>
      </c>
      <c r="AJ124" s="62" t="str">
        <f t="shared" si="30"/>
        <v/>
      </c>
      <c r="AN124" s="62" t="str">
        <f t="shared" si="31"/>
        <v/>
      </c>
      <c r="AP124" s="32"/>
      <c r="AR124" s="62" t="str">
        <f t="shared" si="32"/>
        <v/>
      </c>
      <c r="AV124" s="62" t="str">
        <f t="shared" si="33"/>
        <v/>
      </c>
      <c r="AY124" s="62" t="str">
        <f t="shared" si="34"/>
        <v/>
      </c>
      <c r="BC124" s="62" t="str">
        <f t="shared" si="35"/>
        <v/>
      </c>
      <c r="BF124" s="62" t="str">
        <f t="shared" si="36"/>
        <v/>
      </c>
      <c r="BJ124" s="62" t="str">
        <f t="shared" si="37"/>
        <v/>
      </c>
      <c r="BM124" s="62" t="str">
        <f t="shared" si="38"/>
        <v/>
      </c>
      <c r="BN124" s="44" t="s">
        <v>38</v>
      </c>
      <c r="BQ124" s="62" t="str">
        <f t="shared" si="39"/>
        <v/>
      </c>
      <c r="BT124" s="62" t="str">
        <f t="shared" si="40"/>
        <v/>
      </c>
      <c r="BU124" s="44">
        <v>19</v>
      </c>
      <c r="BV124" s="44">
        <v>254</v>
      </c>
      <c r="BW124" s="62">
        <f t="shared" si="41"/>
        <v>13.368421052631579</v>
      </c>
      <c r="BX124" s="44" t="s">
        <v>38</v>
      </c>
      <c r="BY124" s="44">
        <v>1</v>
      </c>
      <c r="BZ124" s="44">
        <v>17</v>
      </c>
      <c r="CA124" s="62">
        <f t="shared" si="42"/>
        <v>17</v>
      </c>
      <c r="CB124" s="44">
        <v>2</v>
      </c>
      <c r="CC124" s="44">
        <v>6</v>
      </c>
      <c r="CD124" s="62">
        <f t="shared" si="43"/>
        <v>3</v>
      </c>
    </row>
    <row r="125" spans="1:82" x14ac:dyDescent="0.3">
      <c r="A125" s="49" t="s">
        <v>353</v>
      </c>
      <c r="B125" s="49" t="s">
        <v>104</v>
      </c>
      <c r="C125" s="44" t="s">
        <v>38</v>
      </c>
      <c r="F125" s="62" t="str">
        <f t="shared" si="22"/>
        <v/>
      </c>
      <c r="J125" s="62" t="str">
        <f t="shared" si="23"/>
        <v/>
      </c>
      <c r="N125" s="62" t="str">
        <f t="shared" si="24"/>
        <v/>
      </c>
      <c r="R125" s="62" t="str">
        <f t="shared" si="25"/>
        <v/>
      </c>
      <c r="V125" s="62" t="str">
        <f t="shared" si="26"/>
        <v/>
      </c>
      <c r="Z125" s="62" t="str">
        <f t="shared" si="27"/>
        <v/>
      </c>
      <c r="AC125" s="62" t="str">
        <f t="shared" si="28"/>
        <v/>
      </c>
      <c r="AG125" s="62" t="str">
        <f t="shared" si="29"/>
        <v/>
      </c>
      <c r="AJ125" s="62" t="str">
        <f t="shared" si="30"/>
        <v/>
      </c>
      <c r="AN125" s="62" t="str">
        <f t="shared" si="31"/>
        <v/>
      </c>
      <c r="AP125" s="32"/>
      <c r="AR125" s="62" t="str">
        <f t="shared" si="32"/>
        <v/>
      </c>
      <c r="AV125" s="62" t="str">
        <f t="shared" si="33"/>
        <v/>
      </c>
      <c r="AY125" s="62" t="str">
        <f t="shared" si="34"/>
        <v/>
      </c>
      <c r="BC125" s="62" t="str">
        <f t="shared" si="35"/>
        <v/>
      </c>
      <c r="BF125" s="62" t="str">
        <f t="shared" si="36"/>
        <v/>
      </c>
      <c r="BJ125" s="62" t="str">
        <f t="shared" si="37"/>
        <v/>
      </c>
      <c r="BM125" s="62" t="str">
        <f t="shared" si="38"/>
        <v/>
      </c>
      <c r="BN125" s="44" t="s">
        <v>38</v>
      </c>
      <c r="BQ125" s="62" t="str">
        <f t="shared" si="39"/>
        <v/>
      </c>
      <c r="BR125" s="44">
        <v>739</v>
      </c>
      <c r="BS125" s="44">
        <v>484</v>
      </c>
      <c r="BT125" s="62">
        <f t="shared" si="40"/>
        <v>0.65493910690121782</v>
      </c>
      <c r="BU125" s="44">
        <v>591</v>
      </c>
      <c r="BV125" s="44">
        <v>246</v>
      </c>
      <c r="BW125" s="62">
        <f t="shared" si="41"/>
        <v>0.41624365482233505</v>
      </c>
      <c r="BX125" s="44" t="s">
        <v>38</v>
      </c>
      <c r="BY125" s="44">
        <v>53.5</v>
      </c>
      <c r="BZ125" s="44">
        <v>38</v>
      </c>
      <c r="CA125" s="62">
        <f t="shared" si="42"/>
        <v>0.71028037383177567</v>
      </c>
      <c r="CB125" s="44">
        <v>196</v>
      </c>
      <c r="CC125" s="44">
        <v>175</v>
      </c>
      <c r="CD125" s="62">
        <f t="shared" si="43"/>
        <v>0.8928571428571429</v>
      </c>
    </row>
    <row r="128" spans="1:82" x14ac:dyDescent="0.3">
      <c r="A128" s="31" t="s">
        <v>138</v>
      </c>
      <c r="B128" s="32"/>
      <c r="G128" s="32"/>
      <c r="M128" s="32"/>
      <c r="Y128" s="32"/>
      <c r="AO128" s="55"/>
      <c r="AS128" s="32"/>
    </row>
    <row r="129" spans="1:81" s="32" customFormat="1" x14ac:dyDescent="0.3">
      <c r="A129" s="38" t="s">
        <v>21</v>
      </c>
      <c r="B129" s="32">
        <v>1</v>
      </c>
      <c r="C129" s="33" t="s">
        <v>139</v>
      </c>
      <c r="D129" s="56">
        <v>108</v>
      </c>
      <c r="E129" s="33" t="s">
        <v>140</v>
      </c>
      <c r="H129" s="56"/>
      <c r="I129" s="33"/>
      <c r="K129" s="57"/>
      <c r="M129" s="33"/>
      <c r="O129" s="56"/>
      <c r="P129" s="55"/>
      <c r="Q129" s="33"/>
      <c r="R129" s="58"/>
      <c r="T129" s="56"/>
      <c r="U129" s="33"/>
      <c r="Y129" s="33"/>
      <c r="Z129" s="56"/>
      <c r="AB129" s="33"/>
      <c r="AF129" s="33"/>
      <c r="AG129" s="56"/>
      <c r="AI129" s="33"/>
      <c r="AK129" s="56"/>
      <c r="AM129" s="33"/>
      <c r="AO129" s="56"/>
      <c r="AQ129" s="33"/>
      <c r="AS129" s="56"/>
      <c r="AU129" s="33"/>
      <c r="AW129" s="56"/>
      <c r="AX129" s="33"/>
      <c r="BA129" s="56"/>
      <c r="BB129" s="33"/>
      <c r="BE129" s="33"/>
      <c r="BG129" s="56"/>
      <c r="BI129" s="33"/>
      <c r="BK129" s="56"/>
      <c r="BL129" s="33"/>
      <c r="BP129" s="33"/>
      <c r="BS129" s="33"/>
      <c r="BV129" s="33"/>
      <c r="BZ129" s="33"/>
      <c r="CC129" s="33"/>
    </row>
    <row r="130" spans="1:81" s="32" customFormat="1" x14ac:dyDescent="0.3">
      <c r="A130" s="38" t="s">
        <v>21</v>
      </c>
      <c r="B130" s="32">
        <v>1</v>
      </c>
      <c r="C130" s="33" t="s">
        <v>141</v>
      </c>
      <c r="D130" s="56">
        <v>32.5</v>
      </c>
      <c r="E130" s="33" t="s">
        <v>140</v>
      </c>
      <c r="H130" s="56"/>
      <c r="I130" s="33"/>
      <c r="M130" s="33"/>
      <c r="N130" s="44"/>
      <c r="O130" s="56"/>
      <c r="Q130" s="33"/>
      <c r="R130" s="58"/>
      <c r="T130" s="56"/>
      <c r="U130" s="33"/>
      <c r="Y130" s="33"/>
      <c r="Z130" s="56"/>
      <c r="AB130" s="33"/>
      <c r="AF130" s="33"/>
      <c r="AG130" s="56"/>
      <c r="AI130" s="33"/>
      <c r="AK130" s="56"/>
      <c r="AM130" s="33"/>
      <c r="AO130" s="56"/>
      <c r="AQ130" s="33"/>
      <c r="AS130" s="56"/>
      <c r="AU130" s="33"/>
      <c r="AW130" s="56"/>
      <c r="AX130" s="33"/>
      <c r="BA130" s="56"/>
      <c r="BB130" s="33"/>
      <c r="BE130" s="33"/>
      <c r="BG130" s="56"/>
      <c r="BI130" s="33"/>
      <c r="BK130" s="56"/>
      <c r="BL130" s="33"/>
      <c r="BP130" s="33"/>
      <c r="BS130" s="33"/>
      <c r="BV130" s="33"/>
      <c r="BZ130" s="33"/>
      <c r="CC130" s="33"/>
    </row>
    <row r="131" spans="1:81" x14ac:dyDescent="0.3">
      <c r="A131" s="38"/>
      <c r="B131" s="32">
        <v>1</v>
      </c>
      <c r="C131" s="33" t="s">
        <v>142</v>
      </c>
      <c r="D131" s="56">
        <v>6.5</v>
      </c>
      <c r="E131" s="34" t="s">
        <v>140</v>
      </c>
      <c r="F131" s="32"/>
      <c r="G131" s="33"/>
      <c r="H131" s="56"/>
      <c r="I131" s="34"/>
      <c r="J131" s="33"/>
      <c r="K131" s="56"/>
      <c r="L131" s="33"/>
      <c r="M131" s="34"/>
      <c r="O131" s="56"/>
      <c r="Q131" s="34"/>
      <c r="T131" s="56"/>
      <c r="U131" s="34"/>
      <c r="W131" s="58"/>
      <c r="Y131" s="34"/>
      <c r="Z131" s="56"/>
      <c r="AB131" s="34"/>
      <c r="AF131" s="34"/>
      <c r="AG131" s="56"/>
      <c r="AI131" s="34"/>
      <c r="AK131" s="56"/>
      <c r="AM131" s="34"/>
      <c r="AO131" s="56"/>
      <c r="AQ131" s="34"/>
      <c r="AS131" s="56"/>
      <c r="AU131" s="34"/>
      <c r="AW131" s="56"/>
      <c r="AX131" s="34"/>
      <c r="BA131" s="56"/>
      <c r="BB131" s="34"/>
      <c r="BE131" s="34"/>
      <c r="BG131" s="56"/>
      <c r="BI131" s="34"/>
      <c r="BK131" s="56"/>
      <c r="BL131" s="34"/>
      <c r="BP131" s="34"/>
      <c r="BS131" s="34"/>
      <c r="BV131" s="34"/>
      <c r="BZ131" s="34"/>
      <c r="CC131" s="34"/>
    </row>
    <row r="132" spans="1:81" x14ac:dyDescent="0.3">
      <c r="A132" s="38"/>
      <c r="B132" s="32">
        <v>1</v>
      </c>
      <c r="C132" s="33" t="s">
        <v>143</v>
      </c>
      <c r="D132" s="56">
        <v>112</v>
      </c>
      <c r="E132" s="33" t="s">
        <v>144</v>
      </c>
      <c r="F132" s="32"/>
      <c r="G132" s="33"/>
      <c r="H132" s="56"/>
      <c r="I132" s="33"/>
      <c r="J132" s="33"/>
      <c r="K132" s="56"/>
      <c r="L132" s="33"/>
      <c r="M132" s="33"/>
      <c r="O132" s="56"/>
      <c r="Q132" s="33"/>
      <c r="T132" s="56"/>
      <c r="U132" s="33"/>
      <c r="W132" s="58"/>
      <c r="Y132" s="33"/>
      <c r="Z132" s="56"/>
      <c r="AB132" s="33"/>
      <c r="AF132" s="33"/>
      <c r="AG132" s="56"/>
      <c r="AI132" s="33"/>
      <c r="AK132" s="56"/>
      <c r="AM132" s="33"/>
      <c r="AO132" s="56"/>
      <c r="AQ132" s="33"/>
      <c r="AS132" s="56"/>
      <c r="AU132" s="33"/>
      <c r="AW132" s="56"/>
      <c r="AX132" s="33"/>
      <c r="BA132" s="56"/>
      <c r="BB132" s="33"/>
      <c r="BE132" s="33"/>
      <c r="BG132" s="56"/>
      <c r="BI132" s="33"/>
      <c r="BK132" s="56"/>
      <c r="BL132" s="33"/>
      <c r="BP132" s="33"/>
      <c r="BS132" s="33"/>
      <c r="BV132" s="33"/>
      <c r="BZ132" s="33"/>
      <c r="CC132" s="33"/>
    </row>
    <row r="133" spans="1:81" x14ac:dyDescent="0.3">
      <c r="A133" s="38"/>
      <c r="B133" s="32">
        <v>1</v>
      </c>
      <c r="C133" s="33" t="s">
        <v>143</v>
      </c>
      <c r="D133" s="56">
        <f>D132/D131</f>
        <v>17.23076923076923</v>
      </c>
      <c r="E133" s="33" t="s">
        <v>142</v>
      </c>
      <c r="F133" s="32"/>
      <c r="G133" s="56"/>
      <c r="H133" s="56"/>
      <c r="I133" s="33"/>
      <c r="J133" s="56"/>
      <c r="L133" s="56"/>
      <c r="M133" s="33"/>
      <c r="O133" s="56"/>
      <c r="P133" s="56"/>
      <c r="Q133" s="33"/>
      <c r="T133" s="56"/>
      <c r="U133" s="33"/>
      <c r="V133" s="58"/>
      <c r="W133" s="32"/>
      <c r="Y133" s="33"/>
      <c r="Z133" s="56"/>
      <c r="AB133" s="33"/>
      <c r="AF133" s="33"/>
      <c r="AG133" s="56"/>
      <c r="AI133" s="33"/>
      <c r="AK133" s="56"/>
      <c r="AM133" s="33"/>
      <c r="AN133" s="58"/>
      <c r="AO133" s="56"/>
      <c r="AQ133" s="33"/>
      <c r="AS133" s="56"/>
      <c r="AU133" s="33"/>
      <c r="AW133" s="56"/>
      <c r="AX133" s="33"/>
      <c r="BA133" s="56"/>
      <c r="BB133" s="33"/>
      <c r="BE133" s="33"/>
      <c r="BG133" s="56"/>
      <c r="BI133" s="33"/>
      <c r="BK133" s="56"/>
      <c r="BL133" s="33"/>
      <c r="BP133" s="33"/>
      <c r="BS133" s="33"/>
      <c r="BV133" s="33"/>
      <c r="BZ133" s="33"/>
      <c r="CC133" s="33"/>
    </row>
    <row r="134" spans="1:81" s="32" customFormat="1" ht="15" customHeight="1" x14ac:dyDescent="0.3">
      <c r="A134" s="38"/>
      <c r="B134" s="90">
        <v>1</v>
      </c>
      <c r="C134" s="87" t="s">
        <v>145</v>
      </c>
      <c r="D134" s="88">
        <v>130</v>
      </c>
      <c r="E134" s="89" t="s">
        <v>140</v>
      </c>
      <c r="F134" s="35"/>
      <c r="G134" s="59"/>
      <c r="H134" s="60"/>
      <c r="I134" s="67"/>
      <c r="J134" s="59"/>
      <c r="K134" s="59"/>
      <c r="L134" s="59"/>
      <c r="M134" s="67"/>
      <c r="N134" s="59"/>
      <c r="O134" s="60"/>
      <c r="P134" s="59"/>
      <c r="Q134" s="67"/>
      <c r="R134" s="59"/>
      <c r="S134" s="59"/>
      <c r="T134" s="60"/>
      <c r="U134" s="67"/>
      <c r="V134" s="59"/>
      <c r="Y134" s="67"/>
      <c r="Z134" s="60"/>
      <c r="AB134" s="67"/>
      <c r="AF134" s="67"/>
      <c r="AG134" s="60"/>
      <c r="AI134" s="67"/>
      <c r="AK134" s="60"/>
      <c r="AM134" s="67"/>
      <c r="AO134" s="60"/>
      <c r="AQ134" s="67"/>
      <c r="AS134" s="60"/>
      <c r="AU134" s="67"/>
      <c r="AW134" s="60"/>
      <c r="AX134" s="67"/>
      <c r="BA134" s="60"/>
      <c r="BB134" s="67"/>
      <c r="BE134" s="67"/>
      <c r="BG134" s="60"/>
      <c r="BI134" s="67"/>
      <c r="BK134" s="60"/>
      <c r="BL134" s="67"/>
      <c r="BP134" s="67"/>
      <c r="BS134" s="67"/>
      <c r="BV134" s="67"/>
      <c r="BZ134" s="67"/>
      <c r="CC134" s="67"/>
    </row>
    <row r="135" spans="1:81" s="32" customFormat="1" ht="28.8" customHeight="1" x14ac:dyDescent="0.3">
      <c r="A135" s="38"/>
      <c r="B135" s="90"/>
      <c r="C135" s="87"/>
      <c r="D135" s="88"/>
      <c r="E135" s="89"/>
      <c r="H135" s="60"/>
      <c r="I135" s="67"/>
      <c r="M135" s="67"/>
      <c r="O135" s="60"/>
      <c r="Q135" s="67"/>
      <c r="T135" s="60"/>
      <c r="U135" s="67"/>
      <c r="Y135" s="67"/>
      <c r="Z135" s="60"/>
      <c r="AB135" s="67"/>
      <c r="AF135" s="67"/>
      <c r="AG135" s="60"/>
      <c r="AI135" s="67"/>
      <c r="AK135" s="60"/>
      <c r="AM135" s="67"/>
      <c r="AO135" s="60"/>
      <c r="AQ135" s="67"/>
      <c r="AS135" s="60"/>
      <c r="AU135" s="67"/>
      <c r="AW135" s="60"/>
      <c r="AX135" s="67"/>
      <c r="BA135" s="60"/>
      <c r="BB135" s="67"/>
      <c r="BE135" s="67"/>
      <c r="BG135" s="60"/>
      <c r="BI135" s="67"/>
      <c r="BK135" s="60"/>
      <c r="BL135" s="67"/>
      <c r="BP135" s="67"/>
      <c r="BS135" s="67"/>
      <c r="BV135" s="67"/>
      <c r="BZ135" s="67"/>
      <c r="CC135" s="67"/>
    </row>
    <row r="136" spans="1:81" s="32" customFormat="1" x14ac:dyDescent="0.3">
      <c r="A136" s="38"/>
      <c r="B136" s="37">
        <v>1</v>
      </c>
      <c r="C136" s="33" t="s">
        <v>146</v>
      </c>
      <c r="D136" s="56">
        <v>260</v>
      </c>
      <c r="E136" s="33" t="s">
        <v>140</v>
      </c>
      <c r="H136" s="56"/>
      <c r="I136" s="33"/>
      <c r="M136" s="33"/>
      <c r="O136" s="56"/>
      <c r="Q136" s="33"/>
      <c r="T136" s="56"/>
      <c r="U136" s="33"/>
      <c r="Y136" s="33"/>
      <c r="Z136" s="56"/>
      <c r="AB136" s="33"/>
      <c r="AF136" s="33"/>
      <c r="AG136" s="56"/>
      <c r="AI136" s="33"/>
      <c r="AK136" s="56"/>
      <c r="AM136" s="33"/>
      <c r="AO136" s="56"/>
      <c r="AQ136" s="33"/>
      <c r="AS136" s="56"/>
      <c r="AU136" s="33"/>
      <c r="AW136" s="56"/>
      <c r="AX136" s="33"/>
      <c r="BA136" s="56"/>
      <c r="BB136" s="33"/>
      <c r="BE136" s="33"/>
      <c r="BG136" s="56"/>
      <c r="BI136" s="33"/>
      <c r="BK136" s="56"/>
      <c r="BL136" s="33"/>
      <c r="BP136" s="33"/>
      <c r="BS136" s="33"/>
      <c r="BV136" s="33"/>
      <c r="BZ136" s="33"/>
      <c r="CC136" s="33"/>
    </row>
    <row r="137" spans="1:81" s="32" customFormat="1" x14ac:dyDescent="0.3">
      <c r="A137" s="38"/>
      <c r="B137" s="37">
        <v>1</v>
      </c>
      <c r="C137" s="33" t="s">
        <v>354</v>
      </c>
      <c r="D137" s="56">
        <f>D134/D132</f>
        <v>1.1607142857142858</v>
      </c>
      <c r="E137" s="33" t="s">
        <v>147</v>
      </c>
      <c r="H137" s="56"/>
      <c r="I137" s="33"/>
      <c r="M137" s="33"/>
      <c r="O137" s="56"/>
      <c r="Q137" s="33"/>
      <c r="T137" s="56"/>
      <c r="U137" s="33"/>
      <c r="Y137" s="33"/>
      <c r="Z137" s="56"/>
      <c r="AB137" s="33"/>
      <c r="AF137" s="33"/>
      <c r="AG137" s="56"/>
      <c r="AI137" s="33"/>
      <c r="AK137" s="56"/>
      <c r="AM137" s="33"/>
      <c r="AO137" s="56"/>
      <c r="AQ137" s="33"/>
      <c r="AS137" s="56"/>
      <c r="AU137" s="33"/>
      <c r="AW137" s="56"/>
      <c r="AX137" s="33"/>
      <c r="BA137" s="56"/>
      <c r="BB137" s="33"/>
      <c r="BE137" s="33"/>
      <c r="BG137" s="56"/>
      <c r="BI137" s="33"/>
      <c r="BK137" s="56"/>
      <c r="BL137" s="33"/>
      <c r="BP137" s="33"/>
      <c r="BS137" s="33"/>
      <c r="BV137" s="33"/>
      <c r="BZ137" s="33"/>
      <c r="CC137" s="33"/>
    </row>
    <row r="138" spans="1:81" s="32" customFormat="1" x14ac:dyDescent="0.3">
      <c r="A138" s="38"/>
      <c r="B138" s="37">
        <v>1</v>
      </c>
      <c r="C138" s="33" t="s">
        <v>146</v>
      </c>
      <c r="D138" s="56">
        <f>D136/D132</f>
        <v>2.3214285714285716</v>
      </c>
      <c r="E138" s="33" t="s">
        <v>147</v>
      </c>
      <c r="H138" s="56"/>
      <c r="I138" s="33"/>
      <c r="M138" s="33"/>
      <c r="O138" s="56"/>
      <c r="Q138" s="33"/>
      <c r="T138" s="56"/>
      <c r="U138" s="33"/>
      <c r="Y138" s="33"/>
      <c r="Z138" s="56"/>
      <c r="AB138" s="33"/>
      <c r="AF138" s="33"/>
      <c r="AG138" s="56"/>
      <c r="AI138" s="33"/>
      <c r="AK138" s="56"/>
      <c r="AM138" s="33"/>
      <c r="AO138" s="56"/>
      <c r="AQ138" s="33"/>
      <c r="AS138" s="56"/>
      <c r="AU138" s="33"/>
      <c r="AW138" s="56"/>
      <c r="AX138" s="33"/>
      <c r="BA138" s="56"/>
      <c r="BB138" s="33"/>
      <c r="BE138" s="33"/>
      <c r="BG138" s="56"/>
      <c r="BI138" s="33"/>
      <c r="BK138" s="56"/>
      <c r="BL138" s="33"/>
      <c r="BP138" s="33"/>
      <c r="BS138" s="33"/>
      <c r="BV138" s="33"/>
      <c r="BZ138" s="33"/>
      <c r="CC138" s="33"/>
    </row>
    <row r="139" spans="1:81" x14ac:dyDescent="0.3">
      <c r="A139" s="38"/>
      <c r="B139" s="37">
        <v>1</v>
      </c>
      <c r="C139" s="33" t="s">
        <v>286</v>
      </c>
      <c r="D139" s="56">
        <v>20</v>
      </c>
      <c r="E139" s="33" t="s">
        <v>147</v>
      </c>
      <c r="F139" s="61">
        <f>D139*D132</f>
        <v>2240</v>
      </c>
      <c r="G139" s="33" t="s">
        <v>140</v>
      </c>
      <c r="H139" s="61">
        <f>F139/D141</f>
        <v>420</v>
      </c>
      <c r="I139" s="36" t="s">
        <v>149</v>
      </c>
      <c r="J139" s="61">
        <f>F139/D140</f>
        <v>1016.048117135833</v>
      </c>
      <c r="K139" s="33" t="s">
        <v>150</v>
      </c>
      <c r="L139" s="33"/>
      <c r="P139" s="33"/>
      <c r="T139" s="33"/>
      <c r="V139" s="32"/>
      <c r="X139" s="33"/>
      <c r="Z139" s="58"/>
      <c r="AA139" s="33"/>
      <c r="AB139" s="58"/>
      <c r="AE139" s="33"/>
      <c r="AH139" s="33"/>
      <c r="AL139" s="33"/>
      <c r="AP139" s="33"/>
      <c r="AS139" s="58"/>
      <c r="AT139" s="33"/>
      <c r="AW139" s="33"/>
      <c r="BA139" s="33"/>
      <c r="BD139" s="33"/>
      <c r="BH139" s="33"/>
      <c r="BK139" s="33"/>
      <c r="BO139" s="33"/>
      <c r="BR139" s="33"/>
      <c r="BU139" s="33"/>
      <c r="BY139" s="33"/>
      <c r="CB139" s="33"/>
    </row>
    <row r="140" spans="1:81" x14ac:dyDescent="0.3">
      <c r="A140" s="38"/>
      <c r="B140" s="37">
        <v>1</v>
      </c>
      <c r="C140" s="33" t="s">
        <v>151</v>
      </c>
      <c r="D140" s="56">
        <v>2.2046199999999998</v>
      </c>
      <c r="E140" s="33" t="s">
        <v>140</v>
      </c>
      <c r="F140" s="61">
        <f>D140/D132</f>
        <v>1.9684107142857142E-2</v>
      </c>
      <c r="G140" s="36" t="s">
        <v>147</v>
      </c>
      <c r="I140" s="58"/>
      <c r="J140" s="58"/>
      <c r="L140" s="33"/>
      <c r="P140" s="33"/>
      <c r="T140" s="33"/>
      <c r="V140" s="32"/>
      <c r="X140" s="33"/>
      <c r="Z140" s="58"/>
      <c r="AA140" s="33"/>
      <c r="AB140" s="58"/>
      <c r="AE140" s="33"/>
      <c r="AH140" s="33"/>
      <c r="AL140" s="33"/>
      <c r="AP140" s="33"/>
      <c r="AS140" s="58"/>
      <c r="AT140" s="33"/>
      <c r="AW140" s="33"/>
      <c r="BA140" s="33"/>
      <c r="BD140" s="33"/>
      <c r="BH140" s="33"/>
      <c r="BK140" s="33"/>
      <c r="BO140" s="33"/>
      <c r="BR140" s="33"/>
      <c r="BU140" s="33"/>
      <c r="BY140" s="33"/>
      <c r="CB140" s="33"/>
    </row>
    <row r="141" spans="1:81" x14ac:dyDescent="0.3">
      <c r="A141" s="38"/>
      <c r="B141" s="37">
        <v>1</v>
      </c>
      <c r="C141" s="33" t="s">
        <v>152</v>
      </c>
      <c r="D141" s="56">
        <f>16/3</f>
        <v>5.333333333333333</v>
      </c>
      <c r="E141" s="33" t="s">
        <v>140</v>
      </c>
      <c r="F141" s="61">
        <f>D141/D132</f>
        <v>4.7619047619047616E-2</v>
      </c>
      <c r="G141" s="36" t="s">
        <v>147</v>
      </c>
      <c r="I141" s="58"/>
      <c r="J141" s="58"/>
      <c r="L141" s="33"/>
      <c r="P141" s="33"/>
      <c r="T141" s="33"/>
      <c r="V141" s="32"/>
      <c r="X141" s="33"/>
      <c r="Z141" s="58"/>
      <c r="AA141" s="33"/>
      <c r="AB141" s="58"/>
      <c r="AE141" s="33"/>
      <c r="AH141" s="33"/>
      <c r="AL141" s="33"/>
      <c r="AP141" s="33"/>
      <c r="AS141" s="58"/>
      <c r="AT141" s="33"/>
      <c r="AW141" s="33"/>
      <c r="BA141" s="33"/>
      <c r="BD141" s="33"/>
      <c r="BH141" s="33"/>
      <c r="BK141" s="33"/>
      <c r="BO141" s="33"/>
      <c r="BR141" s="33"/>
      <c r="BU141" s="33"/>
      <c r="BY141" s="33"/>
      <c r="CB141" s="33"/>
    </row>
    <row r="142" spans="1:81" x14ac:dyDescent="0.3">
      <c r="A142" s="38"/>
      <c r="B142" s="37">
        <v>1</v>
      </c>
      <c r="C142" s="33" t="s">
        <v>153</v>
      </c>
      <c r="D142" s="56">
        <v>100</v>
      </c>
      <c r="E142" s="33" t="s">
        <v>152</v>
      </c>
      <c r="F142" s="61">
        <f>D142*F141</f>
        <v>4.7619047619047619</v>
      </c>
      <c r="G142" s="36" t="s">
        <v>147</v>
      </c>
      <c r="H142" s="56">
        <f>F142/D139</f>
        <v>0.23809523809523808</v>
      </c>
      <c r="I142" s="36" t="s">
        <v>154</v>
      </c>
      <c r="J142" s="58"/>
      <c r="L142" s="33"/>
      <c r="P142" s="33"/>
      <c r="T142" s="33"/>
      <c r="V142" s="32"/>
      <c r="X142" s="33"/>
      <c r="Z142" s="58"/>
      <c r="AA142" s="33"/>
      <c r="AB142" s="58"/>
      <c r="AE142" s="33"/>
      <c r="AH142" s="33"/>
      <c r="AL142" s="33"/>
      <c r="AP142" s="33"/>
      <c r="AS142" s="58"/>
      <c r="AT142" s="33"/>
      <c r="AW142" s="33"/>
      <c r="BA142" s="33"/>
      <c r="BD142" s="33"/>
      <c r="BH142" s="33"/>
      <c r="BK142" s="33"/>
      <c r="BO142" s="33"/>
      <c r="BR142" s="33"/>
      <c r="BU142" s="33"/>
      <c r="BY142" s="33"/>
      <c r="CB142" s="33"/>
    </row>
    <row r="143" spans="1:81" x14ac:dyDescent="0.3">
      <c r="A143" s="38"/>
      <c r="B143" s="37">
        <v>1</v>
      </c>
      <c r="C143" s="33" t="s">
        <v>155</v>
      </c>
      <c r="D143" s="56">
        <f>D132/D141</f>
        <v>21</v>
      </c>
      <c r="E143" s="33" t="s">
        <v>152</v>
      </c>
      <c r="F143" s="61"/>
      <c r="G143" s="36"/>
      <c r="I143" s="33"/>
      <c r="J143" s="58"/>
      <c r="K143" s="58"/>
      <c r="M143" s="33"/>
      <c r="Q143" s="33"/>
      <c r="U143" s="33"/>
      <c r="W143" s="32"/>
      <c r="Y143" s="33"/>
      <c r="AA143" s="58"/>
      <c r="AB143" s="33"/>
      <c r="AC143" s="58"/>
      <c r="AF143" s="33"/>
      <c r="AI143" s="33"/>
      <c r="AM143" s="33"/>
      <c r="AQ143" s="33"/>
      <c r="AT143" s="58"/>
      <c r="AU143" s="33"/>
      <c r="AX143" s="33"/>
      <c r="BB143" s="33"/>
      <c r="BE143" s="33"/>
      <c r="BI143" s="33"/>
      <c r="BL143" s="33"/>
      <c r="BP143" s="33"/>
      <c r="BS143" s="33"/>
      <c r="BV143" s="33"/>
      <c r="BZ143" s="33"/>
      <c r="CC143" s="33"/>
    </row>
    <row r="144" spans="1:81" x14ac:dyDescent="0.3">
      <c r="A144" s="38"/>
      <c r="B144" s="58"/>
      <c r="F144" s="58"/>
      <c r="G144" s="58"/>
      <c r="H144" s="58"/>
      <c r="K144" s="58"/>
      <c r="L144" s="58"/>
      <c r="X144" s="32"/>
      <c r="AC144" s="58"/>
      <c r="AD144" s="58"/>
      <c r="AV144" s="58"/>
    </row>
    <row r="145" spans="1:81" x14ac:dyDescent="0.3">
      <c r="A145" s="38"/>
      <c r="B145" s="32">
        <v>1</v>
      </c>
      <c r="C145" s="33" t="s">
        <v>139</v>
      </c>
      <c r="D145" s="56">
        <v>108</v>
      </c>
      <c r="E145" s="33" t="s">
        <v>140</v>
      </c>
      <c r="H145" s="33"/>
      <c r="I145" s="33"/>
      <c r="J145" s="56"/>
      <c r="K145" s="56"/>
      <c r="L145" s="33"/>
      <c r="M145" s="33"/>
      <c r="O145" s="62"/>
      <c r="P145" s="62"/>
      <c r="Q145" s="33"/>
      <c r="R145" s="62"/>
      <c r="S145" s="62"/>
      <c r="T145" s="32"/>
      <c r="U145" s="33"/>
      <c r="V145" s="32"/>
      <c r="W145" s="63"/>
      <c r="X145" s="63"/>
      <c r="Y145" s="33"/>
      <c r="Z145" s="63"/>
      <c r="AA145" s="58"/>
      <c r="AB145" s="33"/>
      <c r="AC145" s="32"/>
      <c r="AD145" s="32"/>
      <c r="AE145" s="32"/>
      <c r="AF145" s="33"/>
      <c r="AG145" s="32"/>
      <c r="AI145" s="33"/>
      <c r="AM145" s="33"/>
      <c r="AQ145" s="33"/>
      <c r="AU145" s="33"/>
      <c r="AX145" s="33"/>
      <c r="BB145" s="33"/>
      <c r="BE145" s="33"/>
      <c r="BI145" s="33"/>
      <c r="BL145" s="33"/>
      <c r="BP145" s="33"/>
      <c r="BS145" s="33"/>
      <c r="BV145" s="33"/>
      <c r="BZ145" s="33"/>
      <c r="CC145" s="33"/>
    </row>
    <row r="146" spans="1:81" x14ac:dyDescent="0.3">
      <c r="A146" s="38"/>
      <c r="B146" s="32">
        <v>1</v>
      </c>
      <c r="C146" s="33" t="s">
        <v>141</v>
      </c>
      <c r="D146" s="56">
        <v>32.5</v>
      </c>
      <c r="E146" s="33" t="s">
        <v>140</v>
      </c>
      <c r="F146" s="32"/>
      <c r="G146" s="32"/>
      <c r="H146" s="33"/>
      <c r="I146" s="33"/>
      <c r="J146" s="56"/>
      <c r="K146" s="56"/>
      <c r="L146" s="33"/>
      <c r="M146" s="33"/>
      <c r="O146" s="62"/>
      <c r="P146" s="62"/>
      <c r="Q146" s="33"/>
      <c r="R146" s="62"/>
      <c r="S146" s="62"/>
      <c r="T146" s="32"/>
      <c r="U146" s="33"/>
      <c r="V146" s="32"/>
      <c r="W146" s="63"/>
      <c r="X146" s="63"/>
      <c r="Y146" s="33"/>
      <c r="Z146" s="63"/>
      <c r="AA146" s="58"/>
      <c r="AB146" s="33"/>
      <c r="AC146" s="32"/>
      <c r="AD146" s="32"/>
      <c r="AE146" s="32"/>
      <c r="AF146" s="33"/>
      <c r="AG146" s="32"/>
      <c r="AI146" s="33"/>
      <c r="AM146" s="33"/>
      <c r="AQ146" s="33"/>
      <c r="AU146" s="33"/>
      <c r="AX146" s="33"/>
      <c r="BB146" s="33"/>
      <c r="BE146" s="33"/>
      <c r="BI146" s="33"/>
      <c r="BL146" s="33"/>
      <c r="BP146" s="33"/>
      <c r="BS146" s="33"/>
      <c r="BV146" s="33"/>
      <c r="BZ146" s="33"/>
      <c r="CC146" s="33"/>
    </row>
    <row r="147" spans="1:81" x14ac:dyDescent="0.3">
      <c r="A147" s="38"/>
      <c r="B147" s="32">
        <v>1</v>
      </c>
      <c r="C147" s="33" t="s">
        <v>143</v>
      </c>
      <c r="D147" s="56">
        <v>112</v>
      </c>
      <c r="E147" s="33" t="s">
        <v>144</v>
      </c>
      <c r="H147" s="33"/>
      <c r="I147" s="33"/>
      <c r="J147" s="56"/>
      <c r="K147" s="56"/>
      <c r="L147" s="33"/>
      <c r="M147" s="33"/>
      <c r="O147" s="62"/>
      <c r="P147" s="62"/>
      <c r="Q147" s="33"/>
      <c r="R147" s="62"/>
      <c r="S147" s="62"/>
      <c r="T147" s="32"/>
      <c r="U147" s="33"/>
      <c r="V147" s="32"/>
      <c r="W147" s="63"/>
      <c r="X147" s="63"/>
      <c r="Y147" s="33"/>
      <c r="Z147" s="63"/>
      <c r="AA147" s="58"/>
      <c r="AB147" s="33"/>
      <c r="AC147" s="32"/>
      <c r="AD147" s="32"/>
      <c r="AE147" s="32"/>
      <c r="AF147" s="33"/>
      <c r="AG147" s="32"/>
      <c r="AI147" s="33"/>
      <c r="AM147" s="33"/>
      <c r="AQ147" s="33"/>
      <c r="AU147" s="33"/>
      <c r="AX147" s="33"/>
      <c r="BB147" s="33"/>
      <c r="BE147" s="33"/>
      <c r="BI147" s="33"/>
      <c r="BL147" s="33"/>
      <c r="BP147" s="33"/>
      <c r="BS147" s="33"/>
      <c r="BV147" s="33"/>
      <c r="BZ147" s="33"/>
      <c r="CC147" s="33"/>
    </row>
    <row r="148" spans="1:81" ht="14.4" customHeight="1" x14ac:dyDescent="0.3">
      <c r="A148" s="38"/>
      <c r="B148" s="90">
        <v>1</v>
      </c>
      <c r="C148" s="87" t="s">
        <v>145</v>
      </c>
      <c r="D148" s="88">
        <v>130</v>
      </c>
      <c r="E148" s="89" t="s">
        <v>140</v>
      </c>
      <c r="H148" s="33"/>
      <c r="I148" s="67"/>
      <c r="J148" s="56"/>
      <c r="K148" s="56"/>
      <c r="L148" s="33"/>
      <c r="M148" s="67"/>
      <c r="O148" s="62"/>
      <c r="P148" s="62"/>
      <c r="Q148" s="67"/>
      <c r="R148" s="62"/>
      <c r="S148" s="62"/>
      <c r="T148" s="32"/>
      <c r="U148" s="67"/>
      <c r="V148" s="32"/>
      <c r="W148" s="63"/>
      <c r="X148" s="63"/>
      <c r="Y148" s="67"/>
      <c r="Z148" s="63"/>
      <c r="AA148" s="58"/>
      <c r="AB148" s="67"/>
      <c r="AC148" s="32"/>
      <c r="AD148" s="32"/>
      <c r="AE148" s="32"/>
      <c r="AF148" s="67"/>
      <c r="AG148" s="32"/>
      <c r="AI148" s="67"/>
      <c r="AM148" s="67"/>
      <c r="AQ148" s="67"/>
      <c r="AU148" s="67"/>
      <c r="AX148" s="67"/>
      <c r="BB148" s="67"/>
      <c r="BE148" s="67"/>
      <c r="BI148" s="67"/>
      <c r="BL148" s="67"/>
      <c r="BP148" s="67"/>
      <c r="BS148" s="67"/>
      <c r="BV148" s="67"/>
      <c r="BZ148" s="67"/>
      <c r="CC148" s="67"/>
    </row>
    <row r="149" spans="1:81" ht="14.4" customHeight="1" x14ac:dyDescent="0.3">
      <c r="A149" s="38"/>
      <c r="B149" s="90"/>
      <c r="C149" s="87"/>
      <c r="D149" s="88"/>
      <c r="E149" s="89"/>
      <c r="F149" s="32"/>
      <c r="G149" s="32"/>
      <c r="H149" s="33"/>
      <c r="I149" s="67"/>
      <c r="J149" s="56"/>
      <c r="K149" s="56"/>
      <c r="L149" s="33"/>
      <c r="M149" s="67"/>
      <c r="O149" s="62"/>
      <c r="P149" s="62"/>
      <c r="Q149" s="67"/>
      <c r="R149" s="62"/>
      <c r="S149" s="62"/>
      <c r="T149" s="32"/>
      <c r="U149" s="67"/>
      <c r="V149" s="32"/>
      <c r="W149" s="63"/>
      <c r="X149" s="63"/>
      <c r="Y149" s="67"/>
      <c r="Z149" s="63"/>
      <c r="AA149" s="58"/>
      <c r="AB149" s="67"/>
      <c r="AC149" s="32"/>
      <c r="AD149" s="32"/>
      <c r="AE149" s="32"/>
      <c r="AF149" s="67"/>
      <c r="AG149" s="32"/>
      <c r="AI149" s="67"/>
      <c r="AM149" s="67"/>
      <c r="AQ149" s="67"/>
      <c r="AU149" s="67"/>
      <c r="AX149" s="67"/>
      <c r="BB149" s="67"/>
      <c r="BE149" s="67"/>
      <c r="BI149" s="67"/>
      <c r="BL149" s="67"/>
      <c r="BP149" s="67"/>
      <c r="BS149" s="67"/>
      <c r="BV149" s="67"/>
      <c r="BZ149" s="67"/>
      <c r="CC149" s="67"/>
    </row>
    <row r="150" spans="1:81" x14ac:dyDescent="0.3">
      <c r="A150" s="38"/>
      <c r="B150" s="37">
        <v>1</v>
      </c>
      <c r="C150" s="33" t="s">
        <v>146</v>
      </c>
      <c r="D150" s="56">
        <v>260</v>
      </c>
      <c r="E150" s="33" t="s">
        <v>140</v>
      </c>
      <c r="F150" s="32"/>
      <c r="G150" s="32"/>
      <c r="H150" s="33"/>
      <c r="I150" s="33"/>
      <c r="J150" s="56"/>
      <c r="K150" s="56"/>
      <c r="L150" s="33"/>
      <c r="M150" s="33"/>
      <c r="O150" s="62"/>
      <c r="P150" s="62"/>
      <c r="Q150" s="33"/>
      <c r="R150" s="62"/>
      <c r="S150" s="62"/>
      <c r="T150" s="32"/>
      <c r="U150" s="33"/>
      <c r="V150" s="32"/>
      <c r="W150" s="63"/>
      <c r="X150" s="63"/>
      <c r="Y150" s="33"/>
      <c r="Z150" s="63"/>
      <c r="AA150" s="58"/>
      <c r="AB150" s="33"/>
      <c r="AC150" s="32"/>
      <c r="AD150" s="32"/>
      <c r="AE150" s="32"/>
      <c r="AF150" s="33"/>
      <c r="AG150" s="32"/>
      <c r="AI150" s="33"/>
      <c r="AM150" s="33"/>
      <c r="AQ150" s="33"/>
      <c r="AU150" s="33"/>
      <c r="AX150" s="33"/>
      <c r="BB150" s="33"/>
      <c r="BE150" s="33"/>
      <c r="BI150" s="33"/>
      <c r="BL150" s="33"/>
      <c r="BP150" s="33"/>
      <c r="BS150" s="33"/>
      <c r="BV150" s="33"/>
      <c r="BZ150" s="33"/>
      <c r="CC150" s="33"/>
    </row>
    <row r="151" spans="1:81" x14ac:dyDescent="0.3">
      <c r="A151" s="38"/>
      <c r="B151" s="37">
        <v>1</v>
      </c>
      <c r="C151" s="33" t="s">
        <v>354</v>
      </c>
      <c r="D151" s="56">
        <f>D148/D147</f>
        <v>1.1607142857142858</v>
      </c>
      <c r="E151" s="33" t="s">
        <v>147</v>
      </c>
      <c r="F151" s="32"/>
      <c r="G151" s="32"/>
      <c r="H151" s="33"/>
      <c r="I151" s="33"/>
      <c r="J151" s="56"/>
      <c r="K151" s="56"/>
      <c r="L151" s="33"/>
      <c r="M151" s="33"/>
      <c r="O151" s="62"/>
      <c r="P151" s="62"/>
      <c r="Q151" s="33"/>
      <c r="R151" s="62"/>
      <c r="S151" s="62"/>
      <c r="T151" s="32"/>
      <c r="U151" s="33"/>
      <c r="V151" s="32"/>
      <c r="W151" s="63"/>
      <c r="X151" s="63"/>
      <c r="Y151" s="33"/>
      <c r="Z151" s="63"/>
      <c r="AA151" s="58"/>
      <c r="AB151" s="33"/>
      <c r="AC151" s="32"/>
      <c r="AD151" s="32"/>
      <c r="AE151" s="32"/>
      <c r="AF151" s="33"/>
      <c r="AG151" s="32"/>
      <c r="AI151" s="33"/>
      <c r="AM151" s="33"/>
      <c r="AQ151" s="33"/>
      <c r="AU151" s="33"/>
      <c r="AX151" s="33"/>
      <c r="BB151" s="33"/>
      <c r="BE151" s="33"/>
      <c r="BI151" s="33"/>
      <c r="BL151" s="33"/>
      <c r="BP151" s="33"/>
      <c r="BS151" s="33"/>
      <c r="BV151" s="33"/>
      <c r="BZ151" s="33"/>
      <c r="CC151" s="33"/>
    </row>
    <row r="152" spans="1:81" x14ac:dyDescent="0.3">
      <c r="A152" s="38"/>
      <c r="B152" s="37">
        <v>1</v>
      </c>
      <c r="C152" s="33" t="s">
        <v>146</v>
      </c>
      <c r="D152" s="56">
        <f>D150/D147</f>
        <v>2.3214285714285716</v>
      </c>
      <c r="E152" s="33" t="s">
        <v>147</v>
      </c>
      <c r="F152" s="32"/>
      <c r="G152" s="32"/>
      <c r="H152" s="33"/>
      <c r="I152" s="33"/>
      <c r="J152" s="56"/>
      <c r="K152" s="56"/>
      <c r="L152" s="33"/>
      <c r="M152" s="33"/>
      <c r="O152" s="62"/>
      <c r="P152" s="62"/>
      <c r="Q152" s="33"/>
      <c r="R152" s="62"/>
      <c r="S152" s="62"/>
      <c r="T152" s="32"/>
      <c r="U152" s="33"/>
      <c r="V152" s="32"/>
      <c r="W152" s="63"/>
      <c r="X152" s="63"/>
      <c r="Y152" s="33"/>
      <c r="Z152" s="63"/>
      <c r="AA152" s="58"/>
      <c r="AB152" s="33"/>
      <c r="AC152" s="32"/>
      <c r="AD152" s="32"/>
      <c r="AE152" s="32"/>
      <c r="AF152" s="33"/>
      <c r="AG152" s="32"/>
      <c r="AI152" s="33"/>
      <c r="AM152" s="33"/>
      <c r="AQ152" s="33"/>
      <c r="AU152" s="33"/>
      <c r="AX152" s="33"/>
      <c r="BB152" s="33"/>
      <c r="BE152" s="33"/>
      <c r="BI152" s="33"/>
      <c r="BL152" s="33"/>
      <c r="BP152" s="33"/>
      <c r="BS152" s="33"/>
      <c r="BV152" s="33"/>
      <c r="BZ152" s="33"/>
      <c r="CC152" s="33"/>
    </row>
    <row r="153" spans="1:81" x14ac:dyDescent="0.3">
      <c r="A153" s="38"/>
      <c r="B153" s="32"/>
      <c r="C153" s="32"/>
      <c r="D153" s="32"/>
      <c r="E153" s="32"/>
      <c r="F153" s="32"/>
      <c r="G153" s="32"/>
      <c r="H153" s="33"/>
      <c r="I153" s="32"/>
      <c r="J153" s="56"/>
      <c r="K153" s="56"/>
      <c r="L153" s="33"/>
      <c r="M153" s="32"/>
      <c r="O153" s="62"/>
      <c r="P153" s="62"/>
      <c r="Q153" s="32"/>
      <c r="R153" s="62"/>
      <c r="S153" s="62"/>
      <c r="T153" s="32"/>
      <c r="U153" s="32"/>
      <c r="V153" s="32"/>
      <c r="W153" s="63"/>
      <c r="X153" s="63"/>
      <c r="Y153" s="32"/>
      <c r="Z153" s="63"/>
      <c r="AA153" s="58"/>
      <c r="AB153" s="32"/>
      <c r="AC153" s="32"/>
      <c r="AD153" s="32"/>
      <c r="AE153" s="32"/>
      <c r="AF153" s="32"/>
      <c r="AG153" s="32"/>
      <c r="AI153" s="32"/>
      <c r="AM153" s="32"/>
      <c r="AQ153" s="32"/>
      <c r="AU153" s="32"/>
      <c r="AX153" s="32"/>
      <c r="BB153" s="32"/>
      <c r="BE153" s="32"/>
      <c r="BI153" s="32"/>
      <c r="BL153" s="32"/>
      <c r="BP153" s="32"/>
      <c r="BS153" s="32"/>
      <c r="BV153" s="32"/>
      <c r="BZ153" s="32"/>
      <c r="CC153" s="32"/>
    </row>
    <row r="154" spans="1:81" x14ac:dyDescent="0.3">
      <c r="A154" s="38" t="s">
        <v>6</v>
      </c>
      <c r="B154" s="32">
        <v>1</v>
      </c>
      <c r="C154" s="34" t="s">
        <v>156</v>
      </c>
      <c r="D154" s="32">
        <v>373.33</v>
      </c>
      <c r="E154" s="33" t="s">
        <v>140</v>
      </c>
      <c r="F154" s="61">
        <f>D154/D147</f>
        <v>3.3333035714285715</v>
      </c>
      <c r="G154" s="33" t="s">
        <v>147</v>
      </c>
      <c r="H154" s="33"/>
      <c r="I154" s="33"/>
      <c r="J154" s="56"/>
      <c r="K154" s="56"/>
      <c r="L154" s="33"/>
      <c r="M154" s="33"/>
      <c r="O154" s="62"/>
      <c r="P154" s="62"/>
      <c r="Q154" s="33"/>
      <c r="R154" s="62"/>
      <c r="S154" s="62"/>
      <c r="T154" s="32"/>
      <c r="U154" s="33"/>
      <c r="V154" s="32"/>
      <c r="W154" s="63"/>
      <c r="X154" s="63"/>
      <c r="Y154" s="33"/>
      <c r="Z154" s="63"/>
      <c r="AA154" s="58"/>
      <c r="AB154" s="33"/>
      <c r="AC154" s="32"/>
      <c r="AD154" s="32"/>
      <c r="AE154" s="32"/>
      <c r="AF154" s="33"/>
      <c r="AG154" s="32"/>
      <c r="AI154" s="33"/>
      <c r="AM154" s="33"/>
      <c r="AQ154" s="33"/>
      <c r="AU154" s="33"/>
      <c r="AX154" s="33"/>
      <c r="BB154" s="33"/>
      <c r="BE154" s="33"/>
      <c r="BI154" s="33"/>
      <c r="BL154" s="33"/>
      <c r="BP154" s="33"/>
      <c r="BS154" s="33"/>
      <c r="BV154" s="33"/>
      <c r="BZ154" s="33"/>
      <c r="CC154" s="33"/>
    </row>
    <row r="155" spans="1:81" x14ac:dyDescent="0.3">
      <c r="A155" s="38" t="s">
        <v>157</v>
      </c>
      <c r="B155" s="32">
        <v>1</v>
      </c>
      <c r="C155" s="34" t="s">
        <v>139</v>
      </c>
      <c r="D155" s="32">
        <v>0.5</v>
      </c>
      <c r="E155" s="33" t="s">
        <v>147</v>
      </c>
      <c r="F155" s="32"/>
      <c r="G155" s="32"/>
      <c r="H155" s="33"/>
      <c r="I155" s="33"/>
      <c r="J155" s="56"/>
      <c r="K155" s="56"/>
      <c r="L155" s="33"/>
      <c r="M155" s="33"/>
      <c r="O155" s="62"/>
      <c r="P155" s="62"/>
      <c r="Q155" s="33"/>
      <c r="R155" s="62"/>
      <c r="S155" s="62"/>
      <c r="T155" s="32"/>
      <c r="U155" s="33"/>
      <c r="V155" s="32"/>
      <c r="W155" s="63"/>
      <c r="X155" s="63"/>
      <c r="Y155" s="33"/>
      <c r="Z155" s="63"/>
      <c r="AA155" s="58"/>
      <c r="AB155" s="33"/>
      <c r="AC155" s="32"/>
      <c r="AD155" s="32"/>
      <c r="AE155" s="32"/>
      <c r="AF155" s="33"/>
      <c r="AG155" s="32"/>
      <c r="AI155" s="33"/>
      <c r="AM155" s="33"/>
      <c r="AQ155" s="33"/>
      <c r="AU155" s="33"/>
      <c r="AX155" s="33"/>
      <c r="BB155" s="33"/>
      <c r="BE155" s="33"/>
      <c r="BI155" s="33"/>
      <c r="BL155" s="33"/>
      <c r="BP155" s="33"/>
      <c r="BS155" s="33"/>
      <c r="BV155" s="33"/>
      <c r="BZ155" s="33"/>
      <c r="CC155" s="33"/>
    </row>
    <row r="156" spans="1:81" x14ac:dyDescent="0.3">
      <c r="A156" s="38" t="s">
        <v>118</v>
      </c>
      <c r="B156" s="44">
        <v>1</v>
      </c>
      <c r="C156" s="33" t="s">
        <v>158</v>
      </c>
      <c r="D156" s="56">
        <v>1.5</v>
      </c>
      <c r="E156" s="33" t="s">
        <v>147</v>
      </c>
      <c r="G156" s="33"/>
      <c r="H156" s="33"/>
      <c r="I156" s="33"/>
      <c r="J156" s="56"/>
      <c r="K156" s="56"/>
      <c r="L156" s="33"/>
      <c r="M156" s="33"/>
      <c r="O156" s="62"/>
      <c r="P156" s="62"/>
      <c r="Q156" s="33"/>
      <c r="R156" s="62"/>
      <c r="S156" s="62"/>
      <c r="T156" s="32"/>
      <c r="U156" s="33"/>
      <c r="V156" s="32"/>
      <c r="W156" s="63"/>
      <c r="X156" s="63"/>
      <c r="Y156" s="33"/>
      <c r="Z156" s="63"/>
      <c r="AA156" s="58"/>
      <c r="AB156" s="33"/>
      <c r="AC156" s="32"/>
      <c r="AD156" s="32"/>
      <c r="AE156" s="32"/>
      <c r="AF156" s="33"/>
      <c r="AG156" s="32"/>
      <c r="AI156" s="33"/>
      <c r="AM156" s="33"/>
      <c r="AQ156" s="33"/>
      <c r="AU156" s="33"/>
      <c r="AX156" s="33"/>
      <c r="BB156" s="33"/>
      <c r="BE156" s="33"/>
      <c r="BI156" s="33"/>
      <c r="BL156" s="33"/>
      <c r="BP156" s="33"/>
      <c r="BS156" s="33"/>
      <c r="BV156" s="33"/>
      <c r="BZ156" s="33"/>
      <c r="CC156" s="33"/>
    </row>
    <row r="157" spans="1:81" x14ac:dyDescent="0.3">
      <c r="A157" s="38" t="s">
        <v>159</v>
      </c>
      <c r="B157" s="44">
        <v>1</v>
      </c>
      <c r="C157" s="33" t="s">
        <v>158</v>
      </c>
      <c r="D157" s="56">
        <v>1.75</v>
      </c>
      <c r="E157" s="33" t="s">
        <v>147</v>
      </c>
      <c r="G157" s="33"/>
      <c r="H157" s="33"/>
      <c r="I157" s="33"/>
      <c r="J157" s="56"/>
      <c r="K157" s="56"/>
      <c r="L157" s="33"/>
      <c r="M157" s="33"/>
      <c r="O157" s="62"/>
      <c r="P157" s="62"/>
      <c r="Q157" s="33"/>
      <c r="R157" s="62"/>
      <c r="S157" s="62"/>
      <c r="T157" s="32"/>
      <c r="U157" s="33"/>
      <c r="V157" s="32"/>
      <c r="W157" s="63"/>
      <c r="X157" s="63"/>
      <c r="Y157" s="33"/>
      <c r="Z157" s="63"/>
      <c r="AA157" s="58"/>
      <c r="AB157" s="33"/>
      <c r="AC157" s="32"/>
      <c r="AD157" s="32"/>
      <c r="AE157" s="32"/>
      <c r="AF157" s="33"/>
      <c r="AG157" s="32"/>
      <c r="AI157" s="33"/>
      <c r="AM157" s="33"/>
      <c r="AQ157" s="33"/>
      <c r="AU157" s="33"/>
      <c r="AX157" s="33"/>
      <c r="BB157" s="33"/>
      <c r="BE157" s="33"/>
      <c r="BI157" s="33"/>
      <c r="BL157" s="33"/>
      <c r="BP157" s="33"/>
      <c r="BS157" s="33"/>
      <c r="BV157" s="33"/>
      <c r="BZ157" s="33"/>
      <c r="CC157" s="33"/>
    </row>
    <row r="158" spans="1:81" x14ac:dyDescent="0.3">
      <c r="A158" s="38" t="s">
        <v>160</v>
      </c>
      <c r="B158" s="44">
        <v>1</v>
      </c>
      <c r="C158" s="33" t="s">
        <v>158</v>
      </c>
      <c r="D158" s="56">
        <v>1.5</v>
      </c>
      <c r="E158" s="33" t="s">
        <v>147</v>
      </c>
      <c r="G158" s="33"/>
      <c r="H158" s="33"/>
      <c r="I158" s="33"/>
      <c r="J158" s="56"/>
      <c r="K158" s="56"/>
      <c r="L158" s="33"/>
      <c r="M158" s="33"/>
      <c r="O158" s="62"/>
      <c r="P158" s="62"/>
      <c r="Q158" s="33"/>
      <c r="R158" s="62"/>
      <c r="S158" s="62"/>
      <c r="T158" s="32"/>
      <c r="U158" s="33"/>
      <c r="V158" s="32"/>
      <c r="W158" s="63"/>
      <c r="X158" s="63"/>
      <c r="Y158" s="33"/>
      <c r="Z158" s="63"/>
      <c r="AA158" s="58"/>
      <c r="AB158" s="33"/>
      <c r="AC158" s="32"/>
      <c r="AD158" s="32"/>
      <c r="AE158" s="32"/>
      <c r="AF158" s="33"/>
      <c r="AG158" s="32"/>
      <c r="AI158" s="33"/>
      <c r="AM158" s="33"/>
      <c r="AQ158" s="33"/>
      <c r="AU158" s="33"/>
      <c r="AX158" s="33"/>
      <c r="BB158" s="33"/>
      <c r="BE158" s="33"/>
      <c r="BI158" s="33"/>
      <c r="BL158" s="33"/>
      <c r="BP158" s="33"/>
      <c r="BS158" s="33"/>
      <c r="BV158" s="33"/>
      <c r="BZ158" s="33"/>
      <c r="CC158" s="33"/>
    </row>
    <row r="159" spans="1:81" x14ac:dyDescent="0.3">
      <c r="A159" s="38" t="s">
        <v>161</v>
      </c>
      <c r="B159" s="44">
        <v>1</v>
      </c>
      <c r="C159" s="33" t="s">
        <v>156</v>
      </c>
      <c r="D159" s="56">
        <v>1.26</v>
      </c>
      <c r="E159" s="33" t="s">
        <v>147</v>
      </c>
      <c r="G159" s="33"/>
      <c r="H159" s="33"/>
      <c r="I159" s="33"/>
      <c r="J159" s="56"/>
      <c r="K159" s="56"/>
      <c r="L159" s="33"/>
      <c r="M159" s="33"/>
      <c r="O159" s="62"/>
      <c r="P159" s="62"/>
      <c r="Q159" s="33"/>
      <c r="R159" s="62"/>
      <c r="S159" s="62"/>
      <c r="T159" s="32"/>
      <c r="U159" s="33"/>
      <c r="V159" s="32"/>
      <c r="W159" s="63"/>
      <c r="X159" s="63"/>
      <c r="Y159" s="33"/>
      <c r="Z159" s="63"/>
      <c r="AA159" s="58"/>
      <c r="AB159" s="33"/>
      <c r="AC159" s="32"/>
      <c r="AD159" s="32"/>
      <c r="AE159" s="32"/>
      <c r="AF159" s="33"/>
      <c r="AG159" s="32"/>
      <c r="AI159" s="33"/>
      <c r="AM159" s="33"/>
      <c r="AQ159" s="33"/>
      <c r="AU159" s="33"/>
      <c r="AX159" s="33"/>
      <c r="BB159" s="33"/>
      <c r="BE159" s="33"/>
      <c r="BI159" s="33"/>
      <c r="BL159" s="33"/>
      <c r="BP159" s="33"/>
      <c r="BS159" s="33"/>
      <c r="BV159" s="33"/>
      <c r="BZ159" s="33"/>
      <c r="CC159" s="33"/>
    </row>
    <row r="160" spans="1:81" x14ac:dyDescent="0.3">
      <c r="A160" s="38" t="s">
        <v>26</v>
      </c>
      <c r="B160" s="44">
        <v>1</v>
      </c>
      <c r="C160" s="33" t="s">
        <v>162</v>
      </c>
      <c r="D160" s="56">
        <v>15.9</v>
      </c>
      <c r="E160" s="33" t="s">
        <v>147</v>
      </c>
      <c r="G160" s="33"/>
      <c r="H160" s="33"/>
      <c r="I160" s="33"/>
      <c r="J160" s="56"/>
      <c r="K160" s="56"/>
      <c r="L160" s="33"/>
      <c r="M160" s="33"/>
      <c r="O160" s="62"/>
      <c r="P160" s="62"/>
      <c r="Q160" s="33"/>
      <c r="R160" s="62"/>
      <c r="S160" s="62"/>
      <c r="T160" s="32"/>
      <c r="U160" s="33"/>
      <c r="V160" s="32"/>
      <c r="W160" s="63"/>
      <c r="X160" s="63"/>
      <c r="Y160" s="33"/>
      <c r="Z160" s="63"/>
      <c r="AA160" s="58"/>
      <c r="AB160" s="33"/>
      <c r="AC160" s="32"/>
      <c r="AD160" s="32"/>
      <c r="AE160" s="32"/>
      <c r="AF160" s="33"/>
      <c r="AG160" s="32"/>
      <c r="AI160" s="33"/>
      <c r="AM160" s="33"/>
      <c r="AQ160" s="33"/>
      <c r="AU160" s="33"/>
      <c r="AX160" s="33"/>
      <c r="BB160" s="33"/>
      <c r="BE160" s="33"/>
      <c r="BI160" s="33"/>
      <c r="BL160" s="33"/>
      <c r="BP160" s="33"/>
      <c r="BS160" s="33"/>
      <c r="BV160" s="33"/>
      <c r="BZ160" s="33"/>
      <c r="CC160" s="33"/>
    </row>
    <row r="161" spans="1:81" x14ac:dyDescent="0.3">
      <c r="A161" s="38" t="s">
        <v>163</v>
      </c>
      <c r="B161" s="44">
        <v>1</v>
      </c>
      <c r="C161" s="33" t="s">
        <v>164</v>
      </c>
      <c r="D161" s="56">
        <f>439.681/D147</f>
        <v>3.9257232142857141</v>
      </c>
      <c r="E161" s="33" t="s">
        <v>147</v>
      </c>
      <c r="G161" s="33"/>
      <c r="I161" s="33"/>
      <c r="J161" s="56"/>
      <c r="K161" s="56"/>
      <c r="L161" s="33"/>
      <c r="M161" s="33"/>
      <c r="O161" s="62"/>
      <c r="P161" s="62"/>
      <c r="Q161" s="33"/>
      <c r="R161" s="62"/>
      <c r="S161" s="62"/>
      <c r="T161" s="32"/>
      <c r="U161" s="33"/>
      <c r="V161" s="32"/>
      <c r="W161" s="63"/>
      <c r="X161" s="63"/>
      <c r="Y161" s="33"/>
      <c r="Z161" s="63"/>
      <c r="AA161" s="58"/>
      <c r="AB161" s="33"/>
      <c r="AC161" s="32"/>
      <c r="AD161" s="32"/>
      <c r="AE161" s="32"/>
      <c r="AF161" s="33"/>
      <c r="AG161" s="32"/>
      <c r="AI161" s="33"/>
      <c r="AM161" s="33"/>
      <c r="AQ161" s="33"/>
      <c r="AU161" s="33"/>
      <c r="AX161" s="33"/>
      <c r="BB161" s="33"/>
      <c r="BE161" s="33"/>
      <c r="BI161" s="33"/>
      <c r="BL161" s="33"/>
      <c r="BP161" s="33"/>
      <c r="BS161" s="33"/>
      <c r="BV161" s="33"/>
      <c r="BZ161" s="33"/>
      <c r="CC161" s="33"/>
    </row>
    <row r="162" spans="1:81" x14ac:dyDescent="0.3">
      <c r="A162" s="38" t="s">
        <v>165</v>
      </c>
      <c r="B162" s="44">
        <v>1</v>
      </c>
      <c r="C162" s="33" t="s">
        <v>164</v>
      </c>
      <c r="D162" s="56">
        <v>3</v>
      </c>
      <c r="E162" s="33" t="s">
        <v>147</v>
      </c>
      <c r="G162" s="33"/>
      <c r="I162" s="33"/>
      <c r="M162" s="33"/>
      <c r="O162" s="62"/>
      <c r="P162" s="62"/>
      <c r="Q162" s="33"/>
      <c r="R162" s="62"/>
      <c r="S162" s="62"/>
      <c r="T162" s="58"/>
      <c r="U162" s="33"/>
      <c r="V162" s="58"/>
      <c r="W162" s="63"/>
      <c r="X162" s="63"/>
      <c r="Y162" s="33"/>
      <c r="Z162" s="63"/>
      <c r="AA162" s="58"/>
      <c r="AB162" s="33"/>
      <c r="AC162" s="32"/>
      <c r="AD162" s="32"/>
      <c r="AE162" s="32"/>
      <c r="AF162" s="33"/>
      <c r="AG162" s="32"/>
      <c r="AI162" s="33"/>
      <c r="AM162" s="33"/>
      <c r="AQ162" s="33"/>
      <c r="AU162" s="33"/>
      <c r="AX162" s="33"/>
      <c r="BB162" s="33"/>
      <c r="BE162" s="33"/>
      <c r="BI162" s="33"/>
      <c r="BL162" s="33"/>
      <c r="BP162" s="33"/>
      <c r="BS162" s="33"/>
      <c r="BV162" s="33"/>
      <c r="BZ162" s="33"/>
      <c r="CC162" s="33"/>
    </row>
    <row r="163" spans="1:81" x14ac:dyDescent="0.3">
      <c r="A163" s="38" t="s">
        <v>116</v>
      </c>
      <c r="B163" s="44">
        <v>1</v>
      </c>
      <c r="C163" s="33" t="s">
        <v>164</v>
      </c>
      <c r="D163" s="56">
        <v>2.98</v>
      </c>
      <c r="E163" s="33" t="s">
        <v>147</v>
      </c>
      <c r="G163" s="33"/>
      <c r="I163" s="33"/>
      <c r="M163" s="33"/>
      <c r="O163" s="62"/>
      <c r="P163" s="62"/>
      <c r="Q163" s="33"/>
      <c r="R163" s="62"/>
      <c r="S163" s="62"/>
      <c r="T163" s="58"/>
      <c r="U163" s="33"/>
      <c r="V163" s="58"/>
      <c r="W163" s="63"/>
      <c r="X163" s="63"/>
      <c r="Y163" s="33"/>
      <c r="Z163" s="63"/>
      <c r="AA163" s="58"/>
      <c r="AB163" s="33"/>
      <c r="AC163" s="32"/>
      <c r="AD163" s="32"/>
      <c r="AE163" s="32"/>
      <c r="AF163" s="33"/>
      <c r="AG163" s="32"/>
      <c r="AI163" s="33"/>
      <c r="AM163" s="33"/>
      <c r="AQ163" s="33"/>
      <c r="AU163" s="33"/>
      <c r="AX163" s="33"/>
      <c r="BB163" s="33"/>
      <c r="BE163" s="33"/>
      <c r="BI163" s="33"/>
      <c r="BL163" s="33"/>
      <c r="BP163" s="33"/>
      <c r="BS163" s="33"/>
      <c r="BV163" s="33"/>
      <c r="BZ163" s="33"/>
      <c r="CC163" s="33"/>
    </row>
    <row r="164" spans="1:81" x14ac:dyDescent="0.3">
      <c r="A164" s="38" t="s">
        <v>137</v>
      </c>
      <c r="B164" s="44">
        <v>1</v>
      </c>
      <c r="C164" s="33" t="s">
        <v>166</v>
      </c>
      <c r="D164" s="56">
        <v>9</v>
      </c>
      <c r="E164" s="33" t="s">
        <v>167</v>
      </c>
      <c r="G164" s="33"/>
      <c r="I164" s="33"/>
      <c r="M164" s="33"/>
      <c r="O164" s="62"/>
      <c r="P164" s="62"/>
      <c r="Q164" s="33"/>
      <c r="R164" s="62"/>
      <c r="S164" s="62"/>
      <c r="T164" s="58"/>
      <c r="U164" s="33"/>
      <c r="V164" s="58"/>
      <c r="W164" s="63"/>
      <c r="X164" s="63"/>
      <c r="Y164" s="33"/>
      <c r="Z164" s="63"/>
      <c r="AA164" s="58"/>
      <c r="AB164" s="33"/>
      <c r="AC164" s="32"/>
      <c r="AD164" s="32"/>
      <c r="AE164" s="32"/>
      <c r="AF164" s="33"/>
      <c r="AG164" s="32"/>
      <c r="AI164" s="33"/>
      <c r="AM164" s="33"/>
      <c r="AQ164" s="33"/>
      <c r="AU164" s="33"/>
      <c r="AX164" s="33"/>
      <c r="BB164" s="33"/>
      <c r="BE164" s="33"/>
      <c r="BI164" s="33"/>
      <c r="BL164" s="33"/>
      <c r="BP164" s="33"/>
      <c r="BS164" s="33"/>
      <c r="BV164" s="33"/>
      <c r="BZ164" s="33"/>
      <c r="CC164" s="33"/>
    </row>
    <row r="165" spans="1:81" x14ac:dyDescent="0.3">
      <c r="A165" s="38" t="s">
        <v>168</v>
      </c>
      <c r="B165" s="44">
        <v>1</v>
      </c>
      <c r="C165" s="33" t="s">
        <v>169</v>
      </c>
      <c r="D165" s="56">
        <v>9</v>
      </c>
      <c r="E165" s="33" t="s">
        <v>167</v>
      </c>
      <c r="G165" s="33"/>
      <c r="I165" s="33"/>
      <c r="M165" s="33"/>
      <c r="O165" s="62"/>
      <c r="P165" s="62"/>
      <c r="Q165" s="33"/>
      <c r="R165" s="62"/>
      <c r="S165" s="62"/>
      <c r="T165" s="58"/>
      <c r="U165" s="33"/>
      <c r="V165" s="58"/>
      <c r="W165" s="63"/>
      <c r="X165" s="63"/>
      <c r="Y165" s="33"/>
      <c r="Z165" s="63"/>
      <c r="AA165" s="58"/>
      <c r="AB165" s="33"/>
      <c r="AC165" s="32"/>
      <c r="AD165" s="32"/>
      <c r="AE165" s="32"/>
      <c r="AF165" s="33"/>
      <c r="AG165" s="32"/>
      <c r="AI165" s="33"/>
      <c r="AM165" s="33"/>
      <c r="AQ165" s="33"/>
      <c r="AU165" s="33"/>
      <c r="AX165" s="33"/>
      <c r="BB165" s="33"/>
      <c r="BE165" s="33"/>
      <c r="BI165" s="33"/>
      <c r="BL165" s="33"/>
      <c r="BP165" s="33"/>
      <c r="BS165" s="33"/>
      <c r="BV165" s="33"/>
      <c r="BZ165" s="33"/>
      <c r="CC165" s="33"/>
    </row>
    <row r="166" spans="1:81" x14ac:dyDescent="0.3">
      <c r="A166" s="38" t="s">
        <v>119</v>
      </c>
      <c r="B166" s="44">
        <v>1</v>
      </c>
      <c r="C166" s="33" t="s">
        <v>158</v>
      </c>
      <c r="D166" s="56">
        <v>1.75</v>
      </c>
      <c r="E166" s="33" t="s">
        <v>147</v>
      </c>
      <c r="F166" s="44">
        <f>D166*D147</f>
        <v>196</v>
      </c>
      <c r="G166" s="33" t="s">
        <v>140</v>
      </c>
      <c r="I166" s="33"/>
      <c r="M166" s="33"/>
      <c r="O166" s="62"/>
      <c r="P166" s="62"/>
      <c r="Q166" s="33"/>
      <c r="R166" s="62"/>
      <c r="S166" s="62"/>
      <c r="T166" s="58"/>
      <c r="U166" s="33"/>
      <c r="V166" s="58"/>
      <c r="W166" s="63"/>
      <c r="X166" s="63"/>
      <c r="Y166" s="33"/>
      <c r="Z166" s="63"/>
      <c r="AA166" s="58"/>
      <c r="AB166" s="33"/>
      <c r="AC166" s="32"/>
      <c r="AD166" s="32"/>
      <c r="AE166" s="32"/>
      <c r="AF166" s="33"/>
      <c r="AG166" s="32"/>
      <c r="AI166" s="33"/>
      <c r="AM166" s="33"/>
      <c r="AQ166" s="33"/>
      <c r="AU166" s="33"/>
      <c r="AX166" s="33"/>
      <c r="BB166" s="33"/>
      <c r="BE166" s="33"/>
      <c r="BI166" s="33"/>
      <c r="BL166" s="33"/>
      <c r="BP166" s="33"/>
      <c r="BS166" s="33"/>
      <c r="BV166" s="33"/>
      <c r="BZ166" s="33"/>
      <c r="CC166" s="33"/>
    </row>
    <row r="167" spans="1:81" x14ac:dyDescent="0.3">
      <c r="A167" s="38" t="s">
        <v>119</v>
      </c>
      <c r="B167" s="44">
        <v>1</v>
      </c>
      <c r="C167" s="33" t="s">
        <v>156</v>
      </c>
      <c r="D167" s="56">
        <v>175</v>
      </c>
      <c r="E167" s="33" t="s">
        <v>140</v>
      </c>
      <c r="F167" s="56">
        <f>D167/D147</f>
        <v>1.5625</v>
      </c>
      <c r="G167" s="33" t="s">
        <v>143</v>
      </c>
      <c r="I167" s="33"/>
      <c r="M167" s="33"/>
      <c r="O167" s="62"/>
      <c r="P167" s="62"/>
      <c r="Q167" s="33"/>
      <c r="R167" s="62"/>
      <c r="S167" s="62"/>
      <c r="T167" s="58"/>
      <c r="U167" s="33"/>
      <c r="V167" s="58"/>
      <c r="W167" s="63"/>
      <c r="X167" s="63"/>
      <c r="Y167" s="33"/>
      <c r="Z167" s="63"/>
      <c r="AA167" s="58"/>
      <c r="AB167" s="33"/>
      <c r="AC167" s="32"/>
      <c r="AD167" s="32"/>
      <c r="AE167" s="32"/>
      <c r="AF167" s="33"/>
      <c r="AG167" s="32"/>
      <c r="AI167" s="33"/>
      <c r="AM167" s="33"/>
      <c r="AQ167" s="33"/>
      <c r="AU167" s="33"/>
      <c r="AX167" s="33"/>
      <c r="BB167" s="33"/>
      <c r="BE167" s="33"/>
      <c r="BI167" s="33"/>
      <c r="BL167" s="33"/>
      <c r="BP167" s="33"/>
      <c r="BS167" s="33"/>
      <c r="BV167" s="33"/>
      <c r="BZ167" s="33"/>
      <c r="CC167" s="33"/>
    </row>
    <row r="168" spans="1:81" x14ac:dyDescent="0.3">
      <c r="A168" s="38" t="s">
        <v>170</v>
      </c>
      <c r="B168" s="44">
        <v>1</v>
      </c>
      <c r="C168" s="33" t="s">
        <v>171</v>
      </c>
      <c r="D168" s="56">
        <v>0.15175</v>
      </c>
      <c r="E168" s="33" t="s">
        <v>147</v>
      </c>
      <c r="F168" s="56">
        <v>16.997</v>
      </c>
      <c r="G168" s="33" t="s">
        <v>140</v>
      </c>
      <c r="I168" s="33"/>
      <c r="M168" s="33"/>
      <c r="O168" s="62"/>
      <c r="P168" s="62"/>
      <c r="Q168" s="33"/>
      <c r="R168" s="62"/>
      <c r="S168" s="62"/>
      <c r="T168" s="58"/>
      <c r="U168" s="33"/>
      <c r="V168" s="58"/>
      <c r="W168" s="63"/>
      <c r="X168" s="63"/>
      <c r="Y168" s="33"/>
      <c r="Z168" s="63"/>
      <c r="AA168" s="58"/>
      <c r="AB168" s="33"/>
      <c r="AC168" s="32"/>
      <c r="AD168" s="32"/>
      <c r="AE168" s="32"/>
      <c r="AF168" s="33"/>
      <c r="AG168" s="32"/>
      <c r="AI168" s="33"/>
      <c r="AM168" s="33"/>
      <c r="AQ168" s="33"/>
      <c r="AU168" s="33"/>
      <c r="AX168" s="33"/>
      <c r="BB168" s="33"/>
      <c r="BE168" s="33"/>
      <c r="BI168" s="33"/>
      <c r="BL168" s="33"/>
      <c r="BP168" s="33"/>
      <c r="BS168" s="33"/>
      <c r="BV168" s="33"/>
      <c r="BZ168" s="33"/>
      <c r="CC168" s="33"/>
    </row>
    <row r="169" spans="1:81" x14ac:dyDescent="0.3">
      <c r="A169" s="38" t="s">
        <v>136</v>
      </c>
      <c r="B169" s="44">
        <v>1</v>
      </c>
      <c r="C169" s="33" t="s">
        <v>158</v>
      </c>
      <c r="D169" s="56">
        <v>1.5</v>
      </c>
      <c r="E169" s="33" t="s">
        <v>147</v>
      </c>
      <c r="G169" s="33"/>
      <c r="I169" s="33"/>
      <c r="M169" s="33"/>
      <c r="O169" s="62"/>
      <c r="P169" s="62"/>
      <c r="Q169" s="33"/>
      <c r="R169" s="62"/>
      <c r="S169" s="62"/>
      <c r="T169" s="58"/>
      <c r="U169" s="33"/>
      <c r="V169" s="58"/>
      <c r="W169" s="63"/>
      <c r="X169" s="63"/>
      <c r="Y169" s="33"/>
      <c r="Z169" s="63"/>
      <c r="AA169" s="58"/>
      <c r="AB169" s="33"/>
      <c r="AC169" s="32"/>
      <c r="AD169" s="32"/>
      <c r="AE169" s="32"/>
      <c r="AF169" s="33"/>
      <c r="AG169" s="32"/>
      <c r="AI169" s="33"/>
      <c r="AM169" s="33"/>
      <c r="AQ169" s="33"/>
      <c r="AU169" s="33"/>
      <c r="AX169" s="33"/>
      <c r="BB169" s="33"/>
      <c r="BE169" s="33"/>
      <c r="BI169" s="33"/>
      <c r="BL169" s="33"/>
      <c r="BP169" s="33"/>
      <c r="BS169" s="33"/>
      <c r="BV169" s="33"/>
      <c r="BZ169" s="33"/>
      <c r="CC169" s="33"/>
    </row>
    <row r="170" spans="1:81" x14ac:dyDescent="0.3">
      <c r="A170" s="38" t="s">
        <v>172</v>
      </c>
      <c r="B170" s="44">
        <v>1</v>
      </c>
      <c r="C170" s="33" t="s">
        <v>158</v>
      </c>
      <c r="D170" s="56">
        <v>1.625</v>
      </c>
      <c r="E170" s="33" t="s">
        <v>147</v>
      </c>
      <c r="G170" s="33"/>
      <c r="I170" s="33"/>
      <c r="M170" s="33"/>
      <c r="O170" s="62"/>
      <c r="P170" s="62"/>
      <c r="Q170" s="33"/>
      <c r="R170" s="62"/>
      <c r="S170" s="62"/>
      <c r="T170" s="58"/>
      <c r="U170" s="33"/>
      <c r="V170" s="58"/>
      <c r="W170" s="63"/>
      <c r="X170" s="63"/>
      <c r="Y170" s="33"/>
      <c r="Z170" s="63"/>
      <c r="AA170" s="58"/>
      <c r="AB170" s="33"/>
      <c r="AC170" s="32"/>
      <c r="AD170" s="32"/>
      <c r="AE170" s="32"/>
      <c r="AF170" s="33"/>
      <c r="AG170" s="32"/>
      <c r="AI170" s="33"/>
      <c r="AM170" s="33"/>
      <c r="AQ170" s="33"/>
      <c r="AU170" s="33"/>
      <c r="AX170" s="33"/>
      <c r="BB170" s="33"/>
      <c r="BE170" s="33"/>
      <c r="BI170" s="33"/>
      <c r="BL170" s="33"/>
      <c r="BP170" s="33"/>
      <c r="BS170" s="33"/>
      <c r="BV170" s="33"/>
      <c r="BZ170" s="33"/>
      <c r="CC170" s="33"/>
    </row>
    <row r="171" spans="1:81" x14ac:dyDescent="0.3">
      <c r="A171" s="38" t="s">
        <v>10</v>
      </c>
      <c r="B171" s="44">
        <v>1</v>
      </c>
      <c r="C171" s="33" t="s">
        <v>158</v>
      </c>
      <c r="D171" s="56">
        <v>1.5</v>
      </c>
      <c r="E171" s="33" t="s">
        <v>147</v>
      </c>
      <c r="G171" s="33"/>
      <c r="I171" s="33"/>
      <c r="M171" s="33"/>
      <c r="O171" s="62"/>
      <c r="P171" s="62"/>
      <c r="Q171" s="33"/>
      <c r="R171" s="62"/>
      <c r="S171" s="62"/>
      <c r="T171" s="58"/>
      <c r="U171" s="33"/>
      <c r="V171" s="58"/>
      <c r="W171" s="63"/>
      <c r="X171" s="63"/>
      <c r="Y171" s="33"/>
      <c r="Z171" s="63"/>
      <c r="AA171" s="58"/>
      <c r="AB171" s="33"/>
      <c r="AC171" s="32"/>
      <c r="AD171" s="32"/>
      <c r="AE171" s="32"/>
      <c r="AF171" s="33"/>
      <c r="AG171" s="32"/>
      <c r="AI171" s="33"/>
      <c r="AM171" s="33"/>
      <c r="AQ171" s="33"/>
      <c r="AU171" s="33"/>
      <c r="AX171" s="33"/>
      <c r="BB171" s="33"/>
      <c r="BE171" s="33"/>
      <c r="BI171" s="33"/>
      <c r="BL171" s="33"/>
      <c r="BP171" s="33"/>
      <c r="BS171" s="33"/>
      <c r="BV171" s="33"/>
      <c r="BZ171" s="33"/>
      <c r="CC171" s="33"/>
    </row>
    <row r="172" spans="1:81" x14ac:dyDescent="0.3">
      <c r="A172" s="38" t="s">
        <v>173</v>
      </c>
      <c r="B172" s="44">
        <v>1</v>
      </c>
      <c r="C172" s="33" t="s">
        <v>158</v>
      </c>
      <c r="D172" s="56">
        <v>1.5</v>
      </c>
      <c r="E172" s="33" t="s">
        <v>147</v>
      </c>
      <c r="G172" s="33"/>
      <c r="I172" s="33"/>
      <c r="M172" s="33"/>
      <c r="O172" s="62"/>
      <c r="P172" s="62"/>
      <c r="Q172" s="33"/>
      <c r="R172" s="62"/>
      <c r="S172" s="62"/>
      <c r="T172" s="58"/>
      <c r="U172" s="33"/>
      <c r="V172" s="58"/>
      <c r="W172" s="63"/>
      <c r="X172" s="63"/>
      <c r="Y172" s="33"/>
      <c r="Z172" s="63"/>
      <c r="AA172" s="58"/>
      <c r="AB172" s="33"/>
      <c r="AC172" s="32"/>
      <c r="AD172" s="32"/>
      <c r="AE172" s="32"/>
      <c r="AF172" s="33"/>
      <c r="AG172" s="32"/>
      <c r="AI172" s="33"/>
      <c r="AM172" s="33"/>
      <c r="AQ172" s="33"/>
      <c r="AU172" s="33"/>
      <c r="AX172" s="33"/>
      <c r="BB172" s="33"/>
      <c r="BE172" s="33"/>
      <c r="BI172" s="33"/>
      <c r="BL172" s="33"/>
      <c r="BP172" s="33"/>
      <c r="BS172" s="33"/>
      <c r="BV172" s="33"/>
      <c r="BZ172" s="33"/>
      <c r="CC172" s="33"/>
    </row>
    <row r="173" spans="1:81" x14ac:dyDescent="0.3">
      <c r="A173" s="91" t="s">
        <v>174</v>
      </c>
      <c r="B173" s="44">
        <v>1</v>
      </c>
      <c r="C173" s="33" t="s">
        <v>175</v>
      </c>
      <c r="D173" s="56">
        <v>18.559999999999999</v>
      </c>
      <c r="E173" s="33" t="s">
        <v>167</v>
      </c>
      <c r="G173" s="33"/>
      <c r="I173" s="33"/>
      <c r="M173" s="33"/>
      <c r="O173" s="62"/>
      <c r="P173" s="62"/>
      <c r="Q173" s="33"/>
      <c r="R173" s="62"/>
      <c r="S173" s="62"/>
      <c r="T173" s="58"/>
      <c r="U173" s="33"/>
      <c r="V173" s="58"/>
      <c r="W173" s="63"/>
      <c r="X173" s="63"/>
      <c r="Y173" s="33"/>
      <c r="Z173" s="63"/>
      <c r="AA173" s="58"/>
      <c r="AB173" s="33"/>
      <c r="AC173" s="32"/>
      <c r="AD173" s="32"/>
      <c r="AE173" s="32"/>
      <c r="AF173" s="33"/>
      <c r="AG173" s="32"/>
      <c r="AI173" s="33"/>
      <c r="AM173" s="33"/>
      <c r="AQ173" s="33"/>
      <c r="AU173" s="33"/>
      <c r="AX173" s="33"/>
      <c r="BB173" s="33"/>
      <c r="BE173" s="33"/>
      <c r="BI173" s="33"/>
      <c r="BL173" s="33"/>
      <c r="BP173" s="33"/>
      <c r="BS173" s="33"/>
      <c r="BV173" s="33"/>
      <c r="BZ173" s="33"/>
      <c r="CC173" s="33"/>
    </row>
    <row r="174" spans="1:81" x14ac:dyDescent="0.3">
      <c r="A174" s="91"/>
      <c r="B174" s="44">
        <v>1</v>
      </c>
      <c r="C174" s="33" t="s">
        <v>176</v>
      </c>
      <c r="D174" s="56">
        <v>164</v>
      </c>
      <c r="E174" s="33" t="s">
        <v>140</v>
      </c>
      <c r="F174" s="56">
        <f>D174/D132</f>
        <v>1.4642857142857142</v>
      </c>
      <c r="G174" s="33" t="s">
        <v>147</v>
      </c>
      <c r="I174" s="33"/>
      <c r="M174" s="33"/>
      <c r="O174" s="62"/>
      <c r="P174" s="62"/>
      <c r="Q174" s="33"/>
      <c r="R174" s="62"/>
      <c r="S174" s="62"/>
      <c r="T174" s="58"/>
      <c r="U174" s="33"/>
      <c r="V174" s="58"/>
      <c r="W174" s="63"/>
      <c r="X174" s="63"/>
      <c r="Y174" s="33"/>
      <c r="Z174" s="63"/>
      <c r="AA174" s="58"/>
      <c r="AB174" s="33"/>
      <c r="AC174" s="32"/>
      <c r="AD174" s="32"/>
      <c r="AE174" s="32"/>
      <c r="AF174" s="33"/>
      <c r="AG174" s="32"/>
      <c r="AI174" s="33"/>
      <c r="AM174" s="33"/>
      <c r="AQ174" s="33"/>
      <c r="AU174" s="33"/>
      <c r="AX174" s="33"/>
      <c r="BB174" s="33"/>
      <c r="BE174" s="33"/>
      <c r="BI174" s="33"/>
      <c r="BL174" s="33"/>
      <c r="BP174" s="33"/>
      <c r="BS174" s="33"/>
      <c r="BV174" s="33"/>
      <c r="BZ174" s="33"/>
      <c r="CC174" s="33"/>
    </row>
    <row r="175" spans="1:81" x14ac:dyDescent="0.3">
      <c r="A175" s="91" t="s">
        <v>177</v>
      </c>
      <c r="B175" s="44">
        <v>1</v>
      </c>
      <c r="C175" s="33" t="s">
        <v>178</v>
      </c>
      <c r="D175" s="56">
        <v>336</v>
      </c>
      <c r="E175" s="33" t="s">
        <v>140</v>
      </c>
      <c r="F175" s="56">
        <v>3</v>
      </c>
      <c r="G175" s="33" t="s">
        <v>147</v>
      </c>
      <c r="I175" s="33"/>
      <c r="M175" s="33"/>
      <c r="O175" s="62"/>
      <c r="P175" s="62"/>
      <c r="Q175" s="33"/>
      <c r="R175" s="62"/>
      <c r="S175" s="62"/>
      <c r="T175" s="58"/>
      <c r="U175" s="33"/>
      <c r="V175" s="58"/>
      <c r="W175" s="63"/>
      <c r="X175" s="63"/>
      <c r="Y175" s="33"/>
      <c r="Z175" s="63"/>
      <c r="AA175" s="58"/>
      <c r="AB175" s="33"/>
      <c r="AC175" s="32"/>
      <c r="AD175" s="32"/>
      <c r="AE175" s="32"/>
      <c r="AF175" s="33"/>
      <c r="AG175" s="32"/>
      <c r="AI175" s="33"/>
      <c r="AM175" s="33"/>
      <c r="AQ175" s="33"/>
      <c r="AU175" s="33"/>
      <c r="AX175" s="33"/>
      <c r="BB175" s="33"/>
      <c r="BE175" s="33"/>
      <c r="BI175" s="33"/>
      <c r="BL175" s="33"/>
      <c r="BP175" s="33"/>
      <c r="BS175" s="33"/>
      <c r="BV175" s="33"/>
      <c r="BZ175" s="33"/>
      <c r="CC175" s="33"/>
    </row>
    <row r="176" spans="1:81" x14ac:dyDescent="0.3">
      <c r="A176" s="91"/>
      <c r="B176" s="44">
        <v>1</v>
      </c>
      <c r="C176" s="33" t="s">
        <v>179</v>
      </c>
      <c r="D176" s="56">
        <v>240</v>
      </c>
      <c r="E176" s="33" t="s">
        <v>140</v>
      </c>
      <c r="F176" s="56">
        <f>D176/D147</f>
        <v>2.1428571428571428</v>
      </c>
      <c r="G176" s="33" t="s">
        <v>147</v>
      </c>
      <c r="I176" s="33"/>
      <c r="M176" s="33"/>
      <c r="O176" s="62"/>
      <c r="P176" s="62"/>
      <c r="Q176" s="33"/>
      <c r="R176" s="62"/>
      <c r="S176" s="62"/>
      <c r="T176" s="58"/>
      <c r="U176" s="33"/>
      <c r="V176" s="58"/>
      <c r="W176" s="63"/>
      <c r="X176" s="63"/>
      <c r="Y176" s="33"/>
      <c r="Z176" s="63"/>
      <c r="AA176" s="58"/>
      <c r="AB176" s="33"/>
      <c r="AC176" s="32"/>
      <c r="AD176" s="32"/>
      <c r="AE176" s="32"/>
      <c r="AF176" s="33"/>
      <c r="AG176" s="32"/>
      <c r="AI176" s="33"/>
      <c r="AM176" s="33"/>
      <c r="AQ176" s="33"/>
      <c r="AU176" s="33"/>
      <c r="AX176" s="33"/>
      <c r="BB176" s="33"/>
      <c r="BE176" s="33"/>
      <c r="BI176" s="33"/>
      <c r="BL176" s="33"/>
      <c r="BP176" s="33"/>
      <c r="BS176" s="33"/>
      <c r="BV176" s="33"/>
      <c r="BZ176" s="33"/>
      <c r="CC176" s="33"/>
    </row>
    <row r="177" spans="1:81" x14ac:dyDescent="0.3">
      <c r="A177" s="91" t="s">
        <v>47</v>
      </c>
      <c r="B177" s="44">
        <v>1</v>
      </c>
      <c r="C177" s="33" t="s">
        <v>180</v>
      </c>
      <c r="D177" s="56">
        <v>3.40835</v>
      </c>
      <c r="E177" s="33" t="s">
        <v>158</v>
      </c>
      <c r="F177" s="56">
        <f>D177*D178/D147</f>
        <v>5.9646125000000003</v>
      </c>
      <c r="G177" s="33" t="s">
        <v>147</v>
      </c>
      <c r="I177" s="33"/>
      <c r="M177" s="33"/>
      <c r="O177" s="62"/>
      <c r="P177" s="62"/>
      <c r="Q177" s="33"/>
      <c r="R177" s="62"/>
      <c r="S177" s="62"/>
      <c r="T177" s="58"/>
      <c r="U177" s="33"/>
      <c r="V177" s="58"/>
      <c r="W177" s="63"/>
      <c r="X177" s="63"/>
      <c r="Y177" s="33"/>
      <c r="Z177" s="63"/>
      <c r="AA177" s="58"/>
      <c r="AB177" s="33"/>
      <c r="AC177" s="32"/>
      <c r="AD177" s="32"/>
      <c r="AE177" s="32"/>
      <c r="AF177" s="33"/>
      <c r="AG177" s="32"/>
      <c r="AI177" s="33"/>
      <c r="AM177" s="33"/>
      <c r="AQ177" s="33"/>
      <c r="AU177" s="33"/>
      <c r="AX177" s="33"/>
      <c r="BB177" s="33"/>
      <c r="BE177" s="33"/>
      <c r="BI177" s="33"/>
      <c r="BL177" s="33"/>
      <c r="BP177" s="33"/>
      <c r="BS177" s="33"/>
      <c r="BV177" s="33"/>
      <c r="BZ177" s="33"/>
      <c r="CC177" s="33"/>
    </row>
    <row r="178" spans="1:81" x14ac:dyDescent="0.3">
      <c r="A178" s="91"/>
      <c r="B178" s="44">
        <v>1</v>
      </c>
      <c r="C178" s="33" t="s">
        <v>158</v>
      </c>
      <c r="D178" s="61">
        <v>196</v>
      </c>
      <c r="E178" s="33" t="s">
        <v>140</v>
      </c>
      <c r="F178" s="56"/>
      <c r="G178" s="32"/>
      <c r="I178" s="33"/>
      <c r="M178" s="33"/>
      <c r="O178" s="62"/>
      <c r="P178" s="62"/>
      <c r="Q178" s="33"/>
      <c r="R178" s="62"/>
      <c r="S178" s="62"/>
      <c r="T178" s="58"/>
      <c r="U178" s="33"/>
      <c r="V178" s="58"/>
      <c r="W178" s="63"/>
      <c r="X178" s="63"/>
      <c r="Y178" s="33"/>
      <c r="Z178" s="63"/>
      <c r="AA178" s="58"/>
      <c r="AB178" s="33"/>
      <c r="AC178" s="32"/>
      <c r="AD178" s="32"/>
      <c r="AE178" s="32"/>
      <c r="AF178" s="33"/>
      <c r="AG178" s="32"/>
      <c r="AI178" s="33"/>
      <c r="AM178" s="33"/>
      <c r="AQ178" s="33"/>
      <c r="AU178" s="33"/>
      <c r="AX178" s="33"/>
      <c r="BB178" s="33"/>
      <c r="BE178" s="33"/>
      <c r="BI178" s="33"/>
      <c r="BL178" s="33"/>
      <c r="BP178" s="33"/>
      <c r="BS178" s="33"/>
      <c r="BV178" s="33"/>
      <c r="BZ178" s="33"/>
      <c r="CC178" s="33"/>
    </row>
    <row r="179" spans="1:81" x14ac:dyDescent="0.3">
      <c r="A179" s="91" t="s">
        <v>130</v>
      </c>
      <c r="B179" s="44">
        <v>1</v>
      </c>
      <c r="C179" s="33" t="s">
        <v>181</v>
      </c>
      <c r="D179" s="61">
        <v>1</v>
      </c>
      <c r="E179" s="33" t="s">
        <v>164</v>
      </c>
      <c r="F179" s="56">
        <f>F180</f>
        <v>3.0446428571428572</v>
      </c>
      <c r="G179" s="33" t="s">
        <v>147</v>
      </c>
      <c r="I179" s="33"/>
      <c r="M179" s="33"/>
      <c r="O179" s="62"/>
      <c r="P179" s="62"/>
      <c r="Q179" s="33"/>
      <c r="R179" s="62"/>
      <c r="S179" s="62"/>
      <c r="T179" s="58"/>
      <c r="U179" s="33"/>
      <c r="V179" s="58"/>
      <c r="W179" s="63"/>
      <c r="X179" s="63"/>
      <c r="Y179" s="33"/>
      <c r="Z179" s="63"/>
      <c r="AA179" s="58"/>
      <c r="AB179" s="33"/>
      <c r="AC179" s="32"/>
      <c r="AD179" s="32"/>
      <c r="AE179" s="32"/>
      <c r="AF179" s="33"/>
      <c r="AG179" s="32"/>
      <c r="AI179" s="33"/>
      <c r="AM179" s="33"/>
      <c r="AQ179" s="33"/>
      <c r="AU179" s="33"/>
      <c r="AX179" s="33"/>
      <c r="BB179" s="33"/>
      <c r="BE179" s="33"/>
      <c r="BI179" s="33"/>
      <c r="BL179" s="33"/>
      <c r="BP179" s="33"/>
      <c r="BS179" s="33"/>
      <c r="BV179" s="33"/>
      <c r="BZ179" s="33"/>
      <c r="CC179" s="33"/>
    </row>
    <row r="180" spans="1:81" x14ac:dyDescent="0.3">
      <c r="A180" s="91"/>
      <c r="B180" s="44">
        <v>1</v>
      </c>
      <c r="C180" s="33" t="s">
        <v>164</v>
      </c>
      <c r="D180" s="61">
        <f>(355+327)/2</f>
        <v>341</v>
      </c>
      <c r="E180" s="33" t="s">
        <v>140</v>
      </c>
      <c r="F180" s="56">
        <f>D180/D147</f>
        <v>3.0446428571428572</v>
      </c>
      <c r="G180" s="33" t="s">
        <v>147</v>
      </c>
      <c r="I180" s="33"/>
      <c r="M180" s="33"/>
      <c r="O180" s="62"/>
      <c r="P180" s="62"/>
      <c r="Q180" s="33"/>
      <c r="R180" s="62"/>
      <c r="S180" s="62"/>
      <c r="T180" s="58"/>
      <c r="U180" s="33"/>
      <c r="V180" s="58"/>
      <c r="W180" s="63"/>
      <c r="X180" s="63"/>
      <c r="Y180" s="33"/>
      <c r="Z180" s="63"/>
      <c r="AA180" s="58"/>
      <c r="AB180" s="33"/>
      <c r="AC180" s="32"/>
      <c r="AD180" s="32"/>
      <c r="AE180" s="32"/>
      <c r="AF180" s="33"/>
      <c r="AG180" s="32"/>
      <c r="AI180" s="33"/>
      <c r="AM180" s="33"/>
      <c r="AQ180" s="33"/>
      <c r="AU180" s="33"/>
      <c r="AX180" s="33"/>
      <c r="BB180" s="33"/>
      <c r="BE180" s="33"/>
      <c r="BI180" s="33"/>
      <c r="BL180" s="33"/>
      <c r="BP180" s="33"/>
      <c r="BS180" s="33"/>
      <c r="BV180" s="33"/>
      <c r="BZ180" s="33"/>
      <c r="CC180" s="33"/>
    </row>
    <row r="181" spans="1:81" x14ac:dyDescent="0.3">
      <c r="A181" s="91" t="s">
        <v>161</v>
      </c>
      <c r="B181" s="44">
        <v>1</v>
      </c>
      <c r="C181" s="34" t="s">
        <v>156</v>
      </c>
      <c r="D181" s="61">
        <v>140.63</v>
      </c>
      <c r="E181" s="33" t="s">
        <v>140</v>
      </c>
      <c r="F181" s="56">
        <f>D181/D147</f>
        <v>1.255625</v>
      </c>
      <c r="G181" s="33" t="s">
        <v>147</v>
      </c>
      <c r="I181" s="33"/>
      <c r="M181" s="33"/>
      <c r="O181" s="62"/>
      <c r="P181" s="62"/>
      <c r="Q181" s="33"/>
      <c r="R181" s="62"/>
      <c r="S181" s="62"/>
      <c r="T181" s="58"/>
      <c r="U181" s="33"/>
      <c r="V181" s="58"/>
      <c r="W181" s="63"/>
      <c r="X181" s="63"/>
      <c r="Y181" s="33"/>
      <c r="Z181" s="63"/>
      <c r="AA181" s="58"/>
      <c r="AB181" s="33"/>
      <c r="AC181" s="32"/>
      <c r="AD181" s="32"/>
      <c r="AE181" s="32"/>
      <c r="AF181" s="33"/>
      <c r="AG181" s="32"/>
      <c r="AI181" s="33"/>
      <c r="AM181" s="33"/>
      <c r="AQ181" s="33"/>
      <c r="AU181" s="33"/>
      <c r="AX181" s="33"/>
      <c r="BB181" s="33"/>
      <c r="BE181" s="33"/>
      <c r="BI181" s="33"/>
      <c r="BL181" s="33"/>
      <c r="BP181" s="33"/>
      <c r="BS181" s="33"/>
      <c r="BV181" s="33"/>
      <c r="BZ181" s="33"/>
      <c r="CC181" s="33"/>
    </row>
    <row r="182" spans="1:81" x14ac:dyDescent="0.3">
      <c r="A182" s="91"/>
      <c r="B182" s="44">
        <v>1</v>
      </c>
      <c r="C182" s="34" t="s">
        <v>182</v>
      </c>
      <c r="D182" s="61">
        <v>0.91576999999999997</v>
      </c>
      <c r="E182" s="33" t="s">
        <v>156</v>
      </c>
      <c r="F182" s="56">
        <f>F181*D182</f>
        <v>1.1498637062499999</v>
      </c>
      <c r="G182" s="33" t="s">
        <v>147</v>
      </c>
      <c r="I182" s="33"/>
      <c r="M182" s="33"/>
      <c r="O182" s="62"/>
      <c r="P182" s="62"/>
      <c r="Q182" s="33"/>
      <c r="R182" s="62"/>
      <c r="S182" s="62"/>
      <c r="T182" s="58"/>
      <c r="U182" s="33"/>
      <c r="V182" s="58"/>
      <c r="W182" s="63"/>
      <c r="X182" s="63"/>
      <c r="Y182" s="33"/>
      <c r="Z182" s="63"/>
      <c r="AA182" s="58"/>
      <c r="AB182" s="33"/>
      <c r="AC182" s="32"/>
      <c r="AD182" s="32"/>
      <c r="AE182" s="32"/>
      <c r="AF182" s="33"/>
      <c r="AG182" s="32"/>
      <c r="AI182" s="33"/>
      <c r="AM182" s="33"/>
      <c r="AQ182" s="33"/>
      <c r="AU182" s="33"/>
      <c r="AX182" s="33"/>
      <c r="BB182" s="33"/>
      <c r="BE182" s="33"/>
      <c r="BI182" s="33"/>
      <c r="BL182" s="33"/>
      <c r="BP182" s="33"/>
      <c r="BS182" s="33"/>
      <c r="BV182" s="33"/>
      <c r="BZ182" s="33"/>
      <c r="CC182" s="33"/>
    </row>
    <row r="183" spans="1:81" x14ac:dyDescent="0.3">
      <c r="A183" s="91" t="s">
        <v>27</v>
      </c>
      <c r="B183" s="32">
        <v>1</v>
      </c>
      <c r="C183" s="34" t="s">
        <v>164</v>
      </c>
      <c r="D183" s="61">
        <v>2.37609</v>
      </c>
      <c r="E183" s="34" t="s">
        <v>158</v>
      </c>
      <c r="F183" s="56">
        <f>D183*D184</f>
        <v>4.1366063637000003</v>
      </c>
      <c r="G183" s="33" t="s">
        <v>147</v>
      </c>
      <c r="I183" s="34"/>
      <c r="M183" s="34"/>
      <c r="O183" s="62"/>
      <c r="P183" s="62"/>
      <c r="Q183" s="34"/>
      <c r="R183" s="62"/>
      <c r="S183" s="62"/>
      <c r="T183" s="58"/>
      <c r="U183" s="34"/>
      <c r="V183" s="58"/>
      <c r="W183" s="63"/>
      <c r="X183" s="63"/>
      <c r="Y183" s="34"/>
      <c r="Z183" s="63"/>
      <c r="AA183" s="58"/>
      <c r="AB183" s="34"/>
      <c r="AC183" s="32"/>
      <c r="AD183" s="32"/>
      <c r="AE183" s="32"/>
      <c r="AF183" s="34"/>
      <c r="AG183" s="32"/>
      <c r="AI183" s="34"/>
      <c r="AM183" s="34"/>
      <c r="AQ183" s="34"/>
      <c r="AU183" s="34"/>
      <c r="AX183" s="34"/>
      <c r="BB183" s="34"/>
      <c r="BE183" s="34"/>
      <c r="BI183" s="34"/>
      <c r="BL183" s="34"/>
      <c r="BP183" s="34"/>
      <c r="BS183" s="34"/>
      <c r="BV183" s="34"/>
      <c r="BZ183" s="34"/>
      <c r="CC183" s="34"/>
    </row>
    <row r="184" spans="1:81" x14ac:dyDescent="0.3">
      <c r="A184" s="91"/>
      <c r="B184" s="44">
        <v>1</v>
      </c>
      <c r="C184" s="34" t="s">
        <v>158</v>
      </c>
      <c r="D184" s="61">
        <v>1.7409300000000001</v>
      </c>
      <c r="E184" s="33" t="s">
        <v>147</v>
      </c>
      <c r="F184" s="56"/>
      <c r="G184" s="33"/>
      <c r="I184" s="33"/>
      <c r="M184" s="33"/>
      <c r="O184" s="62"/>
      <c r="P184" s="62"/>
      <c r="Q184" s="33"/>
      <c r="R184" s="62"/>
      <c r="S184" s="62"/>
      <c r="T184" s="58"/>
      <c r="U184" s="33"/>
      <c r="V184" s="58"/>
      <c r="W184" s="63"/>
      <c r="X184" s="63"/>
      <c r="Y184" s="33"/>
      <c r="Z184" s="63"/>
      <c r="AA184" s="58"/>
      <c r="AB184" s="33"/>
      <c r="AC184" s="32"/>
      <c r="AD184" s="32"/>
      <c r="AE184" s="32"/>
      <c r="AF184" s="33"/>
      <c r="AG184" s="32"/>
      <c r="AI184" s="33"/>
      <c r="AM184" s="33"/>
      <c r="AQ184" s="33"/>
      <c r="AU184" s="33"/>
      <c r="AX184" s="33"/>
      <c r="BB184" s="33"/>
      <c r="BE184" s="33"/>
      <c r="BI184" s="33"/>
      <c r="BL184" s="33"/>
      <c r="BP184" s="33"/>
      <c r="BS184" s="33"/>
      <c r="BV184" s="33"/>
      <c r="BZ184" s="33"/>
      <c r="CC184" s="33"/>
    </row>
    <row r="185" spans="1:81" x14ac:dyDescent="0.3">
      <c r="A185" s="38" t="s">
        <v>183</v>
      </c>
      <c r="B185" s="44">
        <v>1</v>
      </c>
      <c r="C185" s="34" t="s">
        <v>164</v>
      </c>
      <c r="D185" s="61">
        <v>242</v>
      </c>
      <c r="E185" s="33" t="s">
        <v>140</v>
      </c>
      <c r="F185" s="56">
        <f>D185/D147</f>
        <v>2.1607142857142856</v>
      </c>
      <c r="G185" s="33" t="s">
        <v>147</v>
      </c>
      <c r="I185" s="33"/>
      <c r="M185" s="33"/>
      <c r="O185" s="62"/>
      <c r="P185" s="62"/>
      <c r="Q185" s="33"/>
      <c r="R185" s="62"/>
      <c r="S185" s="62"/>
      <c r="T185" s="58"/>
      <c r="U185" s="33"/>
      <c r="V185" s="58"/>
      <c r="W185" s="63"/>
      <c r="X185" s="63"/>
      <c r="Y185" s="33"/>
      <c r="Z185" s="63"/>
      <c r="AA185" s="58"/>
      <c r="AB185" s="33"/>
      <c r="AC185" s="32"/>
      <c r="AD185" s="32"/>
      <c r="AE185" s="32"/>
      <c r="AF185" s="33"/>
      <c r="AG185" s="32"/>
      <c r="AI185" s="33"/>
      <c r="AM185" s="33"/>
      <c r="AQ185" s="33"/>
      <c r="AU185" s="33"/>
      <c r="AX185" s="33"/>
      <c r="BB185" s="33"/>
      <c r="BE185" s="33"/>
      <c r="BI185" s="33"/>
      <c r="BL185" s="33"/>
      <c r="BP185" s="33"/>
      <c r="BS185" s="33"/>
      <c r="BV185" s="33"/>
      <c r="BZ185" s="33"/>
      <c r="CC185" s="33"/>
    </row>
    <row r="186" spans="1:81" x14ac:dyDescent="0.3">
      <c r="A186" s="38" t="s">
        <v>184</v>
      </c>
      <c r="B186" s="44">
        <v>1</v>
      </c>
      <c r="C186" s="34" t="s">
        <v>185</v>
      </c>
      <c r="D186" s="61">
        <v>294</v>
      </c>
      <c r="E186" s="33" t="s">
        <v>140</v>
      </c>
      <c r="F186" s="56">
        <f>D186/D147</f>
        <v>2.625</v>
      </c>
      <c r="G186" s="33" t="s">
        <v>147</v>
      </c>
      <c r="I186" s="33"/>
      <c r="M186" s="33"/>
      <c r="O186" s="62"/>
      <c r="P186" s="62"/>
      <c r="Q186" s="33"/>
      <c r="R186" s="62"/>
      <c r="S186" s="62"/>
      <c r="T186" s="58"/>
      <c r="U186" s="33"/>
      <c r="V186" s="58"/>
      <c r="W186" s="63"/>
      <c r="X186" s="63"/>
      <c r="Y186" s="33"/>
      <c r="Z186" s="63"/>
      <c r="AA186" s="58"/>
      <c r="AB186" s="33"/>
      <c r="AC186" s="32"/>
      <c r="AD186" s="32"/>
      <c r="AE186" s="32"/>
      <c r="AF186" s="33"/>
      <c r="AG186" s="32"/>
      <c r="AI186" s="33"/>
      <c r="AM186" s="33"/>
      <c r="AQ186" s="33"/>
      <c r="AU186" s="33"/>
      <c r="AX186" s="33"/>
      <c r="BB186" s="33"/>
      <c r="BE186" s="33"/>
      <c r="BI186" s="33"/>
      <c r="BL186" s="33"/>
      <c r="BP186" s="33"/>
      <c r="BS186" s="33"/>
      <c r="BV186" s="33"/>
      <c r="BZ186" s="33"/>
      <c r="CC186" s="33"/>
    </row>
    <row r="187" spans="1:81" x14ac:dyDescent="0.3">
      <c r="A187" s="38" t="s">
        <v>32</v>
      </c>
      <c r="B187" s="44">
        <v>1</v>
      </c>
      <c r="C187" s="34" t="s">
        <v>290</v>
      </c>
      <c r="D187" s="56">
        <v>0.88400000000000001</v>
      </c>
      <c r="E187" s="33" t="s">
        <v>147</v>
      </c>
      <c r="I187" s="33"/>
      <c r="M187" s="33"/>
      <c r="O187" s="62"/>
      <c r="P187" s="62"/>
      <c r="Q187" s="33"/>
      <c r="R187" s="62"/>
      <c r="S187" s="62"/>
      <c r="T187" s="58"/>
      <c r="U187" s="33"/>
      <c r="V187" s="58"/>
      <c r="W187" s="63"/>
      <c r="X187" s="63"/>
      <c r="Y187" s="33"/>
      <c r="Z187" s="63"/>
      <c r="AA187" s="58"/>
      <c r="AB187" s="33"/>
      <c r="AC187" s="32"/>
      <c r="AD187" s="32"/>
      <c r="AE187" s="32"/>
      <c r="AF187" s="33"/>
      <c r="AG187" s="32"/>
      <c r="AI187" s="33"/>
      <c r="AM187" s="33"/>
      <c r="AQ187" s="33"/>
      <c r="AU187" s="33"/>
      <c r="AX187" s="33"/>
      <c r="BB187" s="33"/>
      <c r="BE187" s="33"/>
      <c r="BI187" s="33"/>
      <c r="BL187" s="33"/>
      <c r="BP187" s="33"/>
      <c r="BS187" s="33"/>
      <c r="BV187" s="33"/>
      <c r="BZ187" s="33"/>
      <c r="CC187" s="33"/>
    </row>
    <row r="188" spans="1:81" x14ac:dyDescent="0.3">
      <c r="A188" s="38" t="s">
        <v>2</v>
      </c>
      <c r="B188" s="44">
        <v>1</v>
      </c>
      <c r="C188" s="34" t="s">
        <v>158</v>
      </c>
      <c r="D188" s="61">
        <v>149</v>
      </c>
      <c r="E188" s="33" t="s">
        <v>140</v>
      </c>
      <c r="F188" s="56">
        <f>D188/D147</f>
        <v>1.3303571428571428</v>
      </c>
      <c r="G188" s="33" t="s">
        <v>147</v>
      </c>
      <c r="I188" s="33"/>
      <c r="M188" s="33"/>
      <c r="O188" s="62"/>
      <c r="P188" s="62"/>
      <c r="Q188" s="33"/>
      <c r="R188" s="62"/>
      <c r="S188" s="62"/>
      <c r="T188" s="58"/>
      <c r="U188" s="33"/>
      <c r="V188" s="58"/>
      <c r="W188" s="63"/>
      <c r="X188" s="63"/>
      <c r="Y188" s="33"/>
      <c r="Z188" s="63"/>
      <c r="AA188" s="58"/>
      <c r="AB188" s="33"/>
      <c r="AC188" s="32"/>
      <c r="AD188" s="32"/>
      <c r="AE188" s="32"/>
      <c r="AF188" s="33"/>
      <c r="AG188" s="32"/>
      <c r="AI188" s="33"/>
      <c r="AM188" s="33"/>
      <c r="AQ188" s="33"/>
      <c r="AU188" s="33"/>
      <c r="AX188" s="33"/>
      <c r="BB188" s="33"/>
      <c r="BE188" s="33"/>
      <c r="BI188" s="33"/>
      <c r="BL188" s="33"/>
      <c r="BP188" s="33"/>
      <c r="BS188" s="33"/>
      <c r="BV188" s="33"/>
      <c r="BZ188" s="33"/>
      <c r="CC188" s="33"/>
    </row>
    <row r="189" spans="1:81" x14ac:dyDescent="0.3">
      <c r="A189" s="38" t="s">
        <v>174</v>
      </c>
      <c r="B189" s="44">
        <v>1</v>
      </c>
      <c r="C189" s="34" t="s">
        <v>156</v>
      </c>
      <c r="D189" s="61">
        <v>164</v>
      </c>
      <c r="E189" s="33" t="s">
        <v>140</v>
      </c>
      <c r="F189" s="56">
        <f>D189/D147</f>
        <v>1.4642857142857142</v>
      </c>
      <c r="G189" s="33" t="s">
        <v>147</v>
      </c>
      <c r="I189" s="33"/>
      <c r="M189" s="33"/>
      <c r="O189" s="62"/>
      <c r="P189" s="62"/>
      <c r="Q189" s="33"/>
      <c r="R189" s="62"/>
      <c r="S189" s="62"/>
      <c r="T189" s="58"/>
      <c r="U189" s="33"/>
      <c r="V189" s="58"/>
      <c r="W189" s="63"/>
      <c r="X189" s="63"/>
      <c r="Y189" s="33"/>
      <c r="Z189" s="63"/>
      <c r="AA189" s="58"/>
      <c r="AB189" s="33"/>
      <c r="AC189" s="32"/>
      <c r="AD189" s="32"/>
      <c r="AE189" s="32"/>
      <c r="AF189" s="33"/>
      <c r="AG189" s="32"/>
      <c r="AI189" s="33"/>
      <c r="AM189" s="33"/>
      <c r="AQ189" s="33"/>
      <c r="AU189" s="33"/>
      <c r="AX189" s="33"/>
      <c r="BB189" s="33"/>
      <c r="BE189" s="33"/>
      <c r="BI189" s="33"/>
      <c r="BL189" s="33"/>
      <c r="BP189" s="33"/>
      <c r="BS189" s="33"/>
      <c r="BV189" s="33"/>
      <c r="BZ189" s="33"/>
      <c r="CC189" s="33"/>
    </row>
    <row r="190" spans="1:81" x14ac:dyDescent="0.3">
      <c r="A190" s="91" t="s">
        <v>186</v>
      </c>
      <c r="B190" s="44">
        <v>1</v>
      </c>
      <c r="C190" s="34" t="s">
        <v>185</v>
      </c>
      <c r="D190" s="61">
        <v>2.0271699999999999</v>
      </c>
      <c r="E190" s="33" t="s">
        <v>164</v>
      </c>
      <c r="F190" s="56">
        <f>D191*D190/D147</f>
        <v>6.0815099999999997</v>
      </c>
      <c r="G190" s="33" t="s">
        <v>147</v>
      </c>
      <c r="I190" s="33"/>
      <c r="M190" s="33"/>
      <c r="O190" s="62"/>
      <c r="P190" s="62"/>
      <c r="Q190" s="33"/>
      <c r="R190" s="62"/>
      <c r="S190" s="62"/>
      <c r="T190" s="58"/>
      <c r="U190" s="33"/>
      <c r="V190" s="58"/>
      <c r="W190" s="63"/>
      <c r="X190" s="63"/>
      <c r="Y190" s="33"/>
      <c r="Z190" s="63"/>
      <c r="AA190" s="58"/>
      <c r="AB190" s="33"/>
      <c r="AC190" s="32"/>
      <c r="AD190" s="32"/>
      <c r="AE190" s="32"/>
      <c r="AF190" s="33"/>
      <c r="AG190" s="32"/>
      <c r="AI190" s="33"/>
      <c r="AM190" s="33"/>
      <c r="AQ190" s="33"/>
      <c r="AU190" s="33"/>
      <c r="AX190" s="33"/>
      <c r="BB190" s="33"/>
      <c r="BE190" s="33"/>
      <c r="BI190" s="33"/>
      <c r="BL190" s="33"/>
      <c r="BP190" s="33"/>
      <c r="BS190" s="33"/>
      <c r="BV190" s="33"/>
      <c r="BZ190" s="33"/>
      <c r="CC190" s="33"/>
    </row>
    <row r="191" spans="1:81" x14ac:dyDescent="0.3">
      <c r="A191" s="91"/>
      <c r="B191" s="44">
        <v>1</v>
      </c>
      <c r="C191" s="34" t="s">
        <v>164</v>
      </c>
      <c r="D191" s="61">
        <v>336</v>
      </c>
      <c r="E191" s="33" t="s">
        <v>140</v>
      </c>
      <c r="F191" s="56">
        <f>D191/D147</f>
        <v>3</v>
      </c>
      <c r="G191" s="33" t="s">
        <v>147</v>
      </c>
      <c r="I191" s="33"/>
      <c r="M191" s="33"/>
      <c r="O191" s="62"/>
      <c r="P191" s="62"/>
      <c r="Q191" s="33"/>
      <c r="R191" s="62"/>
      <c r="S191" s="62"/>
      <c r="T191" s="58"/>
      <c r="U191" s="33"/>
      <c r="V191" s="58"/>
      <c r="W191" s="63"/>
      <c r="X191" s="63"/>
      <c r="Y191" s="33"/>
      <c r="Z191" s="63"/>
      <c r="AA191" s="58"/>
      <c r="AB191" s="33"/>
      <c r="AC191" s="32"/>
      <c r="AD191" s="32"/>
      <c r="AE191" s="32"/>
      <c r="AF191" s="33"/>
      <c r="AG191" s="32"/>
      <c r="AI191" s="33"/>
      <c r="AM191" s="33"/>
      <c r="AQ191" s="33"/>
      <c r="AU191" s="33"/>
      <c r="AX191" s="33"/>
      <c r="BB191" s="33"/>
      <c r="BE191" s="33"/>
      <c r="BI191" s="33"/>
      <c r="BL191" s="33"/>
      <c r="BP191" s="33"/>
      <c r="BS191" s="33"/>
      <c r="BV191" s="33"/>
      <c r="BZ191" s="33"/>
      <c r="CC191" s="33"/>
    </row>
    <row r="192" spans="1:81" x14ac:dyDescent="0.3">
      <c r="A192" s="78" t="s">
        <v>187</v>
      </c>
      <c r="B192" s="44">
        <v>1</v>
      </c>
      <c r="C192" s="34" t="s">
        <v>156</v>
      </c>
      <c r="D192" s="61">
        <v>746.66700000000003</v>
      </c>
      <c r="E192" s="33" t="s">
        <v>140</v>
      </c>
      <c r="F192" s="56">
        <f>D192/D147</f>
        <v>6.6666696428571433</v>
      </c>
      <c r="G192" s="33" t="s">
        <v>147</v>
      </c>
      <c r="I192" s="33"/>
      <c r="M192" s="33"/>
      <c r="O192" s="62"/>
      <c r="P192" s="62"/>
      <c r="Q192" s="33"/>
      <c r="R192" s="62"/>
      <c r="S192" s="62"/>
      <c r="T192" s="58"/>
      <c r="U192" s="33"/>
      <c r="V192" s="58"/>
      <c r="W192" s="63"/>
      <c r="X192" s="63"/>
      <c r="Y192" s="33"/>
      <c r="Z192" s="63"/>
      <c r="AA192" s="58"/>
      <c r="AB192" s="33"/>
      <c r="AC192" s="32"/>
      <c r="AD192" s="32"/>
      <c r="AE192" s="32"/>
      <c r="AF192" s="33"/>
      <c r="AG192" s="32"/>
      <c r="AI192" s="33"/>
      <c r="AM192" s="33"/>
      <c r="AQ192" s="33"/>
      <c r="AU192" s="33"/>
      <c r="AX192" s="33"/>
      <c r="BB192" s="33"/>
      <c r="BE192" s="33"/>
      <c r="BI192" s="33"/>
      <c r="BL192" s="33"/>
      <c r="BP192" s="33"/>
      <c r="BS192" s="33"/>
      <c r="BV192" s="33"/>
      <c r="BZ192" s="33"/>
      <c r="CC192" s="33"/>
    </row>
    <row r="193" spans="1:81" x14ac:dyDescent="0.3">
      <c r="A193" s="91" t="s">
        <v>117</v>
      </c>
      <c r="B193" s="44">
        <v>1</v>
      </c>
      <c r="C193" s="34" t="s">
        <v>182</v>
      </c>
      <c r="D193" s="61">
        <v>260</v>
      </c>
      <c r="E193" s="33" t="s">
        <v>140</v>
      </c>
      <c r="F193" s="56">
        <f>D193/D147</f>
        <v>2.3214285714285716</v>
      </c>
      <c r="G193" s="33" t="s">
        <v>147</v>
      </c>
      <c r="I193" s="33"/>
      <c r="M193" s="33"/>
      <c r="Q193" s="33"/>
      <c r="T193" s="58"/>
      <c r="U193" s="33"/>
      <c r="V193" s="58"/>
      <c r="W193" s="32"/>
      <c r="X193" s="32"/>
      <c r="Y193" s="33"/>
      <c r="Z193" s="32"/>
      <c r="AA193" s="58"/>
      <c r="AB193" s="33"/>
      <c r="AC193" s="32"/>
      <c r="AD193" s="32"/>
      <c r="AE193" s="32"/>
      <c r="AF193" s="33"/>
      <c r="AG193" s="32"/>
      <c r="AI193" s="33"/>
      <c r="AM193" s="33"/>
      <c r="AQ193" s="33"/>
      <c r="AU193" s="33"/>
      <c r="AX193" s="33"/>
      <c r="BB193" s="33"/>
      <c r="BE193" s="33"/>
      <c r="BI193" s="33"/>
      <c r="BL193" s="33"/>
      <c r="BP193" s="33"/>
      <c r="BS193" s="33"/>
      <c r="BV193" s="33"/>
      <c r="BZ193" s="33"/>
      <c r="CC193" s="33"/>
    </row>
    <row r="194" spans="1:81" x14ac:dyDescent="0.3">
      <c r="A194" s="91"/>
      <c r="B194" s="44">
        <v>1</v>
      </c>
      <c r="C194" s="34" t="s">
        <v>156</v>
      </c>
      <c r="D194" s="61">
        <v>1.5662799999999999</v>
      </c>
      <c r="E194" s="33" t="s">
        <v>147</v>
      </c>
      <c r="F194" s="56"/>
      <c r="G194" s="33"/>
      <c r="I194" s="33"/>
      <c r="M194" s="33"/>
      <c r="Q194" s="33"/>
      <c r="T194" s="58"/>
      <c r="U194" s="33"/>
      <c r="V194" s="58"/>
      <c r="W194" s="32"/>
      <c r="X194" s="32"/>
      <c r="Y194" s="33"/>
      <c r="Z194" s="32"/>
      <c r="AA194" s="58"/>
      <c r="AB194" s="33"/>
      <c r="AC194" s="32"/>
      <c r="AD194" s="32"/>
      <c r="AE194" s="32"/>
      <c r="AF194" s="33"/>
      <c r="AG194" s="32"/>
      <c r="AI194" s="33"/>
      <c r="AM194" s="33"/>
      <c r="AQ194" s="33"/>
      <c r="AU194" s="33"/>
      <c r="AX194" s="33"/>
      <c r="BB194" s="33"/>
      <c r="BE194" s="33"/>
      <c r="BI194" s="33"/>
      <c r="BL194" s="33"/>
      <c r="BP194" s="33"/>
      <c r="BS194" s="33"/>
      <c r="BV194" s="33"/>
      <c r="BZ194" s="33"/>
      <c r="CC194" s="33"/>
    </row>
    <row r="195" spans="1:81" x14ac:dyDescent="0.3">
      <c r="A195" s="91"/>
      <c r="B195" s="44">
        <v>1</v>
      </c>
      <c r="C195" s="34" t="s">
        <v>139</v>
      </c>
      <c r="D195" s="61">
        <v>560</v>
      </c>
      <c r="E195" s="33" t="s">
        <v>140</v>
      </c>
      <c r="F195" s="56">
        <f>D195/D147</f>
        <v>5</v>
      </c>
      <c r="G195" s="33" t="s">
        <v>147</v>
      </c>
      <c r="H195" s="58"/>
      <c r="I195" s="33"/>
      <c r="K195" s="58"/>
      <c r="L195" s="58"/>
      <c r="M195" s="33"/>
      <c r="Q195" s="33"/>
      <c r="U195" s="33"/>
      <c r="X195" s="32"/>
      <c r="Y195" s="33"/>
      <c r="AB195" s="33"/>
      <c r="AC195" s="58"/>
      <c r="AD195" s="58"/>
      <c r="AF195" s="33"/>
      <c r="AI195" s="33"/>
      <c r="AM195" s="33"/>
      <c r="AQ195" s="33"/>
      <c r="AU195" s="33"/>
      <c r="AV195" s="58"/>
      <c r="AX195" s="33"/>
      <c r="BB195" s="33"/>
      <c r="BE195" s="33"/>
      <c r="BI195" s="33"/>
      <c r="BL195" s="33"/>
      <c r="BP195" s="33"/>
      <c r="BS195" s="33"/>
      <c r="BV195" s="33"/>
      <c r="BZ195" s="33"/>
      <c r="CC195" s="33"/>
    </row>
    <row r="196" spans="1:81" s="32" customFormat="1" x14ac:dyDescent="0.3">
      <c r="A196" s="91" t="s">
        <v>131</v>
      </c>
      <c r="B196" s="44">
        <v>1</v>
      </c>
      <c r="C196" s="33" t="s">
        <v>164</v>
      </c>
      <c r="D196" s="65">
        <v>80</v>
      </c>
      <c r="E196" s="33" t="s">
        <v>140</v>
      </c>
      <c r="F196" s="66">
        <f>D196/D197</f>
        <v>0.7142857142857143</v>
      </c>
      <c r="G196" s="33" t="s">
        <v>147</v>
      </c>
      <c r="H196" s="65"/>
      <c r="I196" s="33"/>
      <c r="J196" s="65"/>
      <c r="K196" s="65"/>
      <c r="L196" s="65"/>
      <c r="M196" s="33"/>
      <c r="N196" s="65"/>
      <c r="O196" s="65"/>
      <c r="Q196" s="33"/>
      <c r="U196" s="33"/>
      <c r="Y196" s="33"/>
      <c r="AB196" s="33"/>
      <c r="AF196" s="33"/>
      <c r="AI196" s="33"/>
      <c r="AM196" s="33"/>
      <c r="AQ196" s="33"/>
      <c r="AU196" s="33"/>
      <c r="AX196" s="33"/>
      <c r="BB196" s="33"/>
      <c r="BE196" s="33"/>
      <c r="BI196" s="33"/>
      <c r="BL196" s="33"/>
      <c r="BP196" s="33"/>
      <c r="BS196" s="33"/>
      <c r="BV196" s="33"/>
      <c r="BZ196" s="33"/>
      <c r="CC196" s="33"/>
    </row>
    <row r="197" spans="1:81" s="32" customFormat="1" x14ac:dyDescent="0.3">
      <c r="A197" s="91"/>
      <c r="B197" s="44">
        <v>1</v>
      </c>
      <c r="C197" s="33" t="s">
        <v>147</v>
      </c>
      <c r="D197" s="65">
        <v>112</v>
      </c>
      <c r="E197" s="33" t="s">
        <v>140</v>
      </c>
      <c r="F197" s="65"/>
      <c r="G197" s="65"/>
      <c r="H197" s="65"/>
      <c r="I197" s="33"/>
      <c r="J197" s="65"/>
      <c r="K197" s="65"/>
      <c r="L197" s="65"/>
      <c r="M197" s="33"/>
      <c r="N197" s="65"/>
      <c r="O197" s="65"/>
      <c r="Q197" s="33"/>
      <c r="U197" s="33"/>
      <c r="Y197" s="33"/>
      <c r="AB197" s="33"/>
      <c r="AF197" s="33"/>
      <c r="AI197" s="33"/>
      <c r="AM197" s="33"/>
      <c r="AQ197" s="33"/>
      <c r="AU197" s="33"/>
      <c r="AX197" s="33"/>
      <c r="BB197" s="33"/>
      <c r="BE197" s="33"/>
      <c r="BI197" s="33"/>
      <c r="BL197" s="33"/>
      <c r="BP197" s="33"/>
      <c r="BS197" s="33"/>
      <c r="BV197" s="33"/>
      <c r="BZ197" s="33"/>
      <c r="CC197" s="33"/>
    </row>
    <row r="198" spans="1:81" s="32" customFormat="1" x14ac:dyDescent="0.3">
      <c r="A198" s="79" t="s">
        <v>188</v>
      </c>
      <c r="B198" s="44">
        <v>1</v>
      </c>
      <c r="C198" s="34" t="s">
        <v>164</v>
      </c>
      <c r="D198" s="61">
        <v>336</v>
      </c>
      <c r="E198" s="33" t="s">
        <v>140</v>
      </c>
      <c r="F198" s="56">
        <f>D198/D197</f>
        <v>3</v>
      </c>
      <c r="G198" s="33" t="s">
        <v>147</v>
      </c>
      <c r="H198" s="65"/>
      <c r="I198" s="33"/>
      <c r="J198" s="65"/>
      <c r="K198" s="65"/>
      <c r="L198" s="65"/>
      <c r="M198" s="33"/>
      <c r="N198" s="65"/>
      <c r="O198" s="65"/>
      <c r="Q198" s="33"/>
      <c r="U198" s="33"/>
      <c r="Y198" s="33"/>
      <c r="AB198" s="33"/>
      <c r="AF198" s="33"/>
      <c r="AI198" s="33"/>
      <c r="AM198" s="33"/>
      <c r="AQ198" s="33"/>
      <c r="AU198" s="33"/>
      <c r="AX198" s="33"/>
      <c r="BB198" s="33"/>
      <c r="BE198" s="33"/>
      <c r="BI198" s="33"/>
      <c r="BL198" s="33"/>
      <c r="BP198" s="33"/>
      <c r="BS198" s="33"/>
      <c r="BV198" s="33"/>
      <c r="BZ198" s="33"/>
      <c r="CC198" s="33"/>
    </row>
    <row r="199" spans="1:81" s="32" customFormat="1" x14ac:dyDescent="0.3">
      <c r="A199" s="38" t="s">
        <v>189</v>
      </c>
      <c r="B199" s="44">
        <v>1</v>
      </c>
      <c r="C199" s="34" t="s">
        <v>190</v>
      </c>
      <c r="D199" s="61">
        <v>9</v>
      </c>
      <c r="E199" s="33" t="s">
        <v>167</v>
      </c>
      <c r="F199" s="65"/>
      <c r="G199" s="65"/>
      <c r="H199" s="65"/>
      <c r="I199" s="33"/>
      <c r="J199" s="65"/>
      <c r="K199" s="65"/>
      <c r="L199" s="65"/>
      <c r="M199" s="33"/>
      <c r="N199" s="65"/>
      <c r="O199" s="65"/>
      <c r="Q199" s="33"/>
      <c r="U199" s="33"/>
      <c r="Y199" s="33"/>
      <c r="AB199" s="33"/>
      <c r="AF199" s="33"/>
      <c r="AI199" s="33"/>
      <c r="AM199" s="33"/>
      <c r="AQ199" s="33"/>
      <c r="AU199" s="33"/>
      <c r="AX199" s="33"/>
      <c r="BB199" s="33"/>
      <c r="BE199" s="33"/>
      <c r="BI199" s="33"/>
      <c r="BL199" s="33"/>
      <c r="BP199" s="33"/>
      <c r="BS199" s="33"/>
      <c r="BV199" s="33"/>
      <c r="BZ199" s="33"/>
      <c r="CC199" s="33"/>
    </row>
    <row r="200" spans="1:81" s="32" customFormat="1" x14ac:dyDescent="0.3">
      <c r="A200" s="38" t="s">
        <v>9</v>
      </c>
      <c r="B200" s="44">
        <v>1</v>
      </c>
      <c r="C200" s="34" t="s">
        <v>156</v>
      </c>
      <c r="D200" s="61">
        <f>756/3720</f>
        <v>0.20322580645161289</v>
      </c>
      <c r="E200" s="33" t="s">
        <v>147</v>
      </c>
      <c r="F200" s="65"/>
      <c r="G200" s="65"/>
      <c r="H200" s="65"/>
      <c r="I200" s="33"/>
      <c r="J200" s="65"/>
      <c r="K200" s="65"/>
      <c r="L200" s="65"/>
      <c r="M200" s="33"/>
      <c r="N200" s="65"/>
      <c r="O200" s="65"/>
      <c r="Q200" s="33"/>
      <c r="U200" s="33"/>
      <c r="Y200" s="33"/>
      <c r="AB200" s="33"/>
      <c r="AF200" s="33"/>
      <c r="AI200" s="33"/>
      <c r="AM200" s="33"/>
      <c r="AQ200" s="33"/>
      <c r="AU200" s="33"/>
      <c r="AX200" s="33"/>
      <c r="BB200" s="33"/>
      <c r="BE200" s="33"/>
      <c r="BI200" s="33"/>
      <c r="BL200" s="33"/>
      <c r="BP200" s="33"/>
      <c r="BS200" s="33"/>
      <c r="BV200" s="33"/>
      <c r="BZ200" s="33"/>
      <c r="CC200" s="33"/>
    </row>
    <row r="201" spans="1:81" s="32" customFormat="1" x14ac:dyDescent="0.3">
      <c r="A201" s="38" t="s">
        <v>30</v>
      </c>
      <c r="B201" s="44">
        <v>1</v>
      </c>
      <c r="C201" s="34" t="s">
        <v>158</v>
      </c>
      <c r="D201" s="61">
        <f>600/400</f>
        <v>1.5</v>
      </c>
      <c r="E201" s="33" t="s">
        <v>147</v>
      </c>
      <c r="F201" s="65"/>
      <c r="G201" s="65"/>
      <c r="H201" s="65"/>
      <c r="I201" s="33"/>
      <c r="J201" s="65"/>
      <c r="K201" s="65"/>
      <c r="L201" s="65"/>
      <c r="M201" s="33"/>
      <c r="N201" s="65"/>
      <c r="O201" s="65"/>
      <c r="Q201" s="33"/>
      <c r="U201" s="33"/>
      <c r="Y201" s="33"/>
      <c r="AB201" s="33"/>
      <c r="AF201" s="33"/>
      <c r="AI201" s="33"/>
      <c r="AM201" s="33"/>
      <c r="AQ201" s="33"/>
      <c r="AU201" s="33"/>
      <c r="AX201" s="33"/>
      <c r="BB201" s="33"/>
      <c r="BE201" s="33"/>
      <c r="BI201" s="33"/>
      <c r="BL201" s="33"/>
      <c r="BP201" s="33"/>
      <c r="BS201" s="33"/>
      <c r="BV201" s="33"/>
      <c r="BZ201" s="33"/>
      <c r="CC201" s="33"/>
    </row>
    <row r="202" spans="1:81" s="32" customFormat="1" x14ac:dyDescent="0.3">
      <c r="A202" s="38" t="s">
        <v>191</v>
      </c>
      <c r="B202" s="44">
        <v>1</v>
      </c>
      <c r="C202" s="34" t="s">
        <v>164</v>
      </c>
      <c r="D202" s="61">
        <f>600/400</f>
        <v>1.5</v>
      </c>
      <c r="E202" s="33" t="s">
        <v>147</v>
      </c>
      <c r="F202" s="65"/>
      <c r="G202" s="65"/>
      <c r="H202" s="65"/>
      <c r="I202" s="33"/>
      <c r="J202" s="65"/>
      <c r="K202" s="65"/>
      <c r="L202" s="65"/>
      <c r="M202" s="33"/>
      <c r="N202" s="65"/>
      <c r="O202" s="65"/>
      <c r="Q202" s="33"/>
      <c r="U202" s="33"/>
      <c r="Y202" s="33"/>
      <c r="AB202" s="33"/>
      <c r="AF202" s="33"/>
      <c r="AI202" s="33"/>
      <c r="AM202" s="33"/>
      <c r="AQ202" s="33"/>
      <c r="AU202" s="33"/>
      <c r="AX202" s="33"/>
      <c r="BB202" s="33"/>
      <c r="BE202" s="33"/>
      <c r="BI202" s="33"/>
      <c r="BL202" s="33"/>
      <c r="BP202" s="33"/>
      <c r="BS202" s="33"/>
      <c r="BV202" s="33"/>
      <c r="BZ202" s="33"/>
      <c r="CC202" s="33"/>
    </row>
    <row r="203" spans="1:81" s="32" customFormat="1" x14ac:dyDescent="0.3">
      <c r="A203" s="38" t="s">
        <v>45</v>
      </c>
      <c r="B203" s="44">
        <v>1</v>
      </c>
      <c r="C203" s="34" t="s">
        <v>156</v>
      </c>
      <c r="D203" s="61">
        <f>3600/2400</f>
        <v>1.5</v>
      </c>
      <c r="E203" s="33" t="s">
        <v>147</v>
      </c>
      <c r="F203" s="65"/>
      <c r="G203" s="65"/>
      <c r="H203" s="65"/>
      <c r="I203" s="33"/>
      <c r="J203" s="65"/>
      <c r="K203" s="65"/>
      <c r="L203" s="65"/>
      <c r="M203" s="33"/>
      <c r="N203" s="65"/>
      <c r="O203" s="65"/>
      <c r="Q203" s="33"/>
      <c r="U203" s="33"/>
      <c r="Y203" s="33"/>
      <c r="AB203" s="33"/>
      <c r="AF203" s="33"/>
      <c r="AI203" s="33"/>
      <c r="AM203" s="33"/>
      <c r="AQ203" s="33"/>
      <c r="AU203" s="33"/>
      <c r="AX203" s="33"/>
      <c r="BB203" s="33"/>
      <c r="BE203" s="33"/>
      <c r="BI203" s="33"/>
      <c r="BL203" s="33"/>
      <c r="BP203" s="33"/>
      <c r="BS203" s="33"/>
      <c r="BV203" s="33"/>
      <c r="BZ203" s="33"/>
      <c r="CC203" s="33"/>
    </row>
    <row r="204" spans="1:81" x14ac:dyDescent="0.3">
      <c r="A204" s="38" t="s">
        <v>192</v>
      </c>
      <c r="B204" s="44">
        <v>1</v>
      </c>
      <c r="C204" s="34" t="s">
        <v>156</v>
      </c>
      <c r="D204" s="44">
        <v>153.125</v>
      </c>
      <c r="E204" s="33" t="s">
        <v>140</v>
      </c>
      <c r="F204" s="56">
        <f>D204/D147</f>
        <v>1.3671875</v>
      </c>
      <c r="G204" s="33" t="s">
        <v>147</v>
      </c>
      <c r="H204" s="58"/>
      <c r="I204" s="33"/>
      <c r="K204" s="58"/>
      <c r="L204" s="58"/>
      <c r="M204" s="33"/>
      <c r="Q204" s="33"/>
      <c r="U204" s="33"/>
      <c r="X204" s="32"/>
      <c r="Y204" s="33"/>
      <c r="AB204" s="33"/>
      <c r="AC204" s="58"/>
      <c r="AD204" s="58"/>
      <c r="AF204" s="33"/>
      <c r="AI204" s="33"/>
      <c r="AM204" s="33"/>
      <c r="AQ204" s="33"/>
      <c r="AU204" s="33"/>
      <c r="AV204" s="58"/>
      <c r="AX204" s="33"/>
      <c r="BB204" s="33"/>
      <c r="BE204" s="33"/>
      <c r="BI204" s="33"/>
      <c r="BL204" s="33"/>
      <c r="BP204" s="33"/>
      <c r="BS204" s="33"/>
      <c r="BV204" s="33"/>
      <c r="BZ204" s="33"/>
      <c r="CC204" s="33"/>
    </row>
    <row r="205" spans="1:81" s="32" customFormat="1" x14ac:dyDescent="0.3">
      <c r="A205" s="91" t="s">
        <v>130</v>
      </c>
      <c r="B205" s="44">
        <v>1</v>
      </c>
      <c r="C205" s="33" t="s">
        <v>181</v>
      </c>
      <c r="D205" s="61">
        <v>1</v>
      </c>
      <c r="E205" s="33" t="s">
        <v>164</v>
      </c>
      <c r="F205" s="56">
        <f>F206</f>
        <v>3.0446428571428572</v>
      </c>
      <c r="G205" s="33" t="s">
        <v>147</v>
      </c>
      <c r="I205" s="33"/>
      <c r="M205" s="33"/>
      <c r="Q205" s="33"/>
      <c r="U205" s="33"/>
      <c r="Y205" s="33"/>
      <c r="AB205" s="33"/>
      <c r="AF205" s="33"/>
      <c r="AI205" s="33"/>
      <c r="AM205" s="33"/>
      <c r="AQ205" s="33"/>
      <c r="AU205" s="33"/>
      <c r="AX205" s="33"/>
      <c r="BB205" s="33"/>
      <c r="BE205" s="33"/>
      <c r="BI205" s="33"/>
      <c r="BL205" s="33"/>
      <c r="BP205" s="33"/>
      <c r="BS205" s="33"/>
      <c r="BV205" s="33"/>
      <c r="BZ205" s="33"/>
      <c r="CC205" s="33"/>
    </row>
    <row r="206" spans="1:81" s="32" customFormat="1" x14ac:dyDescent="0.3">
      <c r="A206" s="91"/>
      <c r="B206" s="44">
        <v>1</v>
      </c>
      <c r="C206" s="33" t="s">
        <v>164</v>
      </c>
      <c r="D206" s="61">
        <f>(355+327)/2</f>
        <v>341</v>
      </c>
      <c r="E206" s="33" t="s">
        <v>140</v>
      </c>
      <c r="F206" s="56">
        <f>D206/D147</f>
        <v>3.0446428571428572</v>
      </c>
      <c r="G206" s="33" t="s">
        <v>147</v>
      </c>
      <c r="I206" s="33"/>
      <c r="M206" s="33"/>
      <c r="Q206" s="33"/>
      <c r="U206" s="33"/>
      <c r="Y206" s="33"/>
      <c r="AB206" s="33"/>
      <c r="AF206" s="33"/>
      <c r="AI206" s="33"/>
      <c r="AM206" s="33"/>
      <c r="AQ206" s="33"/>
      <c r="AU206" s="33"/>
      <c r="AX206" s="33"/>
      <c r="BB206" s="33"/>
      <c r="BE206" s="33"/>
      <c r="BI206" s="33"/>
      <c r="BL206" s="33"/>
      <c r="BP206" s="33"/>
      <c r="BS206" s="33"/>
      <c r="BV206" s="33"/>
      <c r="BZ206" s="33"/>
      <c r="CC206" s="33"/>
    </row>
    <row r="207" spans="1:81" s="32" customFormat="1" x14ac:dyDescent="0.3">
      <c r="A207" s="91"/>
      <c r="B207" s="44">
        <v>1</v>
      </c>
      <c r="C207" s="34" t="s">
        <v>193</v>
      </c>
      <c r="D207" s="61">
        <f>(2.2+2.5)/2</f>
        <v>2.35</v>
      </c>
      <c r="E207" s="33" t="s">
        <v>140</v>
      </c>
      <c r="F207" s="56">
        <f>D207/D147</f>
        <v>2.0982142857142859E-2</v>
      </c>
      <c r="G207" s="33" t="s">
        <v>147</v>
      </c>
      <c r="I207" s="33"/>
      <c r="M207" s="33"/>
      <c r="Q207" s="33"/>
      <c r="U207" s="33"/>
      <c r="Y207" s="33"/>
      <c r="AB207" s="33"/>
      <c r="AF207" s="33"/>
      <c r="AI207" s="33"/>
      <c r="AM207" s="33"/>
      <c r="AQ207" s="33"/>
      <c r="AU207" s="33"/>
      <c r="AX207" s="33"/>
      <c r="BB207" s="33"/>
      <c r="BE207" s="33"/>
      <c r="BI207" s="33"/>
      <c r="BL207" s="33"/>
      <c r="BP207" s="33"/>
      <c r="BS207" s="33"/>
      <c r="BV207" s="33"/>
      <c r="BZ207" s="33"/>
      <c r="CC207" s="33"/>
    </row>
    <row r="208" spans="1:81" s="43" customFormat="1" x14ac:dyDescent="0.3">
      <c r="A208" s="38" t="s">
        <v>194</v>
      </c>
      <c r="B208" s="44">
        <v>1</v>
      </c>
      <c r="C208" s="34" t="s">
        <v>181</v>
      </c>
      <c r="D208" s="61">
        <v>640</v>
      </c>
      <c r="E208" s="33" t="s">
        <v>140</v>
      </c>
      <c r="F208" s="56">
        <f>D208/D147</f>
        <v>5.7142857142857144</v>
      </c>
      <c r="G208" s="33" t="s">
        <v>147</v>
      </c>
      <c r="H208" s="39"/>
      <c r="I208" s="33"/>
      <c r="J208" s="40"/>
      <c r="K208" s="39"/>
      <c r="L208" s="39"/>
      <c r="M208" s="33"/>
      <c r="N208" s="40"/>
      <c r="O208" s="39"/>
      <c r="P208" s="39"/>
      <c r="Q208" s="33"/>
      <c r="R208" s="39"/>
      <c r="S208" s="40"/>
      <c r="T208" s="39"/>
      <c r="U208" s="33"/>
      <c r="V208" s="39"/>
      <c r="W208" s="39"/>
      <c r="X208" s="40"/>
      <c r="Y208" s="33"/>
      <c r="Z208" s="39"/>
      <c r="AA208" s="41"/>
      <c r="AB208" s="33"/>
      <c r="AC208" s="39"/>
      <c r="AD208" s="42"/>
      <c r="AE208" s="39"/>
      <c r="AF208" s="33"/>
      <c r="AG208" s="40"/>
      <c r="AH208" s="39"/>
      <c r="AI208" s="33"/>
      <c r="AJ208" s="39"/>
      <c r="AK208" s="39"/>
      <c r="AL208" s="40"/>
      <c r="AM208" s="33"/>
      <c r="AN208" s="39"/>
      <c r="AO208" s="40"/>
      <c r="AP208" s="39"/>
      <c r="AQ208" s="33"/>
      <c r="AR208" s="40"/>
      <c r="AS208" s="39"/>
      <c r="AT208" s="40"/>
      <c r="AU208" s="33"/>
      <c r="AV208" s="39"/>
      <c r="AW208" s="40"/>
      <c r="AX208" s="33"/>
      <c r="AY208" s="39"/>
      <c r="AZ208" s="42"/>
      <c r="BA208" s="39"/>
      <c r="BB208" s="33"/>
      <c r="BE208" s="33"/>
      <c r="BI208" s="33"/>
      <c r="BL208" s="33"/>
      <c r="BP208" s="33"/>
      <c r="BS208" s="33"/>
      <c r="BV208" s="33"/>
      <c r="BZ208" s="33"/>
      <c r="CC208" s="33"/>
    </row>
    <row r="209" spans="1:81" s="43" customFormat="1" x14ac:dyDescent="0.3">
      <c r="A209" s="91" t="s">
        <v>135</v>
      </c>
      <c r="B209" s="44">
        <v>1</v>
      </c>
      <c r="C209" s="34" t="s">
        <v>195</v>
      </c>
      <c r="D209" s="61">
        <v>196</v>
      </c>
      <c r="E209" s="33" t="s">
        <v>140</v>
      </c>
      <c r="F209" s="56">
        <f>D209/D147</f>
        <v>1.75</v>
      </c>
      <c r="G209" s="33" t="s">
        <v>147</v>
      </c>
      <c r="H209" s="39"/>
      <c r="I209" s="33"/>
      <c r="J209" s="39"/>
      <c r="K209" s="42"/>
      <c r="L209" s="39"/>
      <c r="M209" s="33"/>
      <c r="N209" s="39"/>
      <c r="O209" s="42"/>
      <c r="P209" s="39"/>
      <c r="Q209" s="33"/>
      <c r="R209" s="39"/>
      <c r="S209" s="39"/>
      <c r="T209" s="42"/>
      <c r="U209" s="33"/>
      <c r="V209" s="39"/>
      <c r="W209" s="39"/>
      <c r="X209" s="39"/>
      <c r="Y209" s="33"/>
      <c r="Z209" s="42"/>
      <c r="AA209" s="39"/>
      <c r="AB209" s="33"/>
      <c r="AD209" s="39"/>
      <c r="AE209" s="42"/>
      <c r="AF209" s="33"/>
      <c r="AG209" s="39"/>
      <c r="AH209" s="42"/>
      <c r="AI209" s="33"/>
      <c r="AJ209" s="39"/>
      <c r="AK209" s="39"/>
      <c r="AL209" s="39"/>
      <c r="AM209" s="33"/>
      <c r="AN209" s="42"/>
      <c r="AO209" s="39"/>
      <c r="AP209" s="42"/>
      <c r="AQ209" s="33"/>
      <c r="AR209" s="39"/>
      <c r="AS209" s="42"/>
      <c r="AT209" s="39"/>
      <c r="AU209" s="33"/>
      <c r="AV209" s="40"/>
      <c r="AW209" s="39"/>
      <c r="AX209" s="33"/>
      <c r="AY209" s="42"/>
      <c r="AZ209" s="39"/>
      <c r="BA209" s="42"/>
      <c r="BB209" s="33"/>
      <c r="BC209" s="39"/>
      <c r="BE209" s="33"/>
      <c r="BI209" s="33"/>
      <c r="BL209" s="33"/>
      <c r="BP209" s="33"/>
      <c r="BS209" s="33"/>
      <c r="BV209" s="33"/>
      <c r="BZ209" s="33"/>
      <c r="CC209" s="33"/>
    </row>
    <row r="210" spans="1:81" ht="13.8" customHeight="1" x14ac:dyDescent="0.3">
      <c r="A210" s="91"/>
      <c r="B210" s="44">
        <v>1</v>
      </c>
      <c r="C210" s="34" t="s">
        <v>196</v>
      </c>
      <c r="D210" s="61">
        <v>280</v>
      </c>
      <c r="E210" s="33" t="s">
        <v>140</v>
      </c>
      <c r="F210" s="56">
        <f>D210/D147</f>
        <v>2.5</v>
      </c>
      <c r="G210" s="33" t="s">
        <v>147</v>
      </c>
      <c r="I210" s="33"/>
      <c r="M210" s="33"/>
      <c r="Q210" s="33"/>
      <c r="U210" s="33"/>
      <c r="Y210" s="33"/>
      <c r="AB210" s="33"/>
      <c r="AF210" s="33"/>
      <c r="AI210" s="33"/>
      <c r="AM210" s="33"/>
      <c r="AQ210" s="33"/>
      <c r="AU210" s="33"/>
      <c r="AX210" s="33"/>
      <c r="BB210" s="33"/>
      <c r="BE210" s="33"/>
      <c r="BI210" s="33"/>
      <c r="BL210" s="33"/>
      <c r="BP210" s="33"/>
      <c r="BS210" s="33"/>
      <c r="BV210" s="33"/>
      <c r="BZ210" s="33"/>
      <c r="CC210" s="33"/>
    </row>
    <row r="211" spans="1:81" x14ac:dyDescent="0.3">
      <c r="A211" s="73" t="s">
        <v>120</v>
      </c>
      <c r="B211" s="44">
        <v>1</v>
      </c>
      <c r="C211" s="34" t="s">
        <v>158</v>
      </c>
      <c r="D211" s="61">
        <v>112</v>
      </c>
      <c r="E211" s="33" t="s">
        <v>140</v>
      </c>
      <c r="F211" s="56">
        <f>D211/D147</f>
        <v>1</v>
      </c>
      <c r="G211" s="33" t="s">
        <v>147</v>
      </c>
      <c r="I211" s="33"/>
      <c r="M211" s="33"/>
      <c r="Q211" s="33"/>
      <c r="U211" s="33"/>
      <c r="Y211" s="33"/>
      <c r="AB211" s="33"/>
      <c r="AF211" s="33"/>
      <c r="AI211" s="33"/>
      <c r="AM211" s="33"/>
      <c r="AQ211" s="33"/>
      <c r="AU211" s="33"/>
      <c r="AX211" s="33"/>
      <c r="BB211" s="33"/>
      <c r="BE211" s="33"/>
      <c r="BI211" s="33"/>
      <c r="BL211" s="33"/>
      <c r="BP211" s="33"/>
      <c r="BS211" s="33"/>
      <c r="BV211" s="33"/>
      <c r="BZ211" s="33"/>
      <c r="CC211" s="33"/>
    </row>
    <row r="212" spans="1:81" x14ac:dyDescent="0.3">
      <c r="A212" s="73" t="s">
        <v>126</v>
      </c>
      <c r="B212" s="44">
        <v>1</v>
      </c>
      <c r="C212" s="34" t="s">
        <v>164</v>
      </c>
      <c r="D212" s="61">
        <v>0.67513000000000001</v>
      </c>
      <c r="E212" s="33" t="s">
        <v>147</v>
      </c>
      <c r="F212" s="56"/>
      <c r="G212" s="33"/>
      <c r="I212" s="33"/>
      <c r="M212" s="33"/>
      <c r="Q212" s="33"/>
      <c r="U212" s="33"/>
      <c r="Y212" s="33"/>
      <c r="AB212" s="33"/>
      <c r="AF212" s="33"/>
      <c r="AI212" s="33"/>
      <c r="AM212" s="33"/>
      <c r="AQ212" s="33"/>
      <c r="AU212" s="33"/>
      <c r="AX212" s="33"/>
      <c r="BB212" s="33"/>
      <c r="BE212" s="33"/>
      <c r="BI212" s="33"/>
      <c r="BL212" s="33"/>
      <c r="BP212" s="33"/>
      <c r="BS212" s="33"/>
      <c r="BV212" s="33"/>
      <c r="BZ212" s="33"/>
      <c r="CC212" s="33"/>
    </row>
    <row r="213" spans="1:81" x14ac:dyDescent="0.3">
      <c r="A213" s="73" t="s">
        <v>12</v>
      </c>
      <c r="B213" s="44">
        <v>1</v>
      </c>
      <c r="C213" s="34" t="s">
        <v>185</v>
      </c>
      <c r="D213" s="61">
        <v>2.3997510000000002</v>
      </c>
      <c r="E213" s="33" t="s">
        <v>147</v>
      </c>
      <c r="F213" s="56"/>
      <c r="G213" s="33"/>
      <c r="I213" s="33"/>
      <c r="M213" s="33"/>
      <c r="Q213" s="33"/>
      <c r="U213" s="33"/>
      <c r="Y213" s="33"/>
      <c r="AB213" s="33"/>
      <c r="AF213" s="33"/>
      <c r="AI213" s="33"/>
      <c r="AM213" s="33"/>
      <c r="AQ213" s="33"/>
      <c r="AU213" s="33"/>
      <c r="AX213" s="33"/>
      <c r="BB213" s="33"/>
      <c r="BE213" s="33"/>
      <c r="BI213" s="33"/>
      <c r="BL213" s="33"/>
      <c r="BP213" s="33"/>
      <c r="BS213" s="33"/>
      <c r="BV213" s="33"/>
      <c r="BZ213" s="33"/>
      <c r="CC213" s="33"/>
    </row>
  </sheetData>
  <mergeCells count="63">
    <mergeCell ref="A196:A197"/>
    <mergeCell ref="A205:A207"/>
    <mergeCell ref="A209:A210"/>
    <mergeCell ref="A177:A178"/>
    <mergeCell ref="A179:A180"/>
    <mergeCell ref="A181:A182"/>
    <mergeCell ref="A183:A184"/>
    <mergeCell ref="A190:A191"/>
    <mergeCell ref="A193:A195"/>
    <mergeCell ref="B148:B149"/>
    <mergeCell ref="C148:C149"/>
    <mergeCell ref="D148:D149"/>
    <mergeCell ref="E148:E149"/>
    <mergeCell ref="A173:A174"/>
    <mergeCell ref="A175:A176"/>
    <mergeCell ref="BR2:BS2"/>
    <mergeCell ref="BU2:BV2"/>
    <mergeCell ref="BY2:BZ2"/>
    <mergeCell ref="CB2:CC2"/>
    <mergeCell ref="B134:B135"/>
    <mergeCell ref="C134:C135"/>
    <mergeCell ref="D134:D135"/>
    <mergeCell ref="E134:E135"/>
    <mergeCell ref="AW2:AX2"/>
    <mergeCell ref="BA2:BB2"/>
    <mergeCell ref="BD2:BE2"/>
    <mergeCell ref="BH2:BI2"/>
    <mergeCell ref="BK2:BL2"/>
    <mergeCell ref="BO2:BP2"/>
    <mergeCell ref="AA2:AB2"/>
    <mergeCell ref="AE2:AF2"/>
    <mergeCell ref="AH2:AI2"/>
    <mergeCell ref="AL2:AM2"/>
    <mergeCell ref="AP2:AQ2"/>
    <mergeCell ref="AT2:AU2"/>
    <mergeCell ref="BR1:BT1"/>
    <mergeCell ref="BU1:BW1"/>
    <mergeCell ref="BY1:CA1"/>
    <mergeCell ref="CB1:CD1"/>
    <mergeCell ref="D2:E2"/>
    <mergeCell ref="H2:I2"/>
    <mergeCell ref="L2:M2"/>
    <mergeCell ref="P2:Q2"/>
    <mergeCell ref="T2:U2"/>
    <mergeCell ref="X2:Y2"/>
    <mergeCell ref="AW1:AY1"/>
    <mergeCell ref="BA1:BC1"/>
    <mergeCell ref="BD1:BF1"/>
    <mergeCell ref="BH1:BJ1"/>
    <mergeCell ref="BK1:BM1"/>
    <mergeCell ref="BO1:BQ1"/>
    <mergeCell ref="AT1:AV1"/>
    <mergeCell ref="D1:F1"/>
    <mergeCell ref="H1:J1"/>
    <mergeCell ref="L1:N1"/>
    <mergeCell ref="P1:R1"/>
    <mergeCell ref="T1:V1"/>
    <mergeCell ref="X1:Y1"/>
    <mergeCell ref="AA1:AC1"/>
    <mergeCell ref="AE1:AG1"/>
    <mergeCell ref="AH1:AJ1"/>
    <mergeCell ref="AL1:AN1"/>
    <mergeCell ref="AP1:AR1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zoomScaleNormal="100" workbookViewId="0">
      <selection activeCell="B6" sqref="B6"/>
    </sheetView>
  </sheetViews>
  <sheetFormatPr defaultRowHeight="14.4" x14ac:dyDescent="0.3"/>
  <sheetData>
    <row r="2" spans="1:2" x14ac:dyDescent="0.3">
      <c r="A2" s="1"/>
      <c r="B2" s="45" t="s">
        <v>200</v>
      </c>
    </row>
    <row r="4" spans="1:2" x14ac:dyDescent="0.3">
      <c r="A4" s="75"/>
      <c r="B4" s="45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Intro</vt:lpstr>
      <vt:lpstr>Lingah - Prices (Imports)</vt:lpstr>
      <vt:lpstr>Lingah - Prices (Exports)</vt:lpstr>
      <vt:lpstr>Imports - Data (Raw)</vt:lpstr>
      <vt:lpstr>Imports - Data (Adjusted)</vt:lpstr>
      <vt:lpstr>Exports - Data (Raw)</vt:lpstr>
      <vt:lpstr>Exports - Data (Adjusted)</vt:lpstr>
      <vt:lpstr>Color Legend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Rai Ghulam Mustafa</cp:lastModifiedBy>
  <dcterms:created xsi:type="dcterms:W3CDTF">2016-09-05T05:21:00Z</dcterms:created>
  <dcterms:modified xsi:type="dcterms:W3CDTF">2018-11-07T06:59:05Z</dcterms:modified>
</cp:coreProperties>
</file>