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drawings/drawing2.xml" ContentType="application/vnd.openxmlformats-officedocument.drawing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4.xml" ContentType="application/vnd.openxmlformats-officedocument.drawing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drawings/drawing5.xml" ContentType="application/vnd.openxmlformats-officedocument.drawing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drawings/drawing6.xml" ContentType="application/vnd.openxmlformats-officedocument.drawing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drawings/drawing7.xml" ContentType="application/vnd.openxmlformats-officedocument.drawing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gm12\Dropbox\REFdata\20180215 Files added by Mustafa\Commodity Tables\Updated\"/>
    </mc:Choice>
  </mc:AlternateContent>
  <bookViews>
    <workbookView xWindow="600" yWindow="456" windowWidth="19680" windowHeight="8088" tabRatio="1000"/>
  </bookViews>
  <sheets>
    <sheet name="Intro" sheetId="13" r:id="rId1"/>
    <sheet name="Kerosene (All)" sheetId="1" r:id="rId2"/>
    <sheet name="Graphs (All)" sheetId="2" r:id="rId3"/>
    <sheet name="Collective Graph (All)" sheetId="3" r:id="rId4"/>
    <sheet name="Kerosene (Adjusted)" sheetId="15" r:id="rId5"/>
    <sheet name="Graph - 1" sheetId="17" r:id="rId6"/>
    <sheet name="Graph - 2" sheetId="18" r:id="rId7"/>
    <sheet name="Graph - 3" sheetId="28" r:id="rId8"/>
    <sheet name="Graph - 4" sheetId="29" r:id="rId9"/>
    <sheet name="Graph - 5" sheetId="30" r:id="rId10"/>
  </sheets>
  <calcPr calcId="152511"/>
</workbook>
</file>

<file path=xl/calcChain.xml><?xml version="1.0" encoding="utf-8"?>
<calcChain xmlns="http://schemas.openxmlformats.org/spreadsheetml/2006/main">
  <c r="AP61" i="15" l="1"/>
  <c r="CN61" i="1"/>
  <c r="CN60" i="1"/>
  <c r="T79" i="15" l="1"/>
  <c r="T78" i="15"/>
  <c r="T77" i="15"/>
  <c r="AY79" i="1"/>
  <c r="AY78" i="1"/>
  <c r="AY77" i="1"/>
  <c r="E37" i="15" l="1"/>
  <c r="E36" i="15"/>
  <c r="E34" i="15"/>
  <c r="H37" i="1"/>
  <c r="H36" i="1"/>
  <c r="F37" i="1"/>
  <c r="F36" i="1"/>
  <c r="F34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6" i="1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AI6" i="15"/>
  <c r="AJ6" i="15"/>
  <c r="AK6" i="15"/>
  <c r="AL6" i="15"/>
  <c r="AM6" i="15"/>
  <c r="AN6" i="15"/>
  <c r="AO6" i="15"/>
  <c r="AP6" i="15"/>
  <c r="AQ6" i="15"/>
  <c r="AR6" i="15"/>
  <c r="AS6" i="15"/>
  <c r="AT6" i="15"/>
  <c r="AU6" i="15"/>
  <c r="C6" i="15"/>
  <c r="AT68" i="15" l="1"/>
  <c r="AT67" i="15"/>
  <c r="AT66" i="15"/>
  <c r="AT65" i="15"/>
  <c r="AT64" i="15"/>
  <c r="AT63" i="15"/>
  <c r="AT62" i="15"/>
  <c r="AT61" i="15"/>
  <c r="AT60" i="15"/>
  <c r="AT59" i="15"/>
  <c r="AT58" i="15"/>
  <c r="AT57" i="15"/>
  <c r="AT56" i="15"/>
  <c r="AT55" i="15"/>
  <c r="AT54" i="15"/>
  <c r="AS79" i="15"/>
  <c r="AR79" i="15"/>
  <c r="AS78" i="15"/>
  <c r="AR78" i="15"/>
  <c r="AS77" i="15"/>
  <c r="AR77" i="15"/>
  <c r="AS76" i="15"/>
  <c r="AR76" i="15"/>
  <c r="AR75" i="15"/>
  <c r="AS74" i="15"/>
  <c r="AR74" i="15"/>
  <c r="AR73" i="15"/>
  <c r="AS68" i="15"/>
  <c r="AR68" i="15"/>
  <c r="AS67" i="15"/>
  <c r="AR67" i="15"/>
  <c r="AS66" i="15"/>
  <c r="AR66" i="15"/>
  <c r="AS65" i="15"/>
  <c r="AR65" i="15"/>
  <c r="AS64" i="15"/>
  <c r="AR64" i="15"/>
  <c r="AS63" i="15"/>
  <c r="AR63" i="15"/>
  <c r="AS62" i="15"/>
  <c r="AR62" i="15"/>
  <c r="AS61" i="15"/>
  <c r="AR61" i="15"/>
  <c r="AS60" i="15"/>
  <c r="AR60" i="15"/>
  <c r="AS59" i="15"/>
  <c r="AR59" i="15"/>
  <c r="AS58" i="15"/>
  <c r="AR58" i="15"/>
  <c r="AS57" i="15"/>
  <c r="AR57" i="15"/>
  <c r="AS56" i="15"/>
  <c r="AR56" i="15"/>
  <c r="AS54" i="15"/>
  <c r="AR54" i="15"/>
  <c r="AQ76" i="15"/>
  <c r="AQ75" i="15"/>
  <c r="AQ74" i="15"/>
  <c r="AQ73" i="15"/>
  <c r="AQ72" i="15"/>
  <c r="AQ71" i="15"/>
  <c r="AQ70" i="15"/>
  <c r="AQ69" i="15"/>
  <c r="AQ68" i="15"/>
  <c r="AQ67" i="15"/>
  <c r="AQ66" i="15"/>
  <c r="AQ57" i="15"/>
  <c r="AO78" i="15"/>
  <c r="AO77" i="15"/>
  <c r="AO76" i="15"/>
  <c r="AO75" i="15"/>
  <c r="AO74" i="15"/>
  <c r="AO73" i="15"/>
  <c r="AO72" i="15"/>
  <c r="AO71" i="15"/>
  <c r="AO70" i="15"/>
  <c r="AO69" i="15"/>
  <c r="AO68" i="15"/>
  <c r="AO67" i="15"/>
  <c r="AO66" i="15"/>
  <c r="AO65" i="15"/>
  <c r="AO64" i="15"/>
  <c r="AO63" i="15"/>
  <c r="AO62" i="15"/>
  <c r="AO61" i="15"/>
  <c r="AP60" i="15"/>
  <c r="AO60" i="15"/>
  <c r="AP59" i="15"/>
  <c r="AO59" i="15"/>
  <c r="AP58" i="15"/>
  <c r="AO58" i="15"/>
  <c r="AP57" i="15"/>
  <c r="AO57" i="15"/>
  <c r="AP56" i="15"/>
  <c r="AO56" i="15"/>
  <c r="AP55" i="15"/>
  <c r="AO55" i="15"/>
  <c r="AP54" i="15"/>
  <c r="AO54" i="15"/>
  <c r="AP53" i="15"/>
  <c r="AO53" i="15"/>
  <c r="AP52" i="15"/>
  <c r="AO52" i="15"/>
  <c r="AP51" i="15"/>
  <c r="AO51" i="15"/>
  <c r="AP50" i="15"/>
  <c r="AO50" i="15"/>
  <c r="AP49" i="15"/>
  <c r="AO49" i="15"/>
  <c r="AP48" i="15"/>
  <c r="AO48" i="15"/>
  <c r="AP47" i="15"/>
  <c r="AO47" i="15"/>
  <c r="AP46" i="15"/>
  <c r="AO46" i="15"/>
  <c r="AO45" i="15"/>
  <c r="AO44" i="15"/>
  <c r="AO43" i="15"/>
  <c r="AP42" i="15"/>
  <c r="AO42" i="15"/>
  <c r="AO41" i="15"/>
  <c r="AN80" i="15"/>
  <c r="AM80" i="15"/>
  <c r="AN79" i="15"/>
  <c r="AM79" i="15"/>
  <c r="AN78" i="15"/>
  <c r="AM78" i="15"/>
  <c r="AN77" i="15"/>
  <c r="AM77" i="15"/>
  <c r="AN76" i="15"/>
  <c r="AN75" i="15"/>
  <c r="AN74" i="15"/>
  <c r="AM74" i="15"/>
  <c r="AN73" i="15"/>
  <c r="AM73" i="15"/>
  <c r="AN72" i="15"/>
  <c r="AM72" i="15"/>
  <c r="AN71" i="15"/>
  <c r="AM71" i="15"/>
  <c r="AN70" i="15"/>
  <c r="AM70" i="15"/>
  <c r="AN69" i="15"/>
  <c r="AM69" i="15"/>
  <c r="AN68" i="15"/>
  <c r="AM68" i="15"/>
  <c r="AN67" i="15"/>
  <c r="AM67" i="15"/>
  <c r="AN66" i="15"/>
  <c r="AM66" i="15"/>
  <c r="AN65" i="15"/>
  <c r="AM64" i="15"/>
  <c r="AM63" i="15"/>
  <c r="AL62" i="15"/>
  <c r="AL61" i="15"/>
  <c r="AL60" i="15"/>
  <c r="AL59" i="15"/>
  <c r="AL58" i="15"/>
  <c r="AI77" i="15"/>
  <c r="AI76" i="15"/>
  <c r="AI75" i="15"/>
  <c r="AH75" i="15"/>
  <c r="AH74" i="15"/>
  <c r="AH73" i="15"/>
  <c r="AG59" i="15"/>
  <c r="AG58" i="15"/>
  <c r="AD77" i="15"/>
  <c r="AD76" i="15"/>
  <c r="AD75" i="15"/>
  <c r="AD74" i="15"/>
  <c r="AD73" i="15"/>
  <c r="AE64" i="15"/>
  <c r="AE60" i="15"/>
  <c r="AD60" i="15"/>
  <c r="AE59" i="15"/>
  <c r="AE58" i="15"/>
  <c r="AD58" i="15"/>
  <c r="AE57" i="15"/>
  <c r="AD42" i="15"/>
  <c r="AE41" i="15"/>
  <c r="AC79" i="15"/>
  <c r="AA79" i="15"/>
  <c r="AA78" i="15"/>
  <c r="AB77" i="15"/>
  <c r="AA77" i="15"/>
  <c r="AB76" i="15"/>
  <c r="AA76" i="15"/>
  <c r="AA75" i="15"/>
  <c r="AA74" i="15"/>
  <c r="AA73" i="15"/>
  <c r="AA72" i="15"/>
  <c r="AB61" i="15"/>
  <c r="X79" i="15"/>
  <c r="X78" i="15"/>
  <c r="X77" i="15"/>
  <c r="X72" i="15"/>
  <c r="Z71" i="15"/>
  <c r="Y71" i="15"/>
  <c r="X71" i="15"/>
  <c r="Y70" i="15"/>
  <c r="Z69" i="15"/>
  <c r="Y67" i="15"/>
  <c r="W79" i="15"/>
  <c r="V79" i="15"/>
  <c r="W78" i="15"/>
  <c r="V78" i="15"/>
  <c r="W77" i="15"/>
  <c r="V77" i="15"/>
  <c r="W76" i="15"/>
  <c r="V76" i="15"/>
  <c r="W75" i="15"/>
  <c r="V75" i="15"/>
  <c r="W74" i="15"/>
  <c r="V74" i="15"/>
  <c r="W73" i="15"/>
  <c r="V73" i="15"/>
  <c r="W72" i="15"/>
  <c r="V72" i="15"/>
  <c r="W71" i="15"/>
  <c r="V71" i="15"/>
  <c r="W70" i="15"/>
  <c r="V70" i="15"/>
  <c r="W69" i="15"/>
  <c r="V69" i="15"/>
  <c r="U79" i="15"/>
  <c r="U73" i="15"/>
  <c r="U72" i="15"/>
  <c r="T62" i="15"/>
  <c r="P77" i="15"/>
  <c r="P74" i="15"/>
  <c r="O74" i="15"/>
  <c r="O67" i="15"/>
  <c r="O66" i="15"/>
  <c r="O65" i="15"/>
  <c r="J47" i="15"/>
  <c r="H80" i="15"/>
  <c r="F80" i="15"/>
  <c r="H79" i="15"/>
  <c r="F79" i="15"/>
  <c r="F78" i="15"/>
  <c r="F77" i="15"/>
  <c r="H76" i="15"/>
  <c r="F76" i="15"/>
  <c r="F75" i="15"/>
  <c r="F74" i="15"/>
  <c r="F73" i="15"/>
  <c r="F72" i="15"/>
  <c r="F71" i="15"/>
  <c r="F70" i="15"/>
  <c r="F69" i="15"/>
  <c r="F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I51" i="15"/>
  <c r="E64" i="15"/>
  <c r="T47" i="1"/>
  <c r="K80" i="1"/>
  <c r="AY62" i="1"/>
  <c r="BK79" i="1" l="1"/>
  <c r="BK78" i="1"/>
  <c r="BK77" i="1"/>
  <c r="BK76" i="1"/>
  <c r="BQ42" i="1"/>
  <c r="BR41" i="1"/>
  <c r="CT79" i="1"/>
  <c r="CT78" i="1"/>
  <c r="CT77" i="1"/>
  <c r="CT76" i="1"/>
  <c r="CT74" i="1"/>
  <c r="CT68" i="1"/>
  <c r="CT67" i="1"/>
  <c r="CT66" i="1"/>
  <c r="CT65" i="1"/>
  <c r="CT64" i="1"/>
  <c r="CT63" i="1"/>
  <c r="CT62" i="1"/>
  <c r="CT61" i="1"/>
  <c r="CT60" i="1"/>
  <c r="CT59" i="1"/>
  <c r="CT58" i="1"/>
  <c r="CT57" i="1"/>
  <c r="CT56" i="1"/>
  <c r="CT54" i="1"/>
  <c r="CS79" i="1"/>
  <c r="CS78" i="1"/>
  <c r="CS77" i="1"/>
  <c r="CS76" i="1"/>
  <c r="CS75" i="1"/>
  <c r="CS74" i="1"/>
  <c r="CS73" i="1"/>
  <c r="CS68" i="1"/>
  <c r="CS67" i="1"/>
  <c r="CS66" i="1"/>
  <c r="CS65" i="1"/>
  <c r="CS64" i="1"/>
  <c r="CS63" i="1"/>
  <c r="CS62" i="1"/>
  <c r="CS61" i="1"/>
  <c r="CS60" i="1"/>
  <c r="CS59" i="1"/>
  <c r="CS58" i="1"/>
  <c r="CS57" i="1"/>
  <c r="CS56" i="1"/>
  <c r="CS54" i="1"/>
  <c r="CP76" i="1"/>
  <c r="CP75" i="1"/>
  <c r="CP74" i="1"/>
  <c r="CP73" i="1"/>
  <c r="CP72" i="1"/>
  <c r="CP71" i="1"/>
  <c r="CP70" i="1"/>
  <c r="CJ61" i="1"/>
  <c r="CJ62" i="1"/>
  <c r="CJ60" i="1"/>
  <c r="CJ59" i="1"/>
  <c r="CJ58" i="1"/>
  <c r="BY58" i="1"/>
  <c r="CB77" i="1"/>
  <c r="CB76" i="1"/>
  <c r="CB75" i="1"/>
  <c r="BZ75" i="1"/>
  <c r="BZ74" i="1"/>
  <c r="BZ73" i="1"/>
  <c r="BY59" i="1"/>
  <c r="BY77" i="1"/>
  <c r="BY76" i="1"/>
  <c r="BY75" i="1"/>
  <c r="BY74" i="1"/>
  <c r="BY73" i="1"/>
  <c r="BV77" i="1"/>
  <c r="BV76" i="1"/>
  <c r="BV75" i="1"/>
  <c r="BV74" i="1"/>
  <c r="BV73" i="1"/>
  <c r="BS77" i="1"/>
  <c r="BS76" i="1"/>
  <c r="BS75" i="1"/>
  <c r="BS74" i="1"/>
  <c r="BS73" i="1"/>
  <c r="BR64" i="1"/>
  <c r="BR60" i="1"/>
  <c r="BR59" i="1"/>
  <c r="BR58" i="1"/>
  <c r="BR57" i="1"/>
  <c r="BQ58" i="1"/>
  <c r="BQ60" i="1"/>
  <c r="BN79" i="1"/>
  <c r="BJ71" i="1"/>
  <c r="BJ69" i="1"/>
  <c r="BI70" i="1"/>
  <c r="BI71" i="1"/>
  <c r="BI67" i="1"/>
  <c r="BH71" i="1"/>
  <c r="BH79" i="1"/>
  <c r="BH78" i="1"/>
  <c r="BH77" i="1"/>
  <c r="BH72" i="1"/>
  <c r="BF79" i="1"/>
  <c r="BF78" i="1"/>
  <c r="BF77" i="1"/>
  <c r="BF76" i="1"/>
  <c r="BF75" i="1"/>
  <c r="BF74" i="1"/>
  <c r="BF73" i="1"/>
  <c r="BF72" i="1"/>
  <c r="BF71" i="1"/>
  <c r="BF70" i="1"/>
  <c r="BE70" i="1"/>
  <c r="BF69" i="1"/>
  <c r="BE69" i="1"/>
  <c r="BE79" i="1"/>
  <c r="BE78" i="1"/>
  <c r="BE77" i="1"/>
  <c r="BE76" i="1"/>
  <c r="BE75" i="1"/>
  <c r="BE74" i="1"/>
  <c r="BE73" i="1"/>
  <c r="BE72" i="1"/>
  <c r="BE71" i="1"/>
  <c r="BB79" i="1"/>
  <c r="BB73" i="1"/>
  <c r="BB72" i="1"/>
  <c r="AL77" i="1"/>
  <c r="AL74" i="1"/>
  <c r="AK74" i="1"/>
  <c r="CK80" i="1" l="1"/>
  <c r="CK79" i="1"/>
  <c r="CK78" i="1"/>
  <c r="CK77" i="1"/>
  <c r="L51" i="1"/>
  <c r="AK67" i="1" l="1"/>
  <c r="AK66" i="1"/>
  <c r="AK65" i="1"/>
  <c r="K79" i="1" l="1"/>
  <c r="K76" i="1"/>
  <c r="J67" i="1" l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F64" i="1" l="1"/>
  <c r="F45" i="1"/>
  <c r="CP69" i="1" l="1"/>
  <c r="CP68" i="1"/>
  <c r="CP67" i="1"/>
  <c r="CP66" i="1"/>
  <c r="CP57" i="1"/>
  <c r="CL80" i="1" l="1"/>
  <c r="CL79" i="1"/>
  <c r="CL78" i="1"/>
  <c r="CL77" i="1"/>
  <c r="CL76" i="1"/>
  <c r="CL75" i="1"/>
  <c r="CL74" i="1"/>
  <c r="CL73" i="1"/>
  <c r="CL72" i="1"/>
  <c r="CL71" i="1"/>
  <c r="CL70" i="1"/>
  <c r="CL69" i="1"/>
  <c r="CL68" i="1"/>
  <c r="CL67" i="1"/>
  <c r="CL66" i="1"/>
  <c r="CL65" i="1"/>
  <c r="CK74" i="1"/>
  <c r="CK73" i="1"/>
  <c r="CK72" i="1"/>
  <c r="CK71" i="1"/>
  <c r="CK70" i="1"/>
  <c r="CK69" i="1"/>
  <c r="CK68" i="1"/>
  <c r="CK67" i="1"/>
  <c r="CK66" i="1"/>
  <c r="CK64" i="1"/>
  <c r="CK63" i="1"/>
  <c r="CV68" i="1" l="1"/>
  <c r="CV67" i="1"/>
  <c r="CV66" i="1"/>
  <c r="CV65" i="1"/>
  <c r="CV64" i="1"/>
  <c r="CV63" i="1"/>
  <c r="CV62" i="1"/>
  <c r="CV61" i="1"/>
  <c r="CV60" i="1"/>
  <c r="CV59" i="1"/>
  <c r="CV58" i="1"/>
  <c r="CV57" i="1"/>
  <c r="CV56" i="1"/>
  <c r="CV55" i="1"/>
  <c r="CV54" i="1"/>
  <c r="BK75" i="1" l="1"/>
  <c r="BK74" i="1"/>
  <c r="BK73" i="1"/>
  <c r="BK72" i="1"/>
  <c r="BL77" i="1"/>
  <c r="BL76" i="1"/>
  <c r="BL61" i="1"/>
  <c r="CN59" i="1" l="1"/>
  <c r="CN58" i="1"/>
  <c r="CN57" i="1"/>
  <c r="CN56" i="1"/>
  <c r="CN55" i="1"/>
  <c r="CN54" i="1"/>
  <c r="CN53" i="1"/>
  <c r="CN52" i="1"/>
  <c r="CN51" i="1"/>
  <c r="CN50" i="1"/>
  <c r="CN49" i="1"/>
  <c r="CN48" i="1"/>
  <c r="CN47" i="1"/>
  <c r="CN46" i="1"/>
  <c r="CN42" i="1"/>
  <c r="CM78" i="1"/>
  <c r="CM77" i="1"/>
  <c r="CM76" i="1"/>
  <c r="CM75" i="1"/>
  <c r="CM74" i="1"/>
  <c r="CM73" i="1"/>
  <c r="CM72" i="1"/>
  <c r="CM71" i="1"/>
  <c r="CM70" i="1"/>
  <c r="CM69" i="1"/>
  <c r="CM68" i="1"/>
  <c r="CM67" i="1"/>
  <c r="CM66" i="1"/>
  <c r="CM65" i="1"/>
  <c r="CM64" i="1"/>
  <c r="CM63" i="1"/>
  <c r="CM62" i="1"/>
  <c r="CM61" i="1"/>
  <c r="CM60" i="1"/>
  <c r="CM58" i="1"/>
  <c r="CM59" i="1"/>
  <c r="CM57" i="1"/>
  <c r="CM56" i="1"/>
  <c r="CM55" i="1"/>
  <c r="CM54" i="1"/>
  <c r="CM53" i="1"/>
  <c r="CM52" i="1"/>
  <c r="CM51" i="1"/>
  <c r="CM50" i="1"/>
  <c r="CM49" i="1"/>
  <c r="CM48" i="1"/>
  <c r="CM47" i="1"/>
  <c r="CM46" i="1"/>
  <c r="CM45" i="1"/>
  <c r="CM44" i="1"/>
  <c r="CM43" i="1"/>
  <c r="CM42" i="1"/>
  <c r="CM41" i="1"/>
  <c r="A8" i="15" l="1"/>
  <c r="A9" i="15" s="1"/>
  <c r="A10" i="15" s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</calcChain>
</file>

<file path=xl/comments1.xml><?xml version="1.0" encoding="utf-8"?>
<comments xmlns="http://schemas.openxmlformats.org/spreadsheetml/2006/main">
  <authors>
    <author>Rai Ghulam Mustafa</author>
  </authors>
  <commentList>
    <comment ref="BY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Petroleum for 1891-92</t>
        </r>
      </text>
    </comment>
    <comment ref="CJ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Oil, in the reports.</t>
        </r>
      </text>
    </comment>
    <comment ref="CM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Kerosene only till 1892-93, then onward listed Oil, of all kinds from 1894-95 till 1908-09, and again Kerosene for the remaining couple of years.</t>
        </r>
      </text>
    </comment>
    <comment ref="CS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Oil for 1887-88 till 1895-96 in the reports.</t>
        </r>
      </text>
    </comment>
    <comment ref="CT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Oil for 1887-88 till 1895-96 in the reports.</t>
        </r>
      </text>
    </comment>
    <comment ref="AY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tins, with an average weight of 1.5790 cwts.  per tin. </t>
        </r>
      </text>
    </comment>
    <comment ref="CM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Quantity is in box, and assumed as 9 gallons per box/case.</t>
        </r>
      </text>
    </comment>
    <comment ref="CN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Quantity is in box, and assumed as 9 gallons per box/case.</t>
        </r>
      </text>
    </comment>
    <comment ref="T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box in some reports.
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box in some reports.
</t>
        </r>
      </text>
    </comment>
    <comment ref="BK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Originally quoted per drum of almost 110 lbs. from 1909-10 and onward.
Quoted per case before that.</t>
        </r>
      </text>
    </comment>
    <comment ref="F4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drum.</t>
        </r>
      </text>
    </comment>
    <comment ref="BL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s/box</t>
        </r>
      </text>
    </comment>
    <comment ref="AY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gallon.</t>
        </r>
      </text>
    </comment>
    <comment ref="F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case.</t>
        </r>
      </text>
    </comment>
    <comment ref="CT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Can be ignored since the quantity is insignificant at 78 cwts.</t>
        </r>
      </text>
    </comment>
    <comment ref="K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Petroleum in case.</t>
        </r>
      </text>
    </comment>
    <comment ref="BL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s/box</t>
        </r>
      </text>
    </comment>
    <comment ref="BL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s/box</t>
        </r>
      </text>
    </comment>
    <comment ref="K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Petroleum in case.</t>
        </r>
      </text>
    </comment>
    <comment ref="K8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Petroleum in gallon,
and as Kerosene at 5.73065903 s/case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AL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Oil, in the reports.</t>
        </r>
      </text>
    </comment>
    <comment ref="AO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Kerosene only till 1892-93, then onward listed Oil, of all kinds from 1894-95 till 1908-09, and again Kerosene for the remaining couple of years.</t>
        </r>
      </text>
    </comment>
    <comment ref="AR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Oil for 1887-88 till 1895-96 in the reports.</t>
        </r>
      </text>
    </comment>
    <comment ref="AS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Oil for 1887-88 till 1895-96 in the reports.</t>
        </r>
      </text>
    </comment>
    <comment ref="T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tins, with an average weight of 1.5790 cwts.  per tin. </t>
        </r>
      </text>
    </comment>
    <comment ref="AO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Quantity is in box, and assumed as 9 gallons per box/case.</t>
        </r>
      </text>
    </comment>
    <comment ref="AP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Quantity is in box, and assumed as 9 gallons per box/case.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box in some reports.
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box in some reports.
</t>
        </r>
      </text>
    </comment>
    <comment ref="AB61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s/box</t>
        </r>
      </text>
    </comment>
    <comment ref="T62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per gallon.</t>
        </r>
      </text>
    </comment>
    <comment ref="E6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case.</t>
        </r>
      </text>
    </comment>
    <comment ref="AS74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Can be ignored since the quantity is insignificant at 78 cwts.</t>
        </r>
      </text>
    </comment>
    <comment ref="H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Petroleum in case.</t>
        </r>
      </text>
    </comment>
    <comment ref="AB76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s/box</t>
        </r>
      </text>
    </comment>
    <comment ref="AB77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in s/box</t>
        </r>
      </text>
    </comment>
    <comment ref="H7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Petroleum in case.</t>
        </r>
      </text>
    </comment>
    <comment ref="H80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Quoted as Petroleum in gallon,
and as Kerosene at 5.73065903 s/case</t>
        </r>
      </text>
    </comment>
  </commentList>
</comments>
</file>

<file path=xl/sharedStrings.xml><?xml version="1.0" encoding="utf-8"?>
<sst xmlns="http://schemas.openxmlformats.org/spreadsheetml/2006/main" count="596" uniqueCount="68">
  <si>
    <t>Baghdad</t>
  </si>
  <si>
    <t>UK</t>
  </si>
  <si>
    <t>Damascus</t>
  </si>
  <si>
    <t>Izmir</t>
  </si>
  <si>
    <t>Beirut</t>
  </si>
  <si>
    <t>Bahrain</t>
  </si>
  <si>
    <t>Bam</t>
  </si>
  <si>
    <t>Exports</t>
  </si>
  <si>
    <t>Imports</t>
  </si>
  <si>
    <t>Alexandretta</t>
  </si>
  <si>
    <t>Bazaar (Local)</t>
  </si>
  <si>
    <t>Turkey</t>
  </si>
  <si>
    <t>Constantinople</t>
  </si>
  <si>
    <t>Mohammerah</t>
  </si>
  <si>
    <t>Lingah</t>
  </si>
  <si>
    <t>Khorasan</t>
  </si>
  <si>
    <t>Kermanshah</t>
  </si>
  <si>
    <t>Kerman</t>
  </si>
  <si>
    <t>Sultanabad</t>
  </si>
  <si>
    <t>Resht</t>
  </si>
  <si>
    <t>Ispahan</t>
  </si>
  <si>
    <t>Ghilan &amp; Tunekabun</t>
  </si>
  <si>
    <t>Bender Gez &amp; Astarabad</t>
  </si>
  <si>
    <t>Astara</t>
  </si>
  <si>
    <t>Basrah</t>
  </si>
  <si>
    <t>Mosul</t>
  </si>
  <si>
    <t>Palestine</t>
  </si>
  <si>
    <t>Muscat</t>
  </si>
  <si>
    <t>Trebizond (Anatolia)</t>
  </si>
  <si>
    <t>Istanbul (Anatolia)</t>
  </si>
  <si>
    <t>Istanbul (Rumeli)</t>
  </si>
  <si>
    <t>City/Region</t>
  </si>
  <si>
    <t>Category</t>
  </si>
  <si>
    <t>Product</t>
  </si>
  <si>
    <t>Unit (Price)</t>
  </si>
  <si>
    <t>Year</t>
  </si>
  <si>
    <t>Yezd</t>
  </si>
  <si>
    <t>Mazandaran</t>
  </si>
  <si>
    <t>Shiraz</t>
  </si>
  <si>
    <t>Trebizond (Persia)</t>
  </si>
  <si>
    <t>Middle East imports and exports, 1824-1913</t>
  </si>
  <si>
    <t>Values are in pounds sterling.</t>
  </si>
  <si>
    <t>This spreadsheet was put together by Robert Allen in October 2018.</t>
  </si>
  <si>
    <t>Egypt</t>
  </si>
  <si>
    <t>Calcutta</t>
  </si>
  <si>
    <t>Baku</t>
  </si>
  <si>
    <t>Saratov</t>
  </si>
  <si>
    <t>Jaffa</t>
  </si>
  <si>
    <t>USA</t>
  </si>
  <si>
    <t>s/case</t>
  </si>
  <si>
    <t>Kerosene</t>
  </si>
  <si>
    <t>Petroleum</t>
  </si>
  <si>
    <t>Imports (from US)</t>
  </si>
  <si>
    <t>Imports (from Russia)</t>
  </si>
  <si>
    <t>Persian Gulf Political Residency.</t>
  </si>
  <si>
    <t>from figures collected by Ottoman customs houses that taxed trade and were published in the British House of Commons papers in the diplomatic &amp; consular reports on trade and finance as well as in the administration reports on the</t>
  </si>
  <si>
    <r>
      <t>The spreadsheet shows the prices of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Imports</t>
    </r>
    <r>
      <rPr>
        <sz val="10"/>
        <rFont val="Arial"/>
        <family val="2"/>
      </rPr>
      <t xml:space="preserve"> and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Exports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of </t>
    </r>
    <r>
      <rPr>
        <b/>
        <i/>
        <sz val="10"/>
        <rFont val="Arial"/>
        <family val="2"/>
      </rPr>
      <t>Kerosene &amp; Petroleum</t>
    </r>
    <r>
      <rPr>
        <sz val="10"/>
        <rFont val="Arial"/>
        <family val="2"/>
      </rPr>
      <t xml:space="preserve"> in leading cities in the </t>
    </r>
    <r>
      <rPr>
        <b/>
        <i/>
        <sz val="10"/>
        <rFont val="Arial"/>
        <family val="2"/>
      </rPr>
      <t xml:space="preserve">Middle East, United Kingdom, United States, Calcutta, Baku </t>
    </r>
    <r>
      <rPr>
        <sz val="10"/>
        <rFont val="Arial"/>
        <family val="2"/>
      </rPr>
      <t>and</t>
    </r>
    <r>
      <rPr>
        <b/>
        <i/>
        <sz val="10"/>
        <rFont val="Arial"/>
        <family val="2"/>
      </rPr>
      <t xml:space="preserve"> Saratov</t>
    </r>
    <r>
      <rPr>
        <sz val="10"/>
        <rFont val="Arial"/>
        <family val="2"/>
      </rPr>
      <t>. The data were compiled by British consuls usually</t>
    </r>
  </si>
  <si>
    <t>Kerosene / Oil, of all kinds</t>
  </si>
  <si>
    <t>Naphtha Oil</t>
  </si>
  <si>
    <t>Naphtha Oil / Petroleum</t>
  </si>
  <si>
    <t>s/drum &amp; s/case</t>
  </si>
  <si>
    <t>Naphtha, white</t>
  </si>
  <si>
    <t>Naphtha &amp; other mineral oils</t>
  </si>
  <si>
    <t>US</t>
  </si>
  <si>
    <t>Petroleum &amp; Kerosene</t>
  </si>
  <si>
    <t>Resht &amp; Mazandaran</t>
  </si>
  <si>
    <t>Bender Gez &amp; Astarabad and Ghilan &amp; Tunekabun</t>
  </si>
  <si>
    <t>There are important issues regarding the accuracy of the returns in view of their provenance and the incentives to underreport values and evade taxation.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</si>
</sst>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&quot;?&quot;;\-#,##0&quot;?&quot;"/>
    <numFmt numFmtId="165" formatCode="0.0000"/>
    <numFmt numFmtId="166" formatCode="_(* #,##0.0000_);_(* \(#,##0.0000\);_(* &quot;-&quot;??_);_(@_)"/>
  </numFmts>
  <fonts count="20" x14ac:knownFonts="1">
    <font>
      <sz val="10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i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8"/>
      </patternFill>
    </fill>
  </fills>
  <borders count="2">
    <border>
      <left/>
      <right/>
      <top/>
      <bottom/>
      <diagonal/>
    </border>
    <border>
      <left/>
      <right/>
      <top style="double">
        <color indexed="0"/>
      </top>
      <bottom/>
      <diagonal/>
    </border>
  </borders>
  <cellStyleXfs count="19">
    <xf numFmtId="0" fontId="0" fillId="0" borderId="0">
      <alignment vertical="top"/>
    </xf>
    <xf numFmtId="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4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4" fillId="0" borderId="0" applyNumberFormat="0" applyFont="0" applyFill="0" applyAlignment="0" applyProtection="0"/>
    <xf numFmtId="0" fontId="5" fillId="0" borderId="0" applyNumberFormat="0" applyFont="0" applyFill="0" applyAlignment="0" applyProtection="0"/>
    <xf numFmtId="0" fontId="10" fillId="0" borderId="0">
      <alignment vertical="top"/>
    </xf>
    <xf numFmtId="0" fontId="10" fillId="0" borderId="0">
      <alignment vertical="top"/>
    </xf>
    <xf numFmtId="0" fontId="6" fillId="0" borderId="1" applyNumberFormat="0" applyFont="0" applyBorder="0" applyAlignment="0" applyProtection="0"/>
    <xf numFmtId="0" fontId="7" fillId="0" borderId="0">
      <alignment vertical="top"/>
    </xf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5" fillId="0" borderId="0"/>
    <xf numFmtId="0" fontId="7" fillId="0" borderId="0">
      <alignment vertical="top"/>
    </xf>
    <xf numFmtId="43" fontId="16" fillId="0" borderId="0" applyFont="0" applyFill="0" applyBorder="0" applyAlignment="0" applyProtection="0"/>
    <xf numFmtId="0" fontId="1" fillId="0" borderId="0"/>
    <xf numFmtId="0" fontId="17" fillId="0" borderId="0">
      <alignment vertical="top"/>
    </xf>
  </cellStyleXfs>
  <cellXfs count="17">
    <xf numFmtId="0" fontId="0" fillId="0" borderId="0" xfId="0" applyAlignment="1"/>
    <xf numFmtId="165" fontId="0" fillId="0" borderId="0" xfId="0" applyNumberFormat="1" applyAlignment="1"/>
    <xf numFmtId="0" fontId="0" fillId="0" borderId="0" xfId="0" applyAlignment="1">
      <alignment wrapText="1"/>
    </xf>
    <xf numFmtId="165" fontId="0" fillId="0" borderId="0" xfId="0" applyNumberFormat="1" applyFill="1" applyAlignment="1"/>
    <xf numFmtId="0" fontId="11" fillId="2" borderId="0" xfId="7" applyFont="1" applyFill="1" applyBorder="1" applyAlignment="1">
      <alignment horizontal="left"/>
    </xf>
    <xf numFmtId="0" fontId="11" fillId="2" borderId="0" xfId="7" applyFont="1" applyFill="1" applyBorder="1" applyAlignment="1">
      <alignment horizontal="left" wrapText="1"/>
    </xf>
    <xf numFmtId="0" fontId="12" fillId="2" borderId="0" xfId="7" applyFont="1" applyFill="1" applyBorder="1" applyAlignment="1">
      <alignment horizontal="left"/>
    </xf>
    <xf numFmtId="0" fontId="12" fillId="2" borderId="0" xfId="7" applyFont="1" applyFill="1" applyBorder="1" applyAlignment="1">
      <alignment horizontal="left" wrapText="1"/>
    </xf>
    <xf numFmtId="0" fontId="12" fillId="2" borderId="0" xfId="7" applyFont="1" applyFill="1" applyBorder="1" applyAlignment="1" applyProtection="1">
      <alignment horizontal="right"/>
    </xf>
    <xf numFmtId="0" fontId="0" fillId="0" borderId="0" xfId="0" applyAlignment="1">
      <alignment horizontal="left"/>
    </xf>
    <xf numFmtId="165" fontId="7" fillId="0" borderId="0" xfId="0" applyNumberFormat="1" applyFont="1" applyAlignment="1"/>
    <xf numFmtId="0" fontId="7" fillId="0" borderId="0" xfId="10" applyAlignment="1"/>
    <xf numFmtId="0" fontId="13" fillId="0" borderId="0" xfId="0" applyFont="1" applyAlignment="1"/>
    <xf numFmtId="0" fontId="0" fillId="0" borderId="0" xfId="0" applyFill="1" applyAlignment="1"/>
    <xf numFmtId="166" fontId="0" fillId="0" borderId="0" xfId="16" applyNumberFormat="1" applyFont="1" applyAlignment="1"/>
    <xf numFmtId="165" fontId="14" fillId="0" borderId="0" xfId="7" applyNumberFormat="1" applyFont="1" applyFill="1" applyBorder="1" applyAlignment="1" applyProtection="1">
      <alignment horizontal="center"/>
    </xf>
    <xf numFmtId="166" fontId="0" fillId="0" borderId="0" xfId="16" applyNumberFormat="1" applyFont="1" applyFill="1" applyAlignment="1"/>
  </cellXfs>
  <cellStyles count="19">
    <cellStyle name="Comma" xfId="16" builtinId="3"/>
    <cellStyle name="Comma 2" xfId="13"/>
    <cellStyle name="Comma0" xfId="1"/>
    <cellStyle name="Currency0" xfId="2"/>
    <cellStyle name="Date" xfId="3"/>
    <cellStyle name="Fixed" xfId="4"/>
    <cellStyle name="Heading 1" xfId="5" builtinId="16" customBuiltin="1"/>
    <cellStyle name="Heading 2" xfId="6" builtinId="17" customBuiltin="1"/>
    <cellStyle name="Normal" xfId="0" builtinId="0"/>
    <cellStyle name="Normal 2" xfId="10"/>
    <cellStyle name="Normal 2 2" xfId="14"/>
    <cellStyle name="Normal 3" xfId="7"/>
    <cellStyle name="Normal 3 2" xfId="8"/>
    <cellStyle name="Normal 4" xfId="11"/>
    <cellStyle name="Normal 4 2" xfId="15"/>
    <cellStyle name="Normal 5" xfId="12"/>
    <cellStyle name="Normal 6" xfId="17"/>
    <cellStyle name="Normal 7" xfId="18"/>
    <cellStyle name="Total" xfId="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Exports,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(All)'!$D$7:$D$107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(All)'!$D$7:$D$107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081056"/>
        <c:axId val="564035136"/>
      </c:scatterChart>
      <c:valAx>
        <c:axId val="56408105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4035136"/>
        <c:crosses val="autoZero"/>
        <c:crossBetween val="midCat"/>
        <c:majorUnit val="5"/>
      </c:valAx>
      <c:valAx>
        <c:axId val="564035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408105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</a:t>
            </a:r>
            <a:r>
              <a:rPr lang="en-US" sz="1800" b="1" i="0" u="none" strike="noStrike" baseline="0">
                <a:effectLst/>
              </a:rPr>
              <a:t> Kerosene,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 Imports, in s/lbs. &amp;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(All)'!$F$7:$F$107</c:f>
              <c:numCache>
                <c:formatCode>0.0000</c:formatCode>
                <c:ptCount val="66"/>
                <c:pt idx="7">
                  <c:v>20.047620733999672</c:v>
                </c:pt>
                <c:pt idx="9">
                  <c:v>22.055338880803841</c:v>
                </c:pt>
                <c:pt idx="10">
                  <c:v>17.437588034770105</c:v>
                </c:pt>
                <c:pt idx="18">
                  <c:v>2.7510917030567601</c:v>
                </c:pt>
                <c:pt idx="37">
                  <c:v>7.3911572298669004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(All)'!$F$7:$F$107</c:f>
              <c:numCache>
                <c:formatCode>0.0000</c:formatCode>
                <c:ptCount val="66"/>
                <c:pt idx="7">
                  <c:v>20.047620733999672</c:v>
                </c:pt>
                <c:pt idx="9">
                  <c:v>22.055338880803841</c:v>
                </c:pt>
                <c:pt idx="10">
                  <c:v>17.437588034770105</c:v>
                </c:pt>
                <c:pt idx="18">
                  <c:v>2.7510917030567601</c:v>
                </c:pt>
                <c:pt idx="37">
                  <c:v>7.3911572298669004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24768"/>
        <c:axId val="605696768"/>
      </c:scatterChart>
      <c:valAx>
        <c:axId val="6057247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696768"/>
        <c:crosses val="autoZero"/>
        <c:crossBetween val="midCat"/>
        <c:majorUnit val="5"/>
      </c:valAx>
      <c:valAx>
        <c:axId val="60569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247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Baku, Kerosene,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(All)'!$CH$7:$CH$107</c:f>
              <c:numCache>
                <c:formatCode>0.0000</c:formatCode>
                <c:ptCount val="66"/>
                <c:pt idx="30" formatCode="_(* #,##0.0000_);_(* \(#,##0.0000\);_(* &quot;-&quot;??_);_(@_)">
                  <c:v>0.87833900578508928</c:v>
                </c:pt>
                <c:pt idx="31" formatCode="_(* #,##0.0000_);_(* \(#,##0.0000\);_(* &quot;-&quot;??_);_(@_)">
                  <c:v>0.41741726036616195</c:v>
                </c:pt>
                <c:pt idx="32" formatCode="_(* #,##0.0000_);_(* \(#,##0.0000\);_(* &quot;-&quot;??_);_(@_)">
                  <c:v>0.26915878159574202</c:v>
                </c:pt>
                <c:pt idx="33" formatCode="_(* #,##0.0000_);_(* \(#,##0.0000\);_(* &quot;-&quot;??_);_(@_)">
                  <c:v>0.25210351062057229</c:v>
                </c:pt>
                <c:pt idx="34" formatCode="_(* #,##0.0000_);_(* \(#,##0.0000\);_(* &quot;-&quot;??_);_(@_)">
                  <c:v>0.22041029616624844</c:v>
                </c:pt>
                <c:pt idx="35" formatCode="_(* #,##0.0000_);_(* \(#,##0.0000\);_(* &quot;-&quot;??_);_(@_)">
                  <c:v>0.54756050779707344</c:v>
                </c:pt>
                <c:pt idx="36" formatCode="_(* #,##0.0000_);_(* \(#,##0.0000\);_(* &quot;-&quot;??_);_(@_)">
                  <c:v>0.51840569671693737</c:v>
                </c:pt>
                <c:pt idx="37" formatCode="_(* #,##0.0000_);_(* \(#,##0.0000\);_(* &quot;-&quot;??_);_(@_)">
                  <c:v>0.46878196493379126</c:v>
                </c:pt>
                <c:pt idx="38" formatCode="_(* #,##0.0000_);_(* \(#,##0.0000\);_(* &quot;-&quot;??_);_(@_)">
                  <c:v>0.54621328853426221</c:v>
                </c:pt>
                <c:pt idx="39" formatCode="_(* #,##0.0000_);_(* \(#,##0.0000\);_(* &quot;-&quot;??_);_(@_)">
                  <c:v>0.91744430887267558</c:v>
                </c:pt>
                <c:pt idx="40" formatCode="_(* #,##0.0000_);_(* \(#,##0.0000\);_(* &quot;-&quot;??_);_(@_)">
                  <c:v>0.88221412124504495</c:v>
                </c:pt>
                <c:pt idx="41" formatCode="_(* #,##0.0000_);_(* \(#,##0.0000\);_(* &quot;-&quot;??_);_(@_)">
                  <c:v>0.35166147881473275</c:v>
                </c:pt>
                <c:pt idx="42" formatCode="_(* #,##0.0000_);_(* \(#,##0.0000\);_(* &quot;-&quot;??_);_(@_)">
                  <c:v>0.32341309813697594</c:v>
                </c:pt>
                <c:pt idx="43" formatCode="_(* #,##0.0000_);_(* \(#,##0.0000\);_(* &quot;-&quot;??_);_(@_)">
                  <c:v>0.49285177890479098</c:v>
                </c:pt>
                <c:pt idx="44" formatCode="_(* #,##0.0000_);_(* \(#,##0.0000\);_(* &quot;-&quot;??_);_(@_)">
                  <c:v>0.79591079186421043</c:v>
                </c:pt>
                <c:pt idx="45" formatCode="_(* #,##0.0000_);_(* \(#,##0.0000\);_(* &quot;-&quot;??_);_(@_)">
                  <c:v>0.85189311728375205</c:v>
                </c:pt>
                <c:pt idx="46" formatCode="_(* #,##0.0000_);_(* \(#,##0.0000\);_(* &quot;-&quot;??_);_(@_)">
                  <c:v>1.0938172433029425</c:v>
                </c:pt>
                <c:pt idx="47" formatCode="_(* #,##0.0000_);_(* \(#,##0.0000\);_(* &quot;-&quot;??_);_(@_)">
                  <c:v>1.3679300463831459</c:v>
                </c:pt>
                <c:pt idx="48" formatCode="_(* #,##0.0000_);_(* \(#,##0.0000\);_(* &quot;-&quot;??_);_(@_)">
                  <c:v>1.0618357870644426</c:v>
                </c:pt>
                <c:pt idx="49" formatCode="_(* #,##0.0000_);_(* \(#,##0.0000\);_(* &quot;-&quot;??_);_(@_)">
                  <c:v>1.1073154608231122</c:v>
                </c:pt>
                <c:pt idx="50" formatCode="_(* #,##0.0000_);_(* \(#,##0.0000\);_(* &quot;-&quot;??_);_(@_)">
                  <c:v>0.74018576711775508</c:v>
                </c:pt>
                <c:pt idx="51" formatCode="_(* #,##0.0000_);_(* \(#,##0.0000\);_(* &quot;-&quot;??_);_(@_)">
                  <c:v>1.1204900060273351</c:v>
                </c:pt>
                <c:pt idx="52" formatCode="_(* #,##0.0000_);_(* \(#,##0.0000\);_(* &quot;-&quot;??_);_(@_)">
                  <c:v>1.6280624019200589</c:v>
                </c:pt>
                <c:pt idx="53" formatCode="_(* #,##0.0000_);_(* \(#,##0.0000\);_(* &quot;-&quot;??_);_(@_)">
                  <c:v>2.2073665920367449</c:v>
                </c:pt>
                <c:pt idx="54" formatCode="_(* #,##0.0000_);_(* \(#,##0.0000\);_(* &quot;-&quot;??_);_(@_)">
                  <c:v>1.8591272024468575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(All)'!$CH$7:$CH$107</c:f>
              <c:numCache>
                <c:formatCode>0.0000</c:formatCode>
                <c:ptCount val="66"/>
                <c:pt idx="30" formatCode="_(* #,##0.0000_);_(* \(#,##0.0000\);_(* &quot;-&quot;??_);_(@_)">
                  <c:v>0.87833900578508928</c:v>
                </c:pt>
                <c:pt idx="31" formatCode="_(* #,##0.0000_);_(* \(#,##0.0000\);_(* &quot;-&quot;??_);_(@_)">
                  <c:v>0.41741726036616195</c:v>
                </c:pt>
                <c:pt idx="32" formatCode="_(* #,##0.0000_);_(* \(#,##0.0000\);_(* &quot;-&quot;??_);_(@_)">
                  <c:v>0.26915878159574202</c:v>
                </c:pt>
                <c:pt idx="33" formatCode="_(* #,##0.0000_);_(* \(#,##0.0000\);_(* &quot;-&quot;??_);_(@_)">
                  <c:v>0.25210351062057229</c:v>
                </c:pt>
                <c:pt idx="34" formatCode="_(* #,##0.0000_);_(* \(#,##0.0000\);_(* &quot;-&quot;??_);_(@_)">
                  <c:v>0.22041029616624844</c:v>
                </c:pt>
                <c:pt idx="35" formatCode="_(* #,##0.0000_);_(* \(#,##0.0000\);_(* &quot;-&quot;??_);_(@_)">
                  <c:v>0.54756050779707344</c:v>
                </c:pt>
                <c:pt idx="36" formatCode="_(* #,##0.0000_);_(* \(#,##0.0000\);_(* &quot;-&quot;??_);_(@_)">
                  <c:v>0.51840569671693737</c:v>
                </c:pt>
                <c:pt idx="37" formatCode="_(* #,##0.0000_);_(* \(#,##0.0000\);_(* &quot;-&quot;??_);_(@_)">
                  <c:v>0.46878196493379126</c:v>
                </c:pt>
                <c:pt idx="38" formatCode="_(* #,##0.0000_);_(* \(#,##0.0000\);_(* &quot;-&quot;??_);_(@_)">
                  <c:v>0.54621328853426221</c:v>
                </c:pt>
                <c:pt idx="39" formatCode="_(* #,##0.0000_);_(* \(#,##0.0000\);_(* &quot;-&quot;??_);_(@_)">
                  <c:v>0.91744430887267558</c:v>
                </c:pt>
                <c:pt idx="40" formatCode="_(* #,##0.0000_);_(* \(#,##0.0000\);_(* &quot;-&quot;??_);_(@_)">
                  <c:v>0.88221412124504495</c:v>
                </c:pt>
                <c:pt idx="41" formatCode="_(* #,##0.0000_);_(* \(#,##0.0000\);_(* &quot;-&quot;??_);_(@_)">
                  <c:v>0.35166147881473275</c:v>
                </c:pt>
                <c:pt idx="42" formatCode="_(* #,##0.0000_);_(* \(#,##0.0000\);_(* &quot;-&quot;??_);_(@_)">
                  <c:v>0.32341309813697594</c:v>
                </c:pt>
                <c:pt idx="43" formatCode="_(* #,##0.0000_);_(* \(#,##0.0000\);_(* &quot;-&quot;??_);_(@_)">
                  <c:v>0.49285177890479098</c:v>
                </c:pt>
                <c:pt idx="44" formatCode="_(* #,##0.0000_);_(* \(#,##0.0000\);_(* &quot;-&quot;??_);_(@_)">
                  <c:v>0.79591079186421043</c:v>
                </c:pt>
                <c:pt idx="45" formatCode="_(* #,##0.0000_);_(* \(#,##0.0000\);_(* &quot;-&quot;??_);_(@_)">
                  <c:v>0.85189311728375205</c:v>
                </c:pt>
                <c:pt idx="46" formatCode="_(* #,##0.0000_);_(* \(#,##0.0000\);_(* &quot;-&quot;??_);_(@_)">
                  <c:v>1.0938172433029425</c:v>
                </c:pt>
                <c:pt idx="47" formatCode="_(* #,##0.0000_);_(* \(#,##0.0000\);_(* &quot;-&quot;??_);_(@_)">
                  <c:v>1.3679300463831459</c:v>
                </c:pt>
                <c:pt idx="48" formatCode="_(* #,##0.0000_);_(* \(#,##0.0000\);_(* &quot;-&quot;??_);_(@_)">
                  <c:v>1.0618357870644426</c:v>
                </c:pt>
                <c:pt idx="49" formatCode="_(* #,##0.0000_);_(* \(#,##0.0000\);_(* &quot;-&quot;??_);_(@_)">
                  <c:v>1.1073154608231122</c:v>
                </c:pt>
                <c:pt idx="50" formatCode="_(* #,##0.0000_);_(* \(#,##0.0000\);_(* &quot;-&quot;??_);_(@_)">
                  <c:v>0.74018576711775508</c:v>
                </c:pt>
                <c:pt idx="51" formatCode="_(* #,##0.0000_);_(* \(#,##0.0000\);_(* &quot;-&quot;??_);_(@_)">
                  <c:v>1.1204900060273351</c:v>
                </c:pt>
                <c:pt idx="52" formatCode="_(* #,##0.0000_);_(* \(#,##0.0000\);_(* &quot;-&quot;??_);_(@_)">
                  <c:v>1.6280624019200589</c:v>
                </c:pt>
                <c:pt idx="53" formatCode="_(* #,##0.0000_);_(* \(#,##0.0000\);_(* &quot;-&quot;??_);_(@_)">
                  <c:v>2.2073665920367449</c:v>
                </c:pt>
                <c:pt idx="54" formatCode="_(* #,##0.0000_);_(* \(#,##0.0000\);_(* &quot;-&quot;??_);_(@_)">
                  <c:v>1.8591272024468575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47760"/>
        <c:axId val="690148320"/>
      </c:scatterChart>
      <c:valAx>
        <c:axId val="6901477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48320"/>
        <c:crosses val="autoZero"/>
        <c:crossBetween val="midCat"/>
        <c:majorUnit val="5"/>
      </c:valAx>
      <c:valAx>
        <c:axId val="6901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47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Jaffa, Kerosene,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(All)'!$U$7:$U$107</c:f>
              <c:numCache>
                <c:formatCode>0.0000</c:formatCode>
                <c:ptCount val="66"/>
                <c:pt idx="13">
                  <c:v>14.398883743023399</c:v>
                </c:pt>
                <c:pt idx="14">
                  <c:v>11.274694124064837</c:v>
                </c:pt>
                <c:pt idx="15">
                  <c:v>11.274694124064837</c:v>
                </c:pt>
                <c:pt idx="16">
                  <c:v>15.981847706315607</c:v>
                </c:pt>
                <c:pt idx="17">
                  <c:v>9.3711743368850637</c:v>
                </c:pt>
                <c:pt idx="19">
                  <c:v>6.8721945137157112</c:v>
                </c:pt>
                <c:pt idx="20">
                  <c:v>7.6357716819063457</c:v>
                </c:pt>
                <c:pt idx="21">
                  <c:v>6.8721945137157112</c:v>
                </c:pt>
                <c:pt idx="22">
                  <c:v>7.3303408146300919</c:v>
                </c:pt>
                <c:pt idx="23">
                  <c:v>6.8468358623735881</c:v>
                </c:pt>
                <c:pt idx="24">
                  <c:v>6.0637010415138626</c:v>
                </c:pt>
                <c:pt idx="25">
                  <c:v>5.6695604738154612</c:v>
                </c:pt>
                <c:pt idx="26">
                  <c:v>7.0869505922693286</c:v>
                </c:pt>
                <c:pt idx="27">
                  <c:v>6.7003896508728191</c:v>
                </c:pt>
                <c:pt idx="28">
                  <c:v>5.1541458852867841</c:v>
                </c:pt>
                <c:pt idx="29">
                  <c:v>5.1541458852867841</c:v>
                </c:pt>
                <c:pt idx="30">
                  <c:v>5.2923346226561385</c:v>
                </c:pt>
                <c:pt idx="31">
                  <c:v>4.5517132493441723</c:v>
                </c:pt>
                <c:pt idx="32">
                  <c:v>4.1233167082294271</c:v>
                </c:pt>
                <c:pt idx="33">
                  <c:v>4.1233167082294271</c:v>
                </c:pt>
                <c:pt idx="34">
                  <c:v>4.1233167082294271</c:v>
                </c:pt>
                <c:pt idx="35">
                  <c:v>7.2158042394014963</c:v>
                </c:pt>
                <c:pt idx="36">
                  <c:v>7.1951876558603489</c:v>
                </c:pt>
                <c:pt idx="37">
                  <c:v>4.1233167082294271</c:v>
                </c:pt>
                <c:pt idx="38">
                  <c:v>4.1233167082294271</c:v>
                </c:pt>
                <c:pt idx="39">
                  <c:v>5.6695604738154612</c:v>
                </c:pt>
                <c:pt idx="40">
                  <c:v>5.9821889947262994</c:v>
                </c:pt>
                <c:pt idx="41">
                  <c:v>4.6302818772740286</c:v>
                </c:pt>
                <c:pt idx="42">
                  <c:v>4.6261602092330145</c:v>
                </c:pt>
                <c:pt idx="43">
                  <c:v>4.6413423129107327</c:v>
                </c:pt>
                <c:pt idx="44">
                  <c:v>5.0630398309093207</c:v>
                </c:pt>
                <c:pt idx="45">
                  <c:v>4.6432131627453126</c:v>
                </c:pt>
                <c:pt idx="46">
                  <c:v>6.4114071995375639</c:v>
                </c:pt>
                <c:pt idx="47">
                  <c:v>5.6373900859106811</c:v>
                </c:pt>
                <c:pt idx="48">
                  <c:v>5.8638601395591889</c:v>
                </c:pt>
                <c:pt idx="49">
                  <c:v>5.5481788133217256</c:v>
                </c:pt>
                <c:pt idx="50">
                  <c:v>4.7657595172225689</c:v>
                </c:pt>
                <c:pt idx="51">
                  <c:v>4.9101057030527935</c:v>
                </c:pt>
                <c:pt idx="52">
                  <c:v>5.668594024998086</c:v>
                </c:pt>
                <c:pt idx="53">
                  <c:v>6.4117614391741897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(All)'!$U$7:$U$107</c:f>
              <c:numCache>
                <c:formatCode>0.0000</c:formatCode>
                <c:ptCount val="66"/>
                <c:pt idx="13">
                  <c:v>14.398883743023399</c:v>
                </c:pt>
                <c:pt idx="14">
                  <c:v>11.274694124064837</c:v>
                </c:pt>
                <c:pt idx="15">
                  <c:v>11.274694124064837</c:v>
                </c:pt>
                <c:pt idx="16">
                  <c:v>15.981847706315607</c:v>
                </c:pt>
                <c:pt idx="17">
                  <c:v>9.3711743368850637</c:v>
                </c:pt>
                <c:pt idx="19">
                  <c:v>6.8721945137157112</c:v>
                </c:pt>
                <c:pt idx="20">
                  <c:v>7.6357716819063457</c:v>
                </c:pt>
                <c:pt idx="21">
                  <c:v>6.8721945137157112</c:v>
                </c:pt>
                <c:pt idx="22">
                  <c:v>7.3303408146300919</c:v>
                </c:pt>
                <c:pt idx="23">
                  <c:v>6.8468358623735881</c:v>
                </c:pt>
                <c:pt idx="24">
                  <c:v>6.0637010415138626</c:v>
                </c:pt>
                <c:pt idx="25">
                  <c:v>5.6695604738154612</c:v>
                </c:pt>
                <c:pt idx="26">
                  <c:v>7.0869505922693286</c:v>
                </c:pt>
                <c:pt idx="27">
                  <c:v>6.7003896508728191</c:v>
                </c:pt>
                <c:pt idx="28">
                  <c:v>5.1541458852867841</c:v>
                </c:pt>
                <c:pt idx="29">
                  <c:v>5.1541458852867841</c:v>
                </c:pt>
                <c:pt idx="30">
                  <c:v>5.2923346226561385</c:v>
                </c:pt>
                <c:pt idx="31">
                  <c:v>4.5517132493441723</c:v>
                </c:pt>
                <c:pt idx="32">
                  <c:v>4.1233167082294271</c:v>
                </c:pt>
                <c:pt idx="33">
                  <c:v>4.1233167082294271</c:v>
                </c:pt>
                <c:pt idx="34">
                  <c:v>4.1233167082294271</c:v>
                </c:pt>
                <c:pt idx="35">
                  <c:v>7.2158042394014963</c:v>
                </c:pt>
                <c:pt idx="36">
                  <c:v>7.1951876558603489</c:v>
                </c:pt>
                <c:pt idx="37">
                  <c:v>4.1233167082294271</c:v>
                </c:pt>
                <c:pt idx="38">
                  <c:v>4.1233167082294271</c:v>
                </c:pt>
                <c:pt idx="39">
                  <c:v>5.6695604738154612</c:v>
                </c:pt>
                <c:pt idx="40">
                  <c:v>5.9821889947262994</c:v>
                </c:pt>
                <c:pt idx="41">
                  <c:v>4.6302818772740286</c:v>
                </c:pt>
                <c:pt idx="42">
                  <c:v>4.6261602092330145</c:v>
                </c:pt>
                <c:pt idx="43">
                  <c:v>4.6413423129107327</c:v>
                </c:pt>
                <c:pt idx="44">
                  <c:v>5.0630398309093207</c:v>
                </c:pt>
                <c:pt idx="45">
                  <c:v>4.6432131627453126</c:v>
                </c:pt>
                <c:pt idx="46">
                  <c:v>6.4114071995375639</c:v>
                </c:pt>
                <c:pt idx="47">
                  <c:v>5.6373900859106811</c:v>
                </c:pt>
                <c:pt idx="48">
                  <c:v>5.8638601395591889</c:v>
                </c:pt>
                <c:pt idx="49">
                  <c:v>5.5481788133217256</c:v>
                </c:pt>
                <c:pt idx="50">
                  <c:v>4.7657595172225689</c:v>
                </c:pt>
                <c:pt idx="51">
                  <c:v>4.9101057030527935</c:v>
                </c:pt>
                <c:pt idx="52">
                  <c:v>5.668594024998086</c:v>
                </c:pt>
                <c:pt idx="53">
                  <c:v>6.4117614391741897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51120"/>
        <c:axId val="690151680"/>
      </c:scatterChart>
      <c:valAx>
        <c:axId val="6901511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51680"/>
        <c:crosses val="autoZero"/>
        <c:crossBetween val="midCat"/>
        <c:majorUnit val="5"/>
      </c:valAx>
      <c:valAx>
        <c:axId val="69015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511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USA</a:t>
            </a:r>
            <a:r>
              <a:rPr lang="en-US" sz="1800" b="1" i="0" u="none" strike="noStrike" baseline="0">
                <a:effectLst/>
              </a:rPr>
              <a:t>, Kerosene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(All)'!$E$7:$E$107</c:f>
              <c:numCache>
                <c:formatCode>0.0000</c:formatCode>
                <c:ptCount val="66"/>
                <c:pt idx="31">
                  <c:v>4.1116230039920154</c:v>
                </c:pt>
                <c:pt idx="32">
                  <c:v>3.626891529441119</c:v>
                </c:pt>
                <c:pt idx="33">
                  <c:v>3.2727969061876245</c:v>
                </c:pt>
                <c:pt idx="34">
                  <c:v>2.9737072729540928</c:v>
                </c:pt>
                <c:pt idx="35">
                  <c:v>2.9702694610778448</c:v>
                </c:pt>
                <c:pt idx="36">
                  <c:v>3.8056577470059896</c:v>
                </c:pt>
                <c:pt idx="37">
                  <c:v>4.2835135978043919</c:v>
                </c:pt>
                <c:pt idx="38">
                  <c:v>3.7128368263473059</c:v>
                </c:pt>
                <c:pt idx="39">
                  <c:v>3.7506527569860282</c:v>
                </c:pt>
                <c:pt idx="40">
                  <c:v>4.1872548652694617</c:v>
                </c:pt>
                <c:pt idx="41">
                  <c:v>4.9091953592814379</c:v>
                </c:pt>
                <c:pt idx="42">
                  <c:v>4.524160429141717</c:v>
                </c:pt>
                <c:pt idx="43">
                  <c:v>4.5722897954091826</c:v>
                </c:pt>
                <c:pt idx="44">
                  <c:v>5.6208224176646722</c:v>
                </c:pt>
                <c:pt idx="45">
                  <c:v>5.6380114770459082</c:v>
                </c:pt>
                <c:pt idx="46">
                  <c:v>5.2082849925149715</c:v>
                </c:pt>
                <c:pt idx="47">
                  <c:v>5.3629865269461083</c:v>
                </c:pt>
                <c:pt idx="48">
                  <c:v>5.5520661801397209</c:v>
                </c:pt>
                <c:pt idx="49">
                  <c:v>5.5692552395209596</c:v>
                </c:pt>
                <c:pt idx="50">
                  <c:v>5.0535834580838337</c:v>
                </c:pt>
                <c:pt idx="51">
                  <c:v>4.4554041916167666</c:v>
                </c:pt>
                <c:pt idx="52">
                  <c:v>3.7953443113772463</c:v>
                </c:pt>
                <c:pt idx="53">
                  <c:v>4.5860410429141725</c:v>
                </c:pt>
                <c:pt idx="54">
                  <c:v>5.0879615768463085</c:v>
                </c:pt>
                <c:pt idx="55">
                  <c:v>4.9504491017964076</c:v>
                </c:pt>
                <c:pt idx="56">
                  <c:v>4.9848272205588833</c:v>
                </c:pt>
                <c:pt idx="57">
                  <c:v>5.0192053393213572</c:v>
                </c:pt>
                <c:pt idx="58">
                  <c:v>5.1223396956087832</c:v>
                </c:pt>
                <c:pt idx="59">
                  <c:v>6.9925093562874254</c:v>
                </c:pt>
                <c:pt idx="60">
                  <c:v>8.2644997504990041</c:v>
                </c:pt>
                <c:pt idx="61">
                  <c:v>10.860047717065868</c:v>
                </c:pt>
                <c:pt idx="62">
                  <c:v>10.01778380738523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(All)'!$E$7:$E$107</c:f>
              <c:numCache>
                <c:formatCode>0.0000</c:formatCode>
                <c:ptCount val="66"/>
                <c:pt idx="31">
                  <c:v>4.1116230039920154</c:v>
                </c:pt>
                <c:pt idx="32">
                  <c:v>3.626891529441119</c:v>
                </c:pt>
                <c:pt idx="33">
                  <c:v>3.2727969061876245</c:v>
                </c:pt>
                <c:pt idx="34">
                  <c:v>2.9737072729540928</c:v>
                </c:pt>
                <c:pt idx="35">
                  <c:v>2.9702694610778448</c:v>
                </c:pt>
                <c:pt idx="36">
                  <c:v>3.8056577470059896</c:v>
                </c:pt>
                <c:pt idx="37">
                  <c:v>4.2835135978043919</c:v>
                </c:pt>
                <c:pt idx="38">
                  <c:v>3.7128368263473059</c:v>
                </c:pt>
                <c:pt idx="39">
                  <c:v>3.7506527569860282</c:v>
                </c:pt>
                <c:pt idx="40">
                  <c:v>4.1872548652694617</c:v>
                </c:pt>
                <c:pt idx="41">
                  <c:v>4.9091953592814379</c:v>
                </c:pt>
                <c:pt idx="42">
                  <c:v>4.524160429141717</c:v>
                </c:pt>
                <c:pt idx="43">
                  <c:v>4.5722897954091826</c:v>
                </c:pt>
                <c:pt idx="44">
                  <c:v>5.6208224176646722</c:v>
                </c:pt>
                <c:pt idx="45">
                  <c:v>5.6380114770459082</c:v>
                </c:pt>
                <c:pt idx="46">
                  <c:v>5.2082849925149715</c:v>
                </c:pt>
                <c:pt idx="47">
                  <c:v>5.3629865269461083</c:v>
                </c:pt>
                <c:pt idx="48">
                  <c:v>5.5520661801397209</c:v>
                </c:pt>
                <c:pt idx="49">
                  <c:v>5.5692552395209596</c:v>
                </c:pt>
                <c:pt idx="50">
                  <c:v>5.0535834580838337</c:v>
                </c:pt>
                <c:pt idx="51">
                  <c:v>4.4554041916167666</c:v>
                </c:pt>
                <c:pt idx="52">
                  <c:v>3.7953443113772463</c:v>
                </c:pt>
                <c:pt idx="53">
                  <c:v>4.5860410429141725</c:v>
                </c:pt>
                <c:pt idx="54">
                  <c:v>5.0879615768463085</c:v>
                </c:pt>
                <c:pt idx="55">
                  <c:v>4.9504491017964076</c:v>
                </c:pt>
                <c:pt idx="56">
                  <c:v>4.9848272205588833</c:v>
                </c:pt>
                <c:pt idx="57">
                  <c:v>5.0192053393213572</c:v>
                </c:pt>
                <c:pt idx="58">
                  <c:v>5.1223396956087832</c:v>
                </c:pt>
                <c:pt idx="59">
                  <c:v>6.9925093562874254</c:v>
                </c:pt>
                <c:pt idx="60">
                  <c:v>8.2644997504990041</c:v>
                </c:pt>
                <c:pt idx="61">
                  <c:v>10.860047717065868</c:v>
                </c:pt>
                <c:pt idx="62">
                  <c:v>10.01778380738523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54480"/>
        <c:axId val="690155040"/>
      </c:scatterChart>
      <c:valAx>
        <c:axId val="6901544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55040"/>
        <c:crosses val="autoZero"/>
        <c:crossBetween val="midCat"/>
        <c:majorUnit val="5"/>
      </c:valAx>
      <c:valAx>
        <c:axId val="69015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544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Calcutta,</a:t>
            </a:r>
            <a:r>
              <a:rPr lang="en-US" sz="1800" b="1" i="0" u="none" strike="noStrike" baseline="0">
                <a:effectLst/>
              </a:rPr>
              <a:t> Kerosene,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(All)'!$CY$7:$CY$107</c:f>
              <c:numCache>
                <c:formatCode>General</c:formatCode>
                <c:ptCount val="66"/>
                <c:pt idx="28" formatCode="_(* #,##0.0000_);_(* \(#,##0.0000\);_(* &quot;-&quot;??_);_(@_)">
                  <c:v>11.7734375</c:v>
                </c:pt>
                <c:pt idx="29" formatCode="_(* #,##0.0000_);_(* \(#,##0.0000\);_(* &quot;-&quot;??_);_(@_)">
                  <c:v>4.984375</c:v>
                </c:pt>
                <c:pt idx="30" formatCode="_(* #,##0.0000_);_(* \(#,##0.0000\);_(* &quot;-&quot;??_);_(@_)">
                  <c:v>4.828125</c:v>
                </c:pt>
                <c:pt idx="31" formatCode="_(* #,##0.0000_);_(* \(#,##0.0000\);_(* &quot;-&quot;??_);_(@_)">
                  <c:v>4.405598958333333</c:v>
                </c:pt>
                <c:pt idx="32" formatCode="_(* #,##0.0000_);_(* \(#,##0.0000\);_(* &quot;-&quot;??_);_(@_)">
                  <c:v>3.984375</c:v>
                </c:pt>
                <c:pt idx="33" formatCode="_(* #,##0.0000_);_(* \(#,##0.0000\);_(* &quot;-&quot;??_);_(@_)">
                  <c:v>3.171875</c:v>
                </c:pt>
                <c:pt idx="34" formatCode="_(* #,##0.0000_);_(* \(#,##0.0000\);_(* &quot;-&quot;??_);_(@_)">
                  <c:v>3.013020833333333</c:v>
                </c:pt>
                <c:pt idx="35" formatCode="_(* #,##0.0000_);_(* \(#,##0.0000\);_(* &quot;-&quot;??_);_(@_)">
                  <c:v>3.3046875</c:v>
                </c:pt>
                <c:pt idx="36" formatCode="_(* #,##0.0000_);_(* \(#,##0.0000\);_(* &quot;-&quot;??_);_(@_)">
                  <c:v>5.4375</c:v>
                </c:pt>
                <c:pt idx="37" formatCode="_(* #,##0.0000_);_(* \(#,##0.0000\);_(* &quot;-&quot;??_);_(@_)">
                  <c:v>5.0859375</c:v>
                </c:pt>
                <c:pt idx="38" formatCode="_(* #,##0.0000_);_(* \(#,##0.0000\);_(* &quot;-&quot;??_);_(@_)">
                  <c:v>4.333333333333333</c:v>
                </c:pt>
                <c:pt idx="39" formatCode="_(* #,##0.0000_);_(* \(#,##0.0000\);_(* &quot;-&quot;??_);_(@_)">
                  <c:v>4.7916666666666661</c:v>
                </c:pt>
                <c:pt idx="40" formatCode="_(* #,##0.0000_);_(* \(#,##0.0000\);_(* &quot;-&quot;??_);_(@_)">
                  <c:v>6.2291666666666661</c:v>
                </c:pt>
                <c:pt idx="41" formatCode="_(* #,##0.0000_);_(* \(#,##0.0000\);_(* &quot;-&quot;??_);_(@_)">
                  <c:v>5.833333333333333</c:v>
                </c:pt>
                <c:pt idx="42" formatCode="_(* #,##0.0000_);_(* \(#,##0.0000\);_(* &quot;-&quot;??_);_(@_)">
                  <c:v>4.833333333333333</c:v>
                </c:pt>
                <c:pt idx="43" formatCode="_(* #,##0.0000_);_(* \(#,##0.0000\);_(* &quot;-&quot;??_);_(@_)">
                  <c:v>5.333333333333333</c:v>
                </c:pt>
                <c:pt idx="44" formatCode="_(* #,##0.0000_);_(* \(#,##0.0000\);_(* &quot;-&quot;??_);_(@_)">
                  <c:v>5.333333333333333</c:v>
                </c:pt>
                <c:pt idx="45" formatCode="_(* #,##0.0000_);_(* \(#,##0.0000\);_(* &quot;-&quot;??_);_(@_)">
                  <c:v>5.333333333333333</c:v>
                </c:pt>
                <c:pt idx="46" formatCode="_(* #,##0.0000_);_(* \(#,##0.0000\);_(* &quot;-&quot;??_);_(@_)">
                  <c:v>5.833333333333333</c:v>
                </c:pt>
                <c:pt idx="47" formatCode="_(* #,##0.0000_);_(* \(#,##0.0000\);_(* &quot;-&quot;??_);_(@_)">
                  <c:v>5.875</c:v>
                </c:pt>
                <c:pt idx="48" formatCode="_(* #,##0.0000_);_(* \(#,##0.0000\);_(* &quot;-&quot;??_);_(@_)">
                  <c:v>6.0416666666666661</c:v>
                </c:pt>
                <c:pt idx="49" formatCode="_(* #,##0.0000_);_(* \(#,##0.0000\);_(* &quot;-&quot;??_);_(@_)">
                  <c:v>6.208333333333333</c:v>
                </c:pt>
                <c:pt idx="50" formatCode="_(* #,##0.0000_);_(* \(#,##0.0000\);_(* &quot;-&quot;??_);_(@_)">
                  <c:v>6.333333333333333</c:v>
                </c:pt>
                <c:pt idx="51" formatCode="_(* #,##0.0000_);_(* \(#,##0.0000\);_(* &quot;-&quot;??_);_(@_)">
                  <c:v>6.4166666666666661</c:v>
                </c:pt>
                <c:pt idx="52" formatCode="_(* #,##0.0000_);_(* \(#,##0.0000\);_(* &quot;-&quot;??_);_(@_)">
                  <c:v>6.333333333333333</c:v>
                </c:pt>
                <c:pt idx="53" formatCode="_(* #,##0.0000_);_(* \(#,##0.0000\);_(* &quot;-&quot;??_);_(@_)">
                  <c:v>6.333333333333333</c:v>
                </c:pt>
                <c:pt idx="54" formatCode="_(* #,##0.0000_);_(* \(#,##0.0000\);_(* &quot;-&quot;??_);_(@_)">
                  <c:v>6.6666666666666661</c:v>
                </c:pt>
                <c:pt idx="55" formatCode="_(* #,##0.0000_);_(* \(#,##0.0000\);_(* &quot;-&quot;??_);_(@_)">
                  <c:v>6.6666666666666661</c:v>
                </c:pt>
                <c:pt idx="56" formatCode="_(* #,##0.0000_);_(* \(#,##0.0000\);_(* &quot;-&quot;??_);_(@_)">
                  <c:v>6.6666666666666661</c:v>
                </c:pt>
                <c:pt idx="57" formatCode="_(* #,##0.0000_);_(* \(#,##0.0000\);_(* &quot;-&quot;??_);_(@_)">
                  <c:v>8.75</c:v>
                </c:pt>
                <c:pt idx="58" formatCode="_(* #,##0.0000_);_(* \(#,##0.0000\);_(* &quot;-&quot;??_);_(@_)">
                  <c:v>10.5</c:v>
                </c:pt>
                <c:pt idx="59" formatCode="_(* #,##0.0000_);_(* \(#,##0.0000\);_(* &quot;-&quot;??_);_(@_)">
                  <c:v>14.166666666666666</c:v>
                </c:pt>
                <c:pt idx="60" formatCode="_(* #,##0.0000_);_(* \(#,##0.0000\);_(* &quot;-&quot;??_);_(@_)">
                  <c:v>14.333333333333332</c:v>
                </c:pt>
                <c:pt idx="61" formatCode="_(* #,##0.0000_);_(* \(#,##0.0000\);_(* &quot;-&quot;??_);_(@_)">
                  <c:v>14.333333333333332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(All)'!$CY$7:$CY$107</c:f>
              <c:numCache>
                <c:formatCode>General</c:formatCode>
                <c:ptCount val="66"/>
                <c:pt idx="28" formatCode="_(* #,##0.0000_);_(* \(#,##0.0000\);_(* &quot;-&quot;??_);_(@_)">
                  <c:v>11.7734375</c:v>
                </c:pt>
                <c:pt idx="29" formatCode="_(* #,##0.0000_);_(* \(#,##0.0000\);_(* &quot;-&quot;??_);_(@_)">
                  <c:v>4.984375</c:v>
                </c:pt>
                <c:pt idx="30" formatCode="_(* #,##0.0000_);_(* \(#,##0.0000\);_(* &quot;-&quot;??_);_(@_)">
                  <c:v>4.828125</c:v>
                </c:pt>
                <c:pt idx="31" formatCode="_(* #,##0.0000_);_(* \(#,##0.0000\);_(* &quot;-&quot;??_);_(@_)">
                  <c:v>4.405598958333333</c:v>
                </c:pt>
                <c:pt idx="32" formatCode="_(* #,##0.0000_);_(* \(#,##0.0000\);_(* &quot;-&quot;??_);_(@_)">
                  <c:v>3.984375</c:v>
                </c:pt>
                <c:pt idx="33" formatCode="_(* #,##0.0000_);_(* \(#,##0.0000\);_(* &quot;-&quot;??_);_(@_)">
                  <c:v>3.171875</c:v>
                </c:pt>
                <c:pt idx="34" formatCode="_(* #,##0.0000_);_(* \(#,##0.0000\);_(* &quot;-&quot;??_);_(@_)">
                  <c:v>3.013020833333333</c:v>
                </c:pt>
                <c:pt idx="35" formatCode="_(* #,##0.0000_);_(* \(#,##0.0000\);_(* &quot;-&quot;??_);_(@_)">
                  <c:v>3.3046875</c:v>
                </c:pt>
                <c:pt idx="36" formatCode="_(* #,##0.0000_);_(* \(#,##0.0000\);_(* &quot;-&quot;??_);_(@_)">
                  <c:v>5.4375</c:v>
                </c:pt>
                <c:pt idx="37" formatCode="_(* #,##0.0000_);_(* \(#,##0.0000\);_(* &quot;-&quot;??_);_(@_)">
                  <c:v>5.0859375</c:v>
                </c:pt>
                <c:pt idx="38" formatCode="_(* #,##0.0000_);_(* \(#,##0.0000\);_(* &quot;-&quot;??_);_(@_)">
                  <c:v>4.333333333333333</c:v>
                </c:pt>
                <c:pt idx="39" formatCode="_(* #,##0.0000_);_(* \(#,##0.0000\);_(* &quot;-&quot;??_);_(@_)">
                  <c:v>4.7916666666666661</c:v>
                </c:pt>
                <c:pt idx="40" formatCode="_(* #,##0.0000_);_(* \(#,##0.0000\);_(* &quot;-&quot;??_);_(@_)">
                  <c:v>6.2291666666666661</c:v>
                </c:pt>
                <c:pt idx="41" formatCode="_(* #,##0.0000_);_(* \(#,##0.0000\);_(* &quot;-&quot;??_);_(@_)">
                  <c:v>5.833333333333333</c:v>
                </c:pt>
                <c:pt idx="42" formatCode="_(* #,##0.0000_);_(* \(#,##0.0000\);_(* &quot;-&quot;??_);_(@_)">
                  <c:v>4.833333333333333</c:v>
                </c:pt>
                <c:pt idx="43" formatCode="_(* #,##0.0000_);_(* \(#,##0.0000\);_(* &quot;-&quot;??_);_(@_)">
                  <c:v>5.333333333333333</c:v>
                </c:pt>
                <c:pt idx="44" formatCode="_(* #,##0.0000_);_(* \(#,##0.0000\);_(* &quot;-&quot;??_);_(@_)">
                  <c:v>5.333333333333333</c:v>
                </c:pt>
                <c:pt idx="45" formatCode="_(* #,##0.0000_);_(* \(#,##0.0000\);_(* &quot;-&quot;??_);_(@_)">
                  <c:v>5.333333333333333</c:v>
                </c:pt>
                <c:pt idx="46" formatCode="_(* #,##0.0000_);_(* \(#,##0.0000\);_(* &quot;-&quot;??_);_(@_)">
                  <c:v>5.833333333333333</c:v>
                </c:pt>
                <c:pt idx="47" formatCode="_(* #,##0.0000_);_(* \(#,##0.0000\);_(* &quot;-&quot;??_);_(@_)">
                  <c:v>5.875</c:v>
                </c:pt>
                <c:pt idx="48" formatCode="_(* #,##0.0000_);_(* \(#,##0.0000\);_(* &quot;-&quot;??_);_(@_)">
                  <c:v>6.0416666666666661</c:v>
                </c:pt>
                <c:pt idx="49" formatCode="_(* #,##0.0000_);_(* \(#,##0.0000\);_(* &quot;-&quot;??_);_(@_)">
                  <c:v>6.208333333333333</c:v>
                </c:pt>
                <c:pt idx="50" formatCode="_(* #,##0.0000_);_(* \(#,##0.0000\);_(* &quot;-&quot;??_);_(@_)">
                  <c:v>6.333333333333333</c:v>
                </c:pt>
                <c:pt idx="51" formatCode="_(* #,##0.0000_);_(* \(#,##0.0000\);_(* &quot;-&quot;??_);_(@_)">
                  <c:v>6.4166666666666661</c:v>
                </c:pt>
                <c:pt idx="52" formatCode="_(* #,##0.0000_);_(* \(#,##0.0000\);_(* &quot;-&quot;??_);_(@_)">
                  <c:v>6.333333333333333</c:v>
                </c:pt>
                <c:pt idx="53" formatCode="_(* #,##0.0000_);_(* \(#,##0.0000\);_(* &quot;-&quot;??_);_(@_)">
                  <c:v>6.333333333333333</c:v>
                </c:pt>
                <c:pt idx="54" formatCode="_(* #,##0.0000_);_(* \(#,##0.0000\);_(* &quot;-&quot;??_);_(@_)">
                  <c:v>6.6666666666666661</c:v>
                </c:pt>
                <c:pt idx="55" formatCode="_(* #,##0.0000_);_(* \(#,##0.0000\);_(* &quot;-&quot;??_);_(@_)">
                  <c:v>6.6666666666666661</c:v>
                </c:pt>
                <c:pt idx="56" formatCode="_(* #,##0.0000_);_(* \(#,##0.0000\);_(* &quot;-&quot;??_);_(@_)">
                  <c:v>6.6666666666666661</c:v>
                </c:pt>
                <c:pt idx="57" formatCode="_(* #,##0.0000_);_(* \(#,##0.0000\);_(* &quot;-&quot;??_);_(@_)">
                  <c:v>8.75</c:v>
                </c:pt>
                <c:pt idx="58" formatCode="_(* #,##0.0000_);_(* \(#,##0.0000\);_(* &quot;-&quot;??_);_(@_)">
                  <c:v>10.5</c:v>
                </c:pt>
                <c:pt idx="59" formatCode="_(* #,##0.0000_);_(* \(#,##0.0000\);_(* &quot;-&quot;??_);_(@_)">
                  <c:v>14.166666666666666</c:v>
                </c:pt>
                <c:pt idx="60" formatCode="_(* #,##0.0000_);_(* \(#,##0.0000\);_(* &quot;-&quot;??_);_(@_)">
                  <c:v>14.333333333333332</c:v>
                </c:pt>
                <c:pt idx="61" formatCode="_(* #,##0.0000_);_(* \(#,##0.0000\);_(* &quot;-&quot;??_);_(@_)">
                  <c:v>14.333333333333332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57840"/>
        <c:axId val="690158400"/>
      </c:scatterChart>
      <c:valAx>
        <c:axId val="6901578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58400"/>
        <c:crosses val="autoZero"/>
        <c:crossBetween val="midCat"/>
        <c:majorUnit val="5"/>
      </c:valAx>
      <c:valAx>
        <c:axId val="69015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578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chemeClr val="tx1"/>
                </a:solidFill>
              </a:rPr>
              <a:t>Kerosene</a:t>
            </a:r>
            <a:r>
              <a:rPr lang="en-US" sz="2000" b="1" baseline="0">
                <a:solidFill>
                  <a:schemeClr val="tx1"/>
                </a:solidFill>
              </a:rPr>
              <a:t> &amp; Petroleum, </a:t>
            </a:r>
            <a:r>
              <a:rPr lang="en-US" sz="2000" b="1">
                <a:solidFill>
                  <a:schemeClr val="tx1"/>
                </a:solidFill>
              </a:rPr>
              <a:t>in</a:t>
            </a:r>
            <a:r>
              <a:rPr lang="en-US" sz="2000" b="1" baseline="0">
                <a:solidFill>
                  <a:schemeClr val="tx1"/>
                </a:solidFill>
              </a:rPr>
              <a:t> s/case</a:t>
            </a:r>
            <a:endParaRPr lang="en-US" sz="20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9568237258822105"/>
          <c:y val="3.453617106445374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1294848573010613E-2"/>
          <c:y val="3.7703768565431867E-2"/>
          <c:w val="0.63594382391737914"/>
          <c:h val="0.90432163943954558"/>
        </c:manualLayout>
      </c:layout>
      <c:lineChart>
        <c:grouping val="standard"/>
        <c:varyColors val="0"/>
        <c:ser>
          <c:idx val="2"/>
          <c:order val="0"/>
          <c:tx>
            <c:strRef>
              <c:f>'Kerosene (All)'!$C$6</c:f>
              <c:strCache>
                <c:ptCount val="1"/>
                <c:pt idx="0">
                  <c:v>UK, Petroleum, Imports, in s/case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'Kerosene (All)'!$D$6</c:f>
              <c:strCache>
                <c:ptCount val="1"/>
                <c:pt idx="0">
                  <c:v>UK, Kerosene, Exports, in s/case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(All)'!$D$7:$D$107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0"/>
          <c:order val="2"/>
          <c:tx>
            <c:strRef>
              <c:f>'Kerosene (All)'!$E$6</c:f>
              <c:strCache>
                <c:ptCount val="1"/>
                <c:pt idx="0">
                  <c:v>USA, Kerosene, , in s/case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(All)'!$E$7:$E$107</c:f>
              <c:numCache>
                <c:formatCode>0.0000</c:formatCode>
                <c:ptCount val="66"/>
                <c:pt idx="31">
                  <c:v>4.1116230039920154</c:v>
                </c:pt>
                <c:pt idx="32">
                  <c:v>3.626891529441119</c:v>
                </c:pt>
                <c:pt idx="33">
                  <c:v>3.2727969061876245</c:v>
                </c:pt>
                <c:pt idx="34">
                  <c:v>2.9737072729540928</c:v>
                </c:pt>
                <c:pt idx="35">
                  <c:v>2.9702694610778448</c:v>
                </c:pt>
                <c:pt idx="36">
                  <c:v>3.8056577470059896</c:v>
                </c:pt>
                <c:pt idx="37">
                  <c:v>4.2835135978043919</c:v>
                </c:pt>
                <c:pt idx="38">
                  <c:v>3.7128368263473059</c:v>
                </c:pt>
                <c:pt idx="39">
                  <c:v>3.7506527569860282</c:v>
                </c:pt>
                <c:pt idx="40">
                  <c:v>4.1872548652694617</c:v>
                </c:pt>
                <c:pt idx="41">
                  <c:v>4.9091953592814379</c:v>
                </c:pt>
                <c:pt idx="42">
                  <c:v>4.524160429141717</c:v>
                </c:pt>
                <c:pt idx="43">
                  <c:v>4.5722897954091826</c:v>
                </c:pt>
                <c:pt idx="44">
                  <c:v>5.6208224176646722</c:v>
                </c:pt>
                <c:pt idx="45">
                  <c:v>5.6380114770459082</c:v>
                </c:pt>
                <c:pt idx="46">
                  <c:v>5.2082849925149715</c:v>
                </c:pt>
                <c:pt idx="47">
                  <c:v>5.3629865269461083</c:v>
                </c:pt>
                <c:pt idx="48">
                  <c:v>5.5520661801397209</c:v>
                </c:pt>
                <c:pt idx="49">
                  <c:v>5.5692552395209596</c:v>
                </c:pt>
                <c:pt idx="50">
                  <c:v>5.0535834580838337</c:v>
                </c:pt>
                <c:pt idx="51">
                  <c:v>4.4554041916167666</c:v>
                </c:pt>
                <c:pt idx="52">
                  <c:v>3.7953443113772463</c:v>
                </c:pt>
                <c:pt idx="53">
                  <c:v>4.5860410429141725</c:v>
                </c:pt>
                <c:pt idx="54">
                  <c:v>5.0879615768463085</c:v>
                </c:pt>
                <c:pt idx="55">
                  <c:v>4.9504491017964076</c:v>
                </c:pt>
                <c:pt idx="56">
                  <c:v>4.9848272205588833</c:v>
                </c:pt>
                <c:pt idx="57">
                  <c:v>5.0192053393213572</c:v>
                </c:pt>
                <c:pt idx="58">
                  <c:v>5.1223396956087832</c:v>
                </c:pt>
                <c:pt idx="59">
                  <c:v>6.9925093562874254</c:v>
                </c:pt>
                <c:pt idx="60">
                  <c:v>8.2644997504990041</c:v>
                </c:pt>
                <c:pt idx="61">
                  <c:v>10.860047717065868</c:v>
                </c:pt>
                <c:pt idx="62">
                  <c:v>10.01778380738523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'Kerosene (All)'!$K$6</c:f>
              <c:strCache>
                <c:ptCount val="1"/>
                <c:pt idx="0">
                  <c:v>Basrah, Petroleum, Bazaar (Local), in s/case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(All)'!$K$7:$K$107</c:f>
              <c:numCache>
                <c:formatCode>0.0000</c:formatCode>
                <c:ptCount val="66"/>
                <c:pt idx="49">
                  <c:v>4.1666666666666599</c:v>
                </c:pt>
                <c:pt idx="52">
                  <c:v>5.3746414228342001</c:v>
                </c:pt>
                <c:pt idx="53">
                  <c:v>12.893982808022926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'Kerosene (All)'!$F$6</c:f>
              <c:strCache>
                <c:ptCount val="1"/>
                <c:pt idx="0">
                  <c:v>Baghdad, Kerosene, Imports, in s/drum &amp; s/case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(All)'!$F$7:$F$107</c:f>
              <c:numCache>
                <c:formatCode>0.0000</c:formatCode>
                <c:ptCount val="66"/>
                <c:pt idx="7">
                  <c:v>20.047620733999672</c:v>
                </c:pt>
                <c:pt idx="9">
                  <c:v>22.055338880803841</c:v>
                </c:pt>
                <c:pt idx="10">
                  <c:v>17.437588034770105</c:v>
                </c:pt>
                <c:pt idx="18">
                  <c:v>2.7510917030567601</c:v>
                </c:pt>
                <c:pt idx="37">
                  <c:v>7.3911572298669004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'Kerosene (All)'!$G$6</c:f>
              <c:strCache>
                <c:ptCount val="1"/>
                <c:pt idx="0">
                  <c:v>Baghdad, Kerosene, Imports, in s/case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(All)'!$G$7:$G$107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7"/>
          <c:order val="6"/>
          <c:tx>
            <c:strRef>
              <c:f>'Kerosene (All)'!$H$6</c:f>
              <c:strCache>
                <c:ptCount val="1"/>
                <c:pt idx="0">
                  <c:v>Baghdad, Naphtha, white,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(All)'!$H$7:$H$107</c:f>
              <c:numCache>
                <c:formatCode>0.0000</c:formatCode>
                <c:ptCount val="66"/>
                <c:pt idx="9">
                  <c:v>47.521365902340719</c:v>
                </c:pt>
                <c:pt idx="10">
                  <c:v>10.973307404786555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'Kerosene (All)'!$I$6</c:f>
              <c:strCache>
                <c:ptCount val="1"/>
                <c:pt idx="0">
                  <c:v>Basrah, Petroleum, Imports,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(All)'!$I$7:$I$107</c:f>
              <c:numCache>
                <c:formatCode>0.0000</c:formatCode>
                <c:ptCount val="66"/>
                <c:pt idx="41">
                  <c:v>5.0010370299462403</c:v>
                </c:pt>
                <c:pt idx="42">
                  <c:v>4.5001907668828602</c:v>
                </c:pt>
                <c:pt idx="43">
                  <c:v>5.0004688232536401</c:v>
                </c:pt>
                <c:pt idx="44">
                  <c:v>5</c:v>
                </c:pt>
                <c:pt idx="45">
                  <c:v>5.4999913630788804</c:v>
                </c:pt>
                <c:pt idx="46">
                  <c:v>6.5</c:v>
                </c:pt>
                <c:pt idx="47">
                  <c:v>5.9998564284176004</c:v>
                </c:pt>
                <c:pt idx="48">
                  <c:v>5.9999188777313597</c:v>
                </c:pt>
                <c:pt idx="49">
                  <c:v>4.9999521425768396</c:v>
                </c:pt>
                <c:pt idx="50">
                  <c:v>5</c:v>
                </c:pt>
                <c:pt idx="51">
                  <c:v>5.4999001398042804</c:v>
                </c:pt>
                <c:pt idx="52">
                  <c:v>5.5</c:v>
                </c:pt>
                <c:pt idx="53">
                  <c:v>5.4999849700904804</c:v>
                </c:pt>
              </c:numCache>
            </c:numRef>
          </c:val>
          <c:smooth val="0"/>
        </c:ser>
        <c:ser>
          <c:idx val="15"/>
          <c:order val="8"/>
          <c:tx>
            <c:strRef>
              <c:f>'Kerosene (All)'!$L$6</c:f>
              <c:strCache>
                <c:ptCount val="1"/>
                <c:pt idx="0">
                  <c:v>Mosul, Petroleum, Imports,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(All)'!$L$7:$L$107</c:f>
              <c:numCache>
                <c:formatCode>0.0000</c:formatCode>
                <c:ptCount val="66"/>
                <c:pt idx="24">
                  <c:v>12.72727272727272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'Kerosene (All)'!$J$6</c:f>
              <c:strCache>
                <c:ptCount val="1"/>
                <c:pt idx="0">
                  <c:v>Basrah, Kerosene, Imports, in s/case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(All)'!$J$7:$J$107</c:f>
              <c:numCache>
                <c:formatCode>0.0000</c:formatCode>
                <c:ptCount val="66"/>
                <c:pt idx="27">
                  <c:v>6.4754496840058398</c:v>
                </c:pt>
                <c:pt idx="28">
                  <c:v>6.3333333333333393</c:v>
                </c:pt>
                <c:pt idx="29">
                  <c:v>6.05</c:v>
                </c:pt>
                <c:pt idx="30">
                  <c:v>6.3864725723415603</c:v>
                </c:pt>
                <c:pt idx="31">
                  <c:v>6.8875708273965399</c:v>
                </c:pt>
                <c:pt idx="32">
                  <c:v>4.9999137826979201</c:v>
                </c:pt>
                <c:pt idx="33">
                  <c:v>4.9998672366639205</c:v>
                </c:pt>
                <c:pt idx="34">
                  <c:v>5.0071648312005799</c:v>
                </c:pt>
                <c:pt idx="35">
                  <c:v>5</c:v>
                </c:pt>
                <c:pt idx="36">
                  <c:v>4.9259608452110202</c:v>
                </c:pt>
                <c:pt idx="37">
                  <c:v>4.9999473844826401</c:v>
                </c:pt>
                <c:pt idx="38">
                  <c:v>4.0427161334241006</c:v>
                </c:pt>
                <c:pt idx="39">
                  <c:v>5.5001542587274797</c:v>
                </c:pt>
                <c:pt idx="40">
                  <c:v>5.9998160834981</c:v>
                </c:pt>
              </c:numCache>
            </c:numRef>
          </c:val>
          <c:smooth val="0"/>
        </c:ser>
        <c:ser>
          <c:idx val="158"/>
          <c:order val="10"/>
          <c:tx>
            <c:strRef>
              <c:f>'Kerosene (All)'!$CL$6</c:f>
              <c:strCache>
                <c:ptCount val="1"/>
                <c:pt idx="0">
                  <c:v>Bahrain, Kerosene, Exports, in s/case</c:v>
                </c:pt>
              </c:strCache>
            </c:strRef>
          </c:tx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(All)'!$CL$7:$CL$107</c:f>
              <c:numCache>
                <c:formatCode>0.0000</c:formatCode>
                <c:ptCount val="66"/>
                <c:pt idx="38">
                  <c:v>4.3725714285714297</c:v>
                </c:pt>
                <c:pt idx="39">
                  <c:v>5.3864695484492939</c:v>
                </c:pt>
                <c:pt idx="40">
                  <c:v>6.9975062344139571</c:v>
                </c:pt>
                <c:pt idx="41">
                  <c:v>4.6494845360824675</c:v>
                </c:pt>
                <c:pt idx="42">
                  <c:v>4.6666666666666625</c:v>
                </c:pt>
                <c:pt idx="43">
                  <c:v>6.001214820813936</c:v>
                </c:pt>
                <c:pt idx="44">
                  <c:v>5.9982920580700263</c:v>
                </c:pt>
                <c:pt idx="45">
                  <c:v>6.16439187139824</c:v>
                </c:pt>
                <c:pt idx="46">
                  <c:v>5.6668968692449386</c:v>
                </c:pt>
                <c:pt idx="47">
                  <c:v>5.3333333333333277</c:v>
                </c:pt>
                <c:pt idx="48">
                  <c:v>5.3333333333333277</c:v>
                </c:pt>
                <c:pt idx="49">
                  <c:v>5.3333333333333277</c:v>
                </c:pt>
                <c:pt idx="50">
                  <c:v>5.3308752183194219</c:v>
                </c:pt>
                <c:pt idx="51">
                  <c:v>6.0002862595419781</c:v>
                </c:pt>
                <c:pt idx="52">
                  <c:v>5.9999999999999938</c:v>
                </c:pt>
                <c:pt idx="53">
                  <c:v>6.7506382978723449</c:v>
                </c:pt>
              </c:numCache>
            </c:numRef>
          </c:val>
          <c:smooth val="0"/>
        </c:ser>
        <c:ser>
          <c:idx val="35"/>
          <c:order val="11"/>
          <c:tx>
            <c:strRef>
              <c:f>'Kerosene (All)'!$Z$6</c:f>
              <c:strCache>
                <c:ptCount val="1"/>
                <c:pt idx="0">
                  <c:v>Beirut, Petroleum, Imports (from Russia), in s/case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(All)'!$Z$7:$Z$107</c:f>
              <c:numCache>
                <c:formatCode>0.0000</c:formatCode>
                <c:ptCount val="66"/>
                <c:pt idx="27">
                  <c:v>4.25</c:v>
                </c:pt>
                <c:pt idx="28">
                  <c:v>4.833333333333333</c:v>
                </c:pt>
                <c:pt idx="36">
                  <c:v>3.4230163620182101</c:v>
                </c:pt>
                <c:pt idx="37">
                  <c:v>3.06</c:v>
                </c:pt>
                <c:pt idx="38">
                  <c:v>3.0636363636363635</c:v>
                </c:pt>
                <c:pt idx="39">
                  <c:v>2.916666666666667</c:v>
                </c:pt>
                <c:pt idx="40">
                  <c:v>7.2000000000000011</c:v>
                </c:pt>
                <c:pt idx="41">
                  <c:v>6.166666666666667</c:v>
                </c:pt>
                <c:pt idx="42">
                  <c:v>4.3333333333333339</c:v>
                </c:pt>
              </c:numCache>
            </c:numRef>
          </c:val>
          <c:smooth val="0"/>
        </c:ser>
        <c:ser>
          <c:idx val="25"/>
          <c:order val="12"/>
          <c:tx>
            <c:strRef>
              <c:f>'Kerosene (All)'!$T$6</c:f>
              <c:strCache>
                <c:ptCount val="1"/>
                <c:pt idx="0">
                  <c:v>Palestine, Petroleum, Bazaar (Local), in s/case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(All)'!$T$7:$T$107</c:f>
              <c:numCache>
                <c:formatCode>0.0000</c:formatCode>
                <c:ptCount val="66"/>
                <c:pt idx="20">
                  <c:v>7.0845310083476338</c:v>
                </c:pt>
              </c:numCache>
            </c:numRef>
          </c:val>
          <c:smooth val="0"/>
        </c:ser>
        <c:ser>
          <c:idx val="17"/>
          <c:order val="13"/>
          <c:tx>
            <c:strRef>
              <c:f>'Kerosene (All)'!$M$6</c:f>
              <c:strCache>
                <c:ptCount val="1"/>
                <c:pt idx="0">
                  <c:v>Mosul, Kerosene, Exports, in s/case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(All)'!$M$7:$M$107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59"/>
          <c:order val="14"/>
          <c:tx>
            <c:strRef>
              <c:f>'Kerosene (All)'!$AL$6</c:f>
              <c:strCache>
                <c:ptCount val="1"/>
                <c:pt idx="0">
                  <c:v>Constantinople, Naphtha &amp; other mineral oils, Imports, in s/case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(All)'!$AL$7:$AL$107</c:f>
              <c:numCache>
                <c:formatCode>0.0000</c:formatCode>
                <c:ptCount val="66"/>
                <c:pt idx="47">
                  <c:v>8.3544266256590429</c:v>
                </c:pt>
                <c:pt idx="50">
                  <c:v>7.1922046703296818</c:v>
                </c:pt>
              </c:numCache>
            </c:numRef>
          </c:val>
          <c:smooth val="0"/>
        </c:ser>
        <c:ser>
          <c:idx val="19"/>
          <c:order val="15"/>
          <c:tx>
            <c:strRef>
              <c:f>'Kerosene (All)'!$N$6</c:f>
              <c:strCache>
                <c:ptCount val="1"/>
                <c:pt idx="0">
                  <c:v>Mosul, Kerosene, Bazaar (Local), in s/case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(All)'!$N$7:$N$107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41"/>
          <c:order val="16"/>
          <c:tx>
            <c:strRef>
              <c:f>'Kerosene (All)'!$BZ$6</c:f>
              <c:strCache>
                <c:ptCount val="1"/>
                <c:pt idx="0">
                  <c:v>Bender Gez &amp; Astarabad, Naphtha Oil,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(All)'!$BZ$7:$BZ$107</c:f>
              <c:numCache>
                <c:formatCode>0.0000</c:formatCode>
                <c:ptCount val="66"/>
                <c:pt idx="46">
                  <c:v>4.5747628458498104</c:v>
                </c:pt>
                <c:pt idx="47">
                  <c:v>3.621258600194512</c:v>
                </c:pt>
                <c:pt idx="48">
                  <c:v>3.7774255729278279</c:v>
                </c:pt>
              </c:numCache>
            </c:numRef>
          </c:val>
          <c:smooth val="0"/>
        </c:ser>
        <c:ser>
          <c:idx val="174"/>
          <c:order val="17"/>
          <c:tx>
            <c:strRef>
              <c:f>'Kerosene (All)'!$CT$6</c:f>
              <c:strCache>
                <c:ptCount val="1"/>
                <c:pt idx="0">
                  <c:v>Lingah, Kerosene, Exports, in s/case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(All)'!$CT$7:$CT$107</c:f>
              <c:numCache>
                <c:formatCode>0.0000</c:formatCode>
                <c:ptCount val="66"/>
                <c:pt idx="27">
                  <c:v>7.3223552826339127</c:v>
                </c:pt>
                <c:pt idx="29">
                  <c:v>6.460527809523807</c:v>
                </c:pt>
                <c:pt idx="30">
                  <c:v>7.5098124285714336</c:v>
                </c:pt>
                <c:pt idx="31">
                  <c:v>7.4281858208955232</c:v>
                </c:pt>
                <c:pt idx="32">
                  <c:v>7.0400500232666321</c:v>
                </c:pt>
                <c:pt idx="33">
                  <c:v>7.1231216517857154</c:v>
                </c:pt>
                <c:pt idx="34">
                  <c:v>7.6740761405011773</c:v>
                </c:pt>
                <c:pt idx="35">
                  <c:v>7.0731561512811538</c:v>
                </c:pt>
                <c:pt idx="36">
                  <c:v>7.227938571428572</c:v>
                </c:pt>
                <c:pt idx="37">
                  <c:v>4.4351241061496891</c:v>
                </c:pt>
                <c:pt idx="38">
                  <c:v>2.9525892857142861</c:v>
                </c:pt>
                <c:pt idx="39">
                  <c:v>3.1462791428571437</c:v>
                </c:pt>
                <c:pt idx="40">
                  <c:v>4.3265274999999965</c:v>
                </c:pt>
                <c:pt idx="41">
                  <c:v>3.6397373376623361</c:v>
                </c:pt>
                <c:pt idx="47">
                  <c:v>15.292898351648297</c:v>
                </c:pt>
                <c:pt idx="49">
                  <c:v>5.3412008426966304</c:v>
                </c:pt>
                <c:pt idx="50">
                  <c:v>5.1104035281676641</c:v>
                </c:pt>
                <c:pt idx="51">
                  <c:v>4.4132934896135527</c:v>
                </c:pt>
                <c:pt idx="52">
                  <c:v>5.5847425249169493</c:v>
                </c:pt>
              </c:numCache>
            </c:numRef>
          </c:val>
          <c:smooth val="0"/>
        </c:ser>
        <c:ser>
          <c:idx val="33"/>
          <c:order val="18"/>
          <c:tx>
            <c:strRef>
              <c:f>'Kerosene (All)'!$Y$6</c:f>
              <c:strCache>
                <c:ptCount val="1"/>
                <c:pt idx="0">
                  <c:v>Beirut, Petroleum, Imports (from US), in s/case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(All)'!$Y$7:$Y$107</c:f>
              <c:numCache>
                <c:formatCode>0.0000</c:formatCode>
                <c:ptCount val="66"/>
                <c:pt idx="11">
                  <c:v>15.873015873015872</c:v>
                </c:pt>
                <c:pt idx="12">
                  <c:v>13.888888888888889</c:v>
                </c:pt>
                <c:pt idx="13">
                  <c:v>12.831683168316832</c:v>
                </c:pt>
                <c:pt idx="14">
                  <c:v>9.6031746031746028</c:v>
                </c:pt>
                <c:pt idx="16">
                  <c:v>10</c:v>
                </c:pt>
                <c:pt idx="17">
                  <c:v>12.48</c:v>
                </c:pt>
                <c:pt idx="18">
                  <c:v>10</c:v>
                </c:pt>
                <c:pt idx="19">
                  <c:v>6.3636363636363633</c:v>
                </c:pt>
                <c:pt idx="20">
                  <c:v>8.178438661710036</c:v>
                </c:pt>
                <c:pt idx="21">
                  <c:v>6.7316116377901274</c:v>
                </c:pt>
                <c:pt idx="22">
                  <c:v>6.6665573770491804</c:v>
                </c:pt>
                <c:pt idx="27">
                  <c:v>9.4999999999999982</c:v>
                </c:pt>
              </c:numCache>
            </c:numRef>
          </c:val>
          <c:smooth val="0"/>
        </c:ser>
        <c:ser>
          <c:idx val="57"/>
          <c:order val="19"/>
          <c:tx>
            <c:strRef>
              <c:f>'Kerosene (All)'!$AK$6</c:f>
              <c:strCache>
                <c:ptCount val="1"/>
                <c:pt idx="0">
                  <c:v>Constantinople, Petroleum, Imports, in s/case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(All)'!$AK$7:$AK$107</c:f>
              <c:numCache>
                <c:formatCode>0.0000</c:formatCode>
                <c:ptCount val="66"/>
                <c:pt idx="38">
                  <c:v>3.8333333333333339</c:v>
                </c:pt>
                <c:pt idx="39">
                  <c:v>4.5882352941176521</c:v>
                </c:pt>
                <c:pt idx="40">
                  <c:v>4.1696969696969761</c:v>
                </c:pt>
                <c:pt idx="47">
                  <c:v>5.0672665019438341</c:v>
                </c:pt>
              </c:numCache>
            </c:numRef>
          </c:val>
          <c:smooth val="0"/>
        </c:ser>
        <c:ser>
          <c:idx val="21"/>
          <c:order val="20"/>
          <c:tx>
            <c:strRef>
              <c:f>'Kerosene (All)'!$R$6</c:f>
              <c:strCache>
                <c:ptCount val="1"/>
                <c:pt idx="0">
                  <c:v>Palestine, Petroleum, Imports,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(All)'!$R$7:$R$107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23"/>
          <c:order val="21"/>
          <c:tx>
            <c:strRef>
              <c:f>'Kerosene (All)'!$S$6</c:f>
              <c:strCache>
                <c:ptCount val="1"/>
                <c:pt idx="0">
                  <c:v>Palestine, Kerosene, Exports, in s/case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(All)'!$S$7:$S$107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29"/>
          <c:order val="22"/>
          <c:tx>
            <c:strRef>
              <c:f>'Kerosene (All)'!$W$6</c:f>
              <c:strCache>
                <c:ptCount val="1"/>
                <c:pt idx="0">
                  <c:v>Damascus, Kerosene, Exports, in s/case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(All)'!$W$7:$W$107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31"/>
          <c:order val="23"/>
          <c:tx>
            <c:strRef>
              <c:f>'Kerosene (All)'!$X$6</c:f>
              <c:strCache>
                <c:ptCount val="1"/>
                <c:pt idx="0">
                  <c:v>Damascus, Kerosene, Bazaar (Local), in s/case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(All)'!$X$7:$X$107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91"/>
          <c:order val="24"/>
          <c:tx>
            <c:strRef>
              <c:f>'Kerosene (All)'!$BB$6</c:f>
              <c:strCache>
                <c:ptCount val="1"/>
                <c:pt idx="0">
                  <c:v>Yezd, Kerosene,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(All)'!$BB$7:$BB$107</c:f>
              <c:numCache>
                <c:formatCode>0.0000</c:formatCode>
                <c:ptCount val="66"/>
                <c:pt idx="45" formatCode="_(* #,##0.0000_);_(* \(#,##0.0000\);_(* &quot;-&quot;??_);_(@_)">
                  <c:v>13.825964419157277</c:v>
                </c:pt>
                <c:pt idx="46" formatCode="_(* #,##0.0000_);_(* \(#,##0.0000\);_(* &quot;-&quot;??_);_(@_)">
                  <c:v>11.45429228552428</c:v>
                </c:pt>
                <c:pt idx="52" formatCode="_(* #,##0.0000_);_(* \(#,##0.0000\);_(* &quot;-&quot;??_);_(@_)">
                  <c:v>20.107890109890111</c:v>
                </c:pt>
              </c:numCache>
            </c:numRef>
          </c:val>
          <c:smooth val="0"/>
        </c:ser>
        <c:ser>
          <c:idx val="37"/>
          <c:order val="25"/>
          <c:tx>
            <c:strRef>
              <c:f>'Kerosene (All)'!$AA$6</c:f>
              <c:strCache>
                <c:ptCount val="1"/>
                <c:pt idx="0">
                  <c:v>Beirut, Kerosene, Bazaar (Local), in s/case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(All)'!$AA$7:$AA$107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38"/>
          <c:order val="26"/>
          <c:tx>
            <c:strRef>
              <c:f>'Kerosene (All)'!$AB$6</c:f>
              <c:strCache>
                <c:ptCount val="1"/>
                <c:pt idx="0">
                  <c:v>Istanbul (Anatolia), Kerosene, Imports, in s/case</c:v>
                </c:pt>
              </c:strCache>
            </c:strRef>
          </c:tx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(All)'!$AB$7:$AB$107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61"/>
          <c:order val="27"/>
          <c:tx>
            <c:strRef>
              <c:f>'Kerosene (All)'!$AM$6</c:f>
              <c:strCache>
                <c:ptCount val="1"/>
                <c:pt idx="0">
                  <c:v>Trebizond (Anatolia), Petroleum,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(All)'!$AM$7:$AM$107</c:f>
              <c:numCache>
                <c:formatCode>0.0000</c:formatCode>
                <c:ptCount val="66"/>
                <c:pt idx="9">
                  <c:v>15</c:v>
                </c:pt>
                <c:pt idx="10">
                  <c:v>14.995433789954337</c:v>
                </c:pt>
                <c:pt idx="11">
                  <c:v>15.001618646811266</c:v>
                </c:pt>
                <c:pt idx="12">
                  <c:v>15</c:v>
                </c:pt>
                <c:pt idx="13">
                  <c:v>15.000721604849186</c:v>
                </c:pt>
                <c:pt idx="14">
                  <c:v>13.99920519274076</c:v>
                </c:pt>
                <c:pt idx="15">
                  <c:v>12.998674618952951</c:v>
                </c:pt>
                <c:pt idx="17">
                  <c:v>12.999251310207139</c:v>
                </c:pt>
                <c:pt idx="18">
                  <c:v>12.5</c:v>
                </c:pt>
                <c:pt idx="19">
                  <c:v>12.5</c:v>
                </c:pt>
                <c:pt idx="20">
                  <c:v>12.500223473674801</c:v>
                </c:pt>
                <c:pt idx="21">
                  <c:v>7.13170731707317</c:v>
                </c:pt>
                <c:pt idx="23">
                  <c:v>3.2719087084851921</c:v>
                </c:pt>
                <c:pt idx="24">
                  <c:v>2.9526105998720538</c:v>
                </c:pt>
                <c:pt idx="25">
                  <c:v>4.1280921624388656</c:v>
                </c:pt>
                <c:pt idx="26">
                  <c:v>4.1301986066772125</c:v>
                </c:pt>
                <c:pt idx="27">
                  <c:v>3.5421817985582607</c:v>
                </c:pt>
                <c:pt idx="28">
                  <c:v>3.5679365568728532</c:v>
                </c:pt>
                <c:pt idx="29">
                  <c:v>3.5407563732872118</c:v>
                </c:pt>
                <c:pt idx="30">
                  <c:v>3.5446081030319099</c:v>
                </c:pt>
                <c:pt idx="31">
                  <c:v>3.5438201728382857</c:v>
                </c:pt>
                <c:pt idx="32">
                  <c:v>3.5431327198464642</c:v>
                </c:pt>
                <c:pt idx="33">
                  <c:v>3.5431327198464642</c:v>
                </c:pt>
                <c:pt idx="34">
                  <c:v>3.6928904909062577</c:v>
                </c:pt>
                <c:pt idx="35">
                  <c:v>4.7107177661776358</c:v>
                </c:pt>
                <c:pt idx="36">
                  <c:v>4.2514522997507935</c:v>
                </c:pt>
                <c:pt idx="37">
                  <c:v>2.798137167845705</c:v>
                </c:pt>
                <c:pt idx="38">
                  <c:v>2.8350659124837825</c:v>
                </c:pt>
                <c:pt idx="39">
                  <c:v>2.843299886867483</c:v>
                </c:pt>
                <c:pt idx="40">
                  <c:v>2.836688243756984</c:v>
                </c:pt>
                <c:pt idx="41">
                  <c:v>2.3620884798976425</c:v>
                </c:pt>
                <c:pt idx="42">
                  <c:v>2.3605960061319116</c:v>
                </c:pt>
                <c:pt idx="43">
                  <c:v>2.4122123733702723</c:v>
                </c:pt>
                <c:pt idx="44">
                  <c:v>3.5693951871201195</c:v>
                </c:pt>
                <c:pt idx="45">
                  <c:v>3.4489183645229113</c:v>
                </c:pt>
                <c:pt idx="46">
                  <c:v>3.7785970166999334</c:v>
                </c:pt>
                <c:pt idx="47">
                  <c:v>3.797910756133783</c:v>
                </c:pt>
                <c:pt idx="48">
                  <c:v>3.3039185199557282</c:v>
                </c:pt>
                <c:pt idx="49">
                  <c:v>3.3292996527205125</c:v>
                </c:pt>
              </c:numCache>
            </c:numRef>
          </c:val>
          <c:smooth val="0"/>
        </c:ser>
        <c:ser>
          <c:idx val="40"/>
          <c:order val="28"/>
          <c:tx>
            <c:strRef>
              <c:f>'Kerosene (All)'!$AC$6</c:f>
              <c:strCache>
                <c:ptCount val="1"/>
                <c:pt idx="0">
                  <c:v>Istanbul (Anatolia), Kerosene, Exports, in s/case</c:v>
                </c:pt>
              </c:strCache>
            </c:strRef>
          </c:tx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(All)'!$AC$7:$AC$107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42"/>
          <c:order val="29"/>
          <c:tx>
            <c:strRef>
              <c:f>'Kerosene (All)'!$AD$6</c:f>
              <c:strCache>
                <c:ptCount val="1"/>
                <c:pt idx="0">
                  <c:v>Istanbul (Anatolia), Kerosene, Bazaar (Local), in s/case</c:v>
                </c:pt>
              </c:strCache>
            </c:strRef>
          </c:tx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(All)'!$AD$7:$AD$107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43"/>
          <c:order val="30"/>
          <c:tx>
            <c:strRef>
              <c:f>'Kerosene (All)'!$AE$6</c:f>
              <c:strCache>
                <c:ptCount val="1"/>
                <c:pt idx="0">
                  <c:v>Istanbul (Rumeli), Kerosene,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(All)'!$AE$7:$AE$107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45"/>
          <c:order val="31"/>
          <c:tx>
            <c:strRef>
              <c:f>'Kerosene (All)'!$AF$6</c:f>
              <c:strCache>
                <c:ptCount val="1"/>
                <c:pt idx="0">
                  <c:v>Istanbul (Rumeli),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(All)'!$AF$7:$AF$107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62"/>
          <c:order val="32"/>
          <c:tx>
            <c:strRef>
              <c:f>'Kerosene (All)'!$CN$6</c:f>
              <c:strCache>
                <c:ptCount val="1"/>
                <c:pt idx="0">
                  <c:v>Muscat, Kerosene, Exports, in s/case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(All)'!$CN$7:$CN$107</c:f>
              <c:numCache>
                <c:formatCode>0.0000</c:formatCode>
                <c:ptCount val="66"/>
                <c:pt idx="15">
                  <c:v>11.56034913530895</c:v>
                </c:pt>
                <c:pt idx="19">
                  <c:v>6.944678601431022</c:v>
                </c:pt>
                <c:pt idx="20">
                  <c:v>7.080184525361382</c:v>
                </c:pt>
                <c:pt idx="21">
                  <c:v>8.7549530539381735</c:v>
                </c:pt>
                <c:pt idx="22">
                  <c:v>6.1210566575417875</c:v>
                </c:pt>
                <c:pt idx="23">
                  <c:v>5.3909475935103721</c:v>
                </c:pt>
                <c:pt idx="24">
                  <c:v>4.1159924393847298</c:v>
                </c:pt>
                <c:pt idx="25">
                  <c:v>5.4837553590568078</c:v>
                </c:pt>
                <c:pt idx="26">
                  <c:v>5.0635375398095217</c:v>
                </c:pt>
                <c:pt idx="27">
                  <c:v>5.2984933536832557</c:v>
                </c:pt>
                <c:pt idx="28">
                  <c:v>5.8098164885142305</c:v>
                </c:pt>
                <c:pt idx="29">
                  <c:v>5.784409127777292</c:v>
                </c:pt>
                <c:pt idx="30">
                  <c:v>6.4704078676747443</c:v>
                </c:pt>
                <c:pt idx="31">
                  <c:v>6.1062356971119067</c:v>
                </c:pt>
                <c:pt idx="32">
                  <c:v>5.049712946467368</c:v>
                </c:pt>
                <c:pt idx="33">
                  <c:v>4.0538855575833121</c:v>
                </c:pt>
                <c:pt idx="34">
                  <c:v>3.5944357842569339</c:v>
                </c:pt>
              </c:numCache>
            </c:numRef>
          </c:val>
          <c:smooth val="0"/>
        </c:ser>
        <c:ser>
          <c:idx val="47"/>
          <c:order val="33"/>
          <c:tx>
            <c:strRef>
              <c:f>'Kerosene (All)'!$AG$6</c:f>
              <c:strCache>
                <c:ptCount val="1"/>
                <c:pt idx="0">
                  <c:v>Istanbul (Rumeli),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(All)'!$AG$7:$AG$107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49"/>
          <c:order val="34"/>
          <c:tx>
            <c:strRef>
              <c:f>'Kerosene (All)'!$AH$6</c:f>
              <c:strCache>
                <c:ptCount val="1"/>
                <c:pt idx="0">
                  <c:v>Turkey, Kerosene,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(All)'!$AH$7:$AH$107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51"/>
          <c:order val="35"/>
          <c:tx>
            <c:strRef>
              <c:f>'Kerosene (All)'!$AI$6</c:f>
              <c:strCache>
                <c:ptCount val="1"/>
                <c:pt idx="0">
                  <c:v>Turkey,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(All)'!$AI$7:$AI$107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53"/>
          <c:order val="36"/>
          <c:tx>
            <c:strRef>
              <c:f>'Kerosene (All)'!$AJ$6</c:f>
              <c:strCache>
                <c:ptCount val="1"/>
                <c:pt idx="0">
                  <c:v>Turkey,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(All)'!$AJ$7:$AJ$107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99"/>
          <c:order val="37"/>
          <c:tx>
            <c:strRef>
              <c:f>'Kerosene (All)'!$BF$6</c:f>
              <c:strCache>
                <c:ptCount val="1"/>
                <c:pt idx="0">
                  <c:v>Khorasan, Petroleum,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(All)'!$BF$7:$BF$107</c:f>
              <c:numCache>
                <c:formatCode>0.0000</c:formatCode>
                <c:ptCount val="66"/>
                <c:pt idx="42">
                  <c:v>7.3749922490718376</c:v>
                </c:pt>
                <c:pt idx="43">
                  <c:v>7.888553618687256</c:v>
                </c:pt>
                <c:pt idx="44">
                  <c:v>7.0389219893572212</c:v>
                </c:pt>
                <c:pt idx="45">
                  <c:v>9.2743574355127212</c:v>
                </c:pt>
                <c:pt idx="46">
                  <c:v>11.307953206806287</c:v>
                </c:pt>
                <c:pt idx="47">
                  <c:v>7.1454455050489507</c:v>
                </c:pt>
                <c:pt idx="48">
                  <c:v>7.9715208127071557</c:v>
                </c:pt>
                <c:pt idx="49">
                  <c:v>8.6229465449804454</c:v>
                </c:pt>
                <c:pt idx="50">
                  <c:v>6.522485207100595</c:v>
                </c:pt>
                <c:pt idx="51">
                  <c:v>8.140061538461536</c:v>
                </c:pt>
                <c:pt idx="52">
                  <c:v>18.633546872379643</c:v>
                </c:pt>
              </c:numCache>
            </c:numRef>
          </c:val>
          <c:smooth val="0"/>
        </c:ser>
        <c:ser>
          <c:idx val="105"/>
          <c:order val="38"/>
          <c:tx>
            <c:strRef>
              <c:f>'Kerosene (All)'!$BI$6</c:f>
              <c:strCache>
                <c:ptCount val="1"/>
                <c:pt idx="0">
                  <c:v>Kermanshah, Naphtha Oil, Imports,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(All)'!$BI$7:$BI$107</c:f>
              <c:numCache>
                <c:formatCode>0.0000</c:formatCode>
                <c:ptCount val="66"/>
                <c:pt idx="40">
                  <c:v>7.8269822485207081</c:v>
                </c:pt>
                <c:pt idx="43">
                  <c:v>7.0071255070366361</c:v>
                </c:pt>
                <c:pt idx="44">
                  <c:v>6.7524686710429327</c:v>
                </c:pt>
              </c:numCache>
            </c:numRef>
          </c:val>
          <c:smooth val="0"/>
        </c:ser>
        <c:ser>
          <c:idx val="109"/>
          <c:order val="39"/>
          <c:tx>
            <c:strRef>
              <c:f>'Kerosene (All)'!$BK$6</c:f>
              <c:strCache>
                <c:ptCount val="1"/>
                <c:pt idx="0">
                  <c:v>Kerman, Kerosene, Imports, in s/case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(All)'!$BK$7:$BK$107</c:f>
              <c:numCache>
                <c:formatCode>0.0000</c:formatCode>
                <c:ptCount val="66"/>
                <c:pt idx="45">
                  <c:v>10.000000000000009</c:v>
                </c:pt>
                <c:pt idx="46">
                  <c:v>10.000000000000009</c:v>
                </c:pt>
                <c:pt idx="47">
                  <c:v>8.64</c:v>
                </c:pt>
                <c:pt idx="48">
                  <c:v>19.999999999999979</c:v>
                </c:pt>
                <c:pt idx="49">
                  <c:v>18.037636363636398</c:v>
                </c:pt>
                <c:pt idx="50">
                  <c:v>13.227599999999978</c:v>
                </c:pt>
                <c:pt idx="51">
                  <c:v>12.626345454545492</c:v>
                </c:pt>
                <c:pt idx="52">
                  <c:v>30.062727272727301</c:v>
                </c:pt>
              </c:numCache>
            </c:numRef>
          </c:val>
          <c:smooth val="0"/>
        </c:ser>
        <c:ser>
          <c:idx val="115"/>
          <c:order val="40"/>
          <c:tx>
            <c:strRef>
              <c:f>'Kerosene (All)'!$BN$6</c:f>
              <c:strCache>
                <c:ptCount val="1"/>
                <c:pt idx="0">
                  <c:v>Bam, Kerosene,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(All)'!$BN$7:$BN$107</c:f>
              <c:numCache>
                <c:formatCode>0.0000</c:formatCode>
                <c:ptCount val="66"/>
                <c:pt idx="52">
                  <c:v>23.454790970469826</c:v>
                </c:pt>
              </c:numCache>
            </c:numRef>
          </c:val>
          <c:smooth val="0"/>
        </c:ser>
        <c:ser>
          <c:idx val="63"/>
          <c:order val="41"/>
          <c:tx>
            <c:strRef>
              <c:f>'Kerosene (All)'!$AN$6</c:f>
              <c:strCache>
                <c:ptCount val="1"/>
                <c:pt idx="0">
                  <c:v>Trebizond (Anatolia),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(All)'!$AN$7:$AN$107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65"/>
          <c:order val="42"/>
          <c:tx>
            <c:strRef>
              <c:f>'Kerosene (All)'!$AO$6</c:f>
              <c:strCache>
                <c:ptCount val="1"/>
                <c:pt idx="0">
                  <c:v>Trebizond (Anatolia),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(All)'!$AO$7:$AO$107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33"/>
          <c:order val="43"/>
          <c:tx>
            <c:strRef>
              <c:f>'Kerosene (All)'!$BV$6</c:f>
              <c:strCache>
                <c:ptCount val="1"/>
                <c:pt idx="0">
                  <c:v>Ghilan &amp; Tunekabun, Naphtha Oil,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(All)'!$BV$7:$BV$107</c:f>
              <c:numCache>
                <c:formatCode>0.0000</c:formatCode>
                <c:ptCount val="66"/>
                <c:pt idx="46">
                  <c:v>1.5284192165325285</c:v>
                </c:pt>
                <c:pt idx="47">
                  <c:v>1.6693159391168357</c:v>
                </c:pt>
                <c:pt idx="48">
                  <c:v>1.5567493820123139</c:v>
                </c:pt>
                <c:pt idx="49">
                  <c:v>1.4066515512474003</c:v>
                </c:pt>
                <c:pt idx="50">
                  <c:v>1.0662318852116</c:v>
                </c:pt>
              </c:numCache>
            </c:numRef>
          </c:val>
          <c:smooth val="0"/>
        </c:ser>
        <c:ser>
          <c:idx val="67"/>
          <c:order val="44"/>
          <c:tx>
            <c:strRef>
              <c:f>'Kerosene (All)'!$AP$6</c:f>
              <c:strCache>
                <c:ptCount val="1"/>
                <c:pt idx="0">
                  <c:v>Trebizond (Persia), Kerosene,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(All)'!$AP$7:$AP$107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69"/>
          <c:order val="45"/>
          <c:tx>
            <c:strRef>
              <c:f>'Kerosene (All)'!$AQ$6</c:f>
              <c:strCache>
                <c:ptCount val="1"/>
                <c:pt idx="0">
                  <c:v>Trebizond (Persia),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(All)'!$AQ$7:$AQ$107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56"/>
          <c:order val="46"/>
          <c:tx>
            <c:strRef>
              <c:f>'Kerosene (All)'!$CJ$6</c:f>
              <c:strCache>
                <c:ptCount val="1"/>
                <c:pt idx="0">
                  <c:v>Bahrain, Petroleum, Imports, in s/case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(All)'!$CJ$7:$CJ$107</c:f>
              <c:numCache>
                <c:formatCode>0.0000</c:formatCode>
                <c:ptCount val="66"/>
                <c:pt idx="31">
                  <c:v>10.015616485757993</c:v>
                </c:pt>
                <c:pt idx="32">
                  <c:v>8.3842318278736254</c:v>
                </c:pt>
                <c:pt idx="33">
                  <c:v>8.3827456061288945</c:v>
                </c:pt>
                <c:pt idx="34">
                  <c:v>7.186977253401361</c:v>
                </c:pt>
                <c:pt idx="35">
                  <c:v>6.888969145802653</c:v>
                </c:pt>
              </c:numCache>
            </c:numRef>
          </c:val>
          <c:smooth val="0"/>
        </c:ser>
        <c:ser>
          <c:idx val="71"/>
          <c:order val="47"/>
          <c:tx>
            <c:strRef>
              <c:f>'Kerosene (All)'!$AR$6</c:f>
              <c:strCache>
                <c:ptCount val="1"/>
                <c:pt idx="0">
                  <c:v>Trebizond (Persia),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(All)'!$AR$7:$AR$107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73"/>
          <c:order val="48"/>
          <c:tx>
            <c:strRef>
              <c:f>'Kerosene (All)'!$AS$6</c:f>
              <c:strCache>
                <c:ptCount val="1"/>
                <c:pt idx="0">
                  <c:v>Izmir, Petroleum,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(All)'!$AS$7:$AS$107</c:f>
              <c:numCache>
                <c:formatCode>0.0000</c:formatCode>
                <c:ptCount val="66"/>
                <c:pt idx="9">
                  <c:v>15.421686746987952</c:v>
                </c:pt>
                <c:pt idx="11">
                  <c:v>14</c:v>
                </c:pt>
                <c:pt idx="12">
                  <c:v>20</c:v>
                </c:pt>
                <c:pt idx="14">
                  <c:v>10</c:v>
                </c:pt>
                <c:pt idx="15">
                  <c:v>10.21875</c:v>
                </c:pt>
                <c:pt idx="16">
                  <c:v>14.944535394773489</c:v>
                </c:pt>
                <c:pt idx="17">
                  <c:v>10.39999598427845</c:v>
                </c:pt>
                <c:pt idx="18">
                  <c:v>9.5999757285235372</c:v>
                </c:pt>
                <c:pt idx="19">
                  <c:v>6.3998846659818707</c:v>
                </c:pt>
                <c:pt idx="20">
                  <c:v>8</c:v>
                </c:pt>
                <c:pt idx="21">
                  <c:v>6.4</c:v>
                </c:pt>
                <c:pt idx="22">
                  <c:v>6.9999597688047306</c:v>
                </c:pt>
                <c:pt idx="23">
                  <c:v>5.9999888658163858</c:v>
                </c:pt>
                <c:pt idx="24">
                  <c:v>6.064284167208144</c:v>
                </c:pt>
                <c:pt idx="25">
                  <c:v>6.3685797145691829</c:v>
                </c:pt>
                <c:pt idx="26">
                  <c:v>4.6322893692104099</c:v>
                </c:pt>
                <c:pt idx="28">
                  <c:v>6.4</c:v>
                </c:pt>
                <c:pt idx="30">
                  <c:v>4.8187571624732861</c:v>
                </c:pt>
                <c:pt idx="34">
                  <c:v>3.76</c:v>
                </c:pt>
                <c:pt idx="45">
                  <c:v>5.1727922503380466</c:v>
                </c:pt>
                <c:pt idx="46">
                  <c:v>4.208851002632243</c:v>
                </c:pt>
                <c:pt idx="47">
                  <c:v>4.6685884020234081</c:v>
                </c:pt>
                <c:pt idx="48">
                  <c:v>13.694701066217155</c:v>
                </c:pt>
                <c:pt idx="50">
                  <c:v>3.4123059173358286</c:v>
                </c:pt>
              </c:numCache>
            </c:numRef>
          </c:val>
          <c:smooth val="0"/>
        </c:ser>
        <c:ser>
          <c:idx val="75"/>
          <c:order val="49"/>
          <c:tx>
            <c:strRef>
              <c:f>'Kerosene (All)'!$AT$6</c:f>
              <c:strCache>
                <c:ptCount val="1"/>
                <c:pt idx="0">
                  <c:v>Izmir,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(All)'!$AT$7:$AT$107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68"/>
          <c:order val="50"/>
          <c:tx>
            <c:strRef>
              <c:f>'Kerosene (All)'!$CQ$6</c:f>
              <c:strCache>
                <c:ptCount val="1"/>
                <c:pt idx="0">
                  <c:v>Mohammerah, Kerosene, Imports, in s/case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(All)'!$CQ$7:$CQ$107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77"/>
          <c:order val="51"/>
          <c:tx>
            <c:strRef>
              <c:f>'Kerosene (All)'!$AU$6</c:f>
              <c:strCache>
                <c:ptCount val="1"/>
                <c:pt idx="0">
                  <c:v>Izmir,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(All)'!$AU$7:$AU$107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79"/>
          <c:order val="52"/>
          <c:tx>
            <c:strRef>
              <c:f>'Kerosene (All)'!$AV$6</c:f>
              <c:strCache>
                <c:ptCount val="1"/>
                <c:pt idx="0">
                  <c:v>Alexandretta, Petroleum,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(All)'!$AV$7:$AV$107</c:f>
              <c:numCache>
                <c:formatCode>0.0000</c:formatCode>
                <c:ptCount val="66"/>
                <c:pt idx="18">
                  <c:v>7.4090352940888797</c:v>
                </c:pt>
                <c:pt idx="19">
                  <c:v>6.7488242282789814</c:v>
                </c:pt>
                <c:pt idx="20">
                  <c:v>6.7488242282789814</c:v>
                </c:pt>
                <c:pt idx="21">
                  <c:v>6.5173138449178971</c:v>
                </c:pt>
                <c:pt idx="22">
                  <c:v>5.5025924815797369</c:v>
                </c:pt>
                <c:pt idx="23">
                  <c:v>5.5025924815797378</c:v>
                </c:pt>
                <c:pt idx="27">
                  <c:v>4.6079133758790771</c:v>
                </c:pt>
                <c:pt idx="28">
                  <c:v>4.7891706555695128</c:v>
                </c:pt>
                <c:pt idx="29">
                  <c:v>4.0320032947676054</c:v>
                </c:pt>
                <c:pt idx="30">
                  <c:v>3.8304137511853642</c:v>
                </c:pt>
                <c:pt idx="31">
                  <c:v>4.2244352570467703</c:v>
                </c:pt>
                <c:pt idx="32">
                  <c:v>2.9736743459028845</c:v>
                </c:pt>
                <c:pt idx="33">
                  <c:v>2.6625344754422859</c:v>
                </c:pt>
                <c:pt idx="34">
                  <c:v>2.9526105998720511</c:v>
                </c:pt>
                <c:pt idx="35">
                  <c:v>3.2478716598592556</c:v>
                </c:pt>
                <c:pt idx="36">
                  <c:v>3.2887398314593512</c:v>
                </c:pt>
                <c:pt idx="37">
                  <c:v>2.9526105998720511</c:v>
                </c:pt>
                <c:pt idx="38">
                  <c:v>2.9463417875580977</c:v>
                </c:pt>
                <c:pt idx="39">
                  <c:v>4.2193576045275325</c:v>
                </c:pt>
                <c:pt idx="40">
                  <c:v>4.1336548398208723</c:v>
                </c:pt>
                <c:pt idx="41">
                  <c:v>3.3054669167418793</c:v>
                </c:pt>
                <c:pt idx="42">
                  <c:v>2.9526105998720511</c:v>
                </c:pt>
                <c:pt idx="43">
                  <c:v>2.9526105998720511</c:v>
                </c:pt>
                <c:pt idx="44">
                  <c:v>3.6907632498400638</c:v>
                </c:pt>
                <c:pt idx="45">
                  <c:v>4.059718764243061</c:v>
                </c:pt>
                <c:pt idx="46">
                  <c:v>3.6898680853361006</c:v>
                </c:pt>
                <c:pt idx="47">
                  <c:v>3.5629446091529617</c:v>
                </c:pt>
                <c:pt idx="48">
                  <c:v>3.6912780903980194</c:v>
                </c:pt>
                <c:pt idx="49">
                  <c:v>3.5701395335244719</c:v>
                </c:pt>
                <c:pt idx="50">
                  <c:v>3.6906749012284576</c:v>
                </c:pt>
                <c:pt idx="51">
                  <c:v>3.6541612003154342</c:v>
                </c:pt>
                <c:pt idx="52">
                  <c:v>4.3872786037369318</c:v>
                </c:pt>
                <c:pt idx="53">
                  <c:v>4.2905552504921936</c:v>
                </c:pt>
              </c:numCache>
            </c:numRef>
          </c:val>
          <c:smooth val="0"/>
        </c:ser>
        <c:ser>
          <c:idx val="81"/>
          <c:order val="53"/>
          <c:tx>
            <c:strRef>
              <c:f>'Kerosene (All)'!$AW$6</c:f>
              <c:strCache>
                <c:ptCount val="1"/>
                <c:pt idx="0">
                  <c:v>Alexandretta,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(All)'!$AW$7:$AW$107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83"/>
          <c:order val="54"/>
          <c:tx>
            <c:strRef>
              <c:f>'Kerosene (All)'!$AX$6</c:f>
              <c:strCache>
                <c:ptCount val="1"/>
                <c:pt idx="0">
                  <c:v>Alexandretta,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(All)'!$AX$7:$AX$107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85"/>
          <c:order val="55"/>
          <c:tx>
            <c:strRef>
              <c:f>'Kerosene (All)'!$AY$6</c:f>
              <c:strCache>
                <c:ptCount val="1"/>
                <c:pt idx="0">
                  <c:v>Ispahan, Kerosene,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(All)'!$AY$7:$AY$107</c:f>
              <c:numCache>
                <c:formatCode>0.0000</c:formatCode>
                <c:ptCount val="66"/>
                <c:pt idx="35">
                  <c:v>15.84</c:v>
                </c:pt>
                <c:pt idx="50">
                  <c:v>11.695442619445172</c:v>
                </c:pt>
                <c:pt idx="51">
                  <c:v>15.671634074782558</c:v>
                </c:pt>
                <c:pt idx="52">
                  <c:v>13.59935188307576</c:v>
                </c:pt>
              </c:numCache>
            </c:numRef>
          </c:val>
          <c:smooth val="0"/>
        </c:ser>
        <c:ser>
          <c:idx val="87"/>
          <c:order val="56"/>
          <c:tx>
            <c:strRef>
              <c:f>'Kerosene (All)'!$AZ$6</c:f>
              <c:strCache>
                <c:ptCount val="1"/>
                <c:pt idx="0">
                  <c:v>Ispahan,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(All)'!$AZ$7:$AZ$107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89"/>
          <c:order val="57"/>
          <c:tx>
            <c:strRef>
              <c:f>'Kerosene (All)'!$BA$6</c:f>
              <c:strCache>
                <c:ptCount val="1"/>
                <c:pt idx="0">
                  <c:v>Ispahan,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(All)'!$BA$7:$BA$107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93"/>
          <c:order val="58"/>
          <c:tx>
            <c:strRef>
              <c:f>'Kerosene (All)'!$BC$6</c:f>
              <c:strCache>
                <c:ptCount val="1"/>
                <c:pt idx="0">
                  <c:v>Yezd,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(All)'!$BC$7:$BC$107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95"/>
          <c:order val="59"/>
          <c:tx>
            <c:strRef>
              <c:f>'Kerosene (All)'!$BD$6</c:f>
              <c:strCache>
                <c:ptCount val="1"/>
                <c:pt idx="0">
                  <c:v>Yezd,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(All)'!$BD$7:$BD$107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97"/>
          <c:order val="60"/>
          <c:tx>
            <c:strRef>
              <c:f>'Kerosene (All)'!$BE$6</c:f>
              <c:strCache>
                <c:ptCount val="1"/>
                <c:pt idx="0">
                  <c:v>Khorasan, Petroleum,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(All)'!$BE$7:$BE$107</c:f>
              <c:numCache>
                <c:formatCode>0.0000</c:formatCode>
                <c:ptCount val="66"/>
                <c:pt idx="42">
                  <c:v>6.6450304876344122</c:v>
                </c:pt>
                <c:pt idx="43">
                  <c:v>6.4748816275510066</c:v>
                </c:pt>
                <c:pt idx="44">
                  <c:v>5.7991481773189157</c:v>
                </c:pt>
                <c:pt idx="45">
                  <c:v>6.1928611437780283</c:v>
                </c:pt>
                <c:pt idx="46">
                  <c:v>6.0706724399100711</c:v>
                </c:pt>
                <c:pt idx="47">
                  <c:v>6.3611664416746372</c:v>
                </c:pt>
                <c:pt idx="48">
                  <c:v>6.4662315994025237</c:v>
                </c:pt>
                <c:pt idx="49">
                  <c:v>6.1917586376433604</c:v>
                </c:pt>
                <c:pt idx="50">
                  <c:v>5.7854272926969719</c:v>
                </c:pt>
                <c:pt idx="51">
                  <c:v>6.7993401341443844</c:v>
                </c:pt>
                <c:pt idx="52">
                  <c:v>7.081123283721122</c:v>
                </c:pt>
              </c:numCache>
            </c:numRef>
          </c:val>
          <c:smooth val="0"/>
        </c:ser>
        <c:ser>
          <c:idx val="101"/>
          <c:order val="61"/>
          <c:tx>
            <c:strRef>
              <c:f>'Kerosene (All)'!$BG$6</c:f>
              <c:strCache>
                <c:ptCount val="1"/>
                <c:pt idx="0">
                  <c:v>Khorasan,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(All)'!$BG$7:$BG$107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03"/>
          <c:order val="62"/>
          <c:tx>
            <c:strRef>
              <c:f>'Kerosene (All)'!$BH$6</c:f>
              <c:strCache>
                <c:ptCount val="1"/>
                <c:pt idx="0">
                  <c:v>Kermanshah, Kerosene,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(All)'!$BH$7:$BH$107</c:f>
              <c:numCache>
                <c:formatCode>0.0000</c:formatCode>
                <c:ptCount val="66"/>
                <c:pt idx="44">
                  <c:v>11.448106349096445</c:v>
                </c:pt>
                <c:pt idx="45">
                  <c:v>7.3475634289145804</c:v>
                </c:pt>
                <c:pt idx="50">
                  <c:v>11.810357142857145</c:v>
                </c:pt>
                <c:pt idx="51">
                  <c:v>13.139022321428573</c:v>
                </c:pt>
                <c:pt idx="52">
                  <c:v>12.323850931677077</c:v>
                </c:pt>
              </c:numCache>
            </c:numRef>
          </c:val>
          <c:smooth val="0"/>
        </c:ser>
        <c:ser>
          <c:idx val="111"/>
          <c:order val="63"/>
          <c:tx>
            <c:strRef>
              <c:f>'Kerosene (All)'!$BL$6</c:f>
              <c:strCache>
                <c:ptCount val="1"/>
                <c:pt idx="0">
                  <c:v>Kerman, Petroleum, Imports, in s/case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(All)'!$BL$7:$BL$107</c:f>
              <c:numCache>
                <c:formatCode>0.0000</c:formatCode>
                <c:ptCount val="66"/>
                <c:pt idx="34">
                  <c:v>7.5999999999999961</c:v>
                </c:pt>
                <c:pt idx="49">
                  <c:v>19.999999999999979</c:v>
                </c:pt>
                <c:pt idx="50">
                  <c:v>14.999999999999995</c:v>
                </c:pt>
              </c:numCache>
            </c:numRef>
          </c:val>
          <c:smooth val="0"/>
        </c:ser>
        <c:ser>
          <c:idx val="113"/>
          <c:order val="64"/>
          <c:tx>
            <c:strRef>
              <c:f>'Kerosene (All)'!$BM$6</c:f>
              <c:strCache>
                <c:ptCount val="1"/>
                <c:pt idx="0">
                  <c:v>Kerman, Kerosene, Bazaar (Local), in s/case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(All)'!$BM$7:$BM$107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17"/>
          <c:order val="65"/>
          <c:tx>
            <c:strRef>
              <c:f>'Kerosene (All)'!$BO$6</c:f>
              <c:strCache>
                <c:ptCount val="1"/>
                <c:pt idx="0">
                  <c:v>Bam,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(All)'!$BO$7:$BO$107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19"/>
          <c:order val="66"/>
          <c:tx>
            <c:strRef>
              <c:f>'Kerosene (All)'!$BP$6</c:f>
              <c:strCache>
                <c:ptCount val="1"/>
                <c:pt idx="0">
                  <c:v>Bam,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(All)'!$BP$7:$BP$107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23"/>
          <c:order val="67"/>
          <c:tx>
            <c:strRef>
              <c:f>'Kerosene (All)'!$BQ$6</c:f>
              <c:strCache>
                <c:ptCount val="1"/>
                <c:pt idx="0">
                  <c:v>Resht, Petroleum, Imports,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(All)'!$BQ$7:$BQ$107</c:f>
              <c:numCache>
                <c:formatCode>0.0000</c:formatCode>
                <c:ptCount val="66"/>
                <c:pt idx="15">
                  <c:v>4.9194486209837942</c:v>
                </c:pt>
                <c:pt idx="31">
                  <c:v>1.211419458345919</c:v>
                </c:pt>
                <c:pt idx="33">
                  <c:v>2.3771488607967965</c:v>
                </c:pt>
              </c:numCache>
            </c:numRef>
          </c:val>
          <c:smooth val="0"/>
        </c:ser>
        <c:ser>
          <c:idx val="127"/>
          <c:order val="68"/>
          <c:tx>
            <c:strRef>
              <c:f>'Kerosene (All)'!$BS$6</c:f>
              <c:strCache>
                <c:ptCount val="1"/>
                <c:pt idx="0">
                  <c:v>Mazandaran, Kerosene,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(All)'!$BS$7:$BS$107</c:f>
              <c:numCache>
                <c:formatCode>0.0000</c:formatCode>
                <c:ptCount val="66"/>
                <c:pt idx="46">
                  <c:v>2.4914722963707838</c:v>
                </c:pt>
                <c:pt idx="47">
                  <c:v>2.7506424318205474</c:v>
                </c:pt>
                <c:pt idx="48">
                  <c:v>3.0188158733834105</c:v>
                </c:pt>
                <c:pt idx="49">
                  <c:v>2.0326919253867954</c:v>
                </c:pt>
                <c:pt idx="50">
                  <c:v>1.62657751196286</c:v>
                </c:pt>
              </c:numCache>
            </c:numRef>
          </c:val>
          <c:smooth val="0"/>
        </c:ser>
        <c:ser>
          <c:idx val="129"/>
          <c:order val="69"/>
          <c:tx>
            <c:strRef>
              <c:f>'Kerosene (All)'!$BT$6</c:f>
              <c:strCache>
                <c:ptCount val="1"/>
                <c:pt idx="0">
                  <c:v>Mazandaran,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(All)'!$BT$7:$BT$107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31"/>
          <c:order val="70"/>
          <c:tx>
            <c:strRef>
              <c:f>'Kerosene (All)'!$BU$6</c:f>
              <c:strCache>
                <c:ptCount val="1"/>
                <c:pt idx="0">
                  <c:v>Mazandaran,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(All)'!$BU$7:$BU$107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35"/>
          <c:order val="71"/>
          <c:tx>
            <c:strRef>
              <c:f>'Kerosene (All)'!$BW$6</c:f>
              <c:strCache>
                <c:ptCount val="1"/>
                <c:pt idx="0">
                  <c:v>Ghilan &amp; Tunekabun,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(All)'!$BW$7:$BW$107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37"/>
          <c:order val="72"/>
          <c:tx>
            <c:strRef>
              <c:f>'Kerosene (All)'!$BX$6</c:f>
              <c:strCache>
                <c:ptCount val="1"/>
                <c:pt idx="0">
                  <c:v>Ghilan &amp; Tunekabun,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(All)'!$BX$7:$BX$107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39"/>
          <c:order val="73"/>
          <c:tx>
            <c:strRef>
              <c:f>'Kerosene (All)'!$BY$6</c:f>
              <c:strCache>
                <c:ptCount val="1"/>
                <c:pt idx="0">
                  <c:v>Bender Gez &amp; Astarabad, Naphtha Oil / Petroleum,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(All)'!$BY$7:$BY$107</c:f>
              <c:numCache>
                <c:formatCode>0.0000</c:formatCode>
                <c:ptCount val="66"/>
                <c:pt idx="31" formatCode="_(* #,##0.0000_);_(* \(#,##0.0000\);_(* &quot;-&quot;??_);_(@_)">
                  <c:v>8.9874193333333281</c:v>
                </c:pt>
                <c:pt idx="32" formatCode="_(* #,##0.0000_);_(* \(#,##0.0000\);_(* &quot;-&quot;??_);_(@_)">
                  <c:v>9.6663230769230815</c:v>
                </c:pt>
                <c:pt idx="46">
                  <c:v>1.7380140359212914</c:v>
                </c:pt>
                <c:pt idx="47">
                  <c:v>1.2401895441374384</c:v>
                </c:pt>
                <c:pt idx="48">
                  <c:v>1.5822231630292609</c:v>
                </c:pt>
                <c:pt idx="49">
                  <c:v>1.9578049061668334</c:v>
                </c:pt>
                <c:pt idx="50">
                  <c:v>1.9181264428658509</c:v>
                </c:pt>
              </c:numCache>
            </c:numRef>
          </c:val>
          <c:smooth val="0"/>
        </c:ser>
        <c:ser>
          <c:idx val="143"/>
          <c:order val="74"/>
          <c:tx>
            <c:strRef>
              <c:f>'Kerosene (All)'!$CA$6</c:f>
              <c:strCache>
                <c:ptCount val="1"/>
                <c:pt idx="0">
                  <c:v>Bender Gez &amp; Astarabad,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(All)'!$CA$7:$CA$107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45"/>
          <c:order val="75"/>
          <c:tx>
            <c:strRef>
              <c:f>'Kerosene (All)'!$CB$6</c:f>
              <c:strCache>
                <c:ptCount val="1"/>
                <c:pt idx="0">
                  <c:v>Astara, Naphtha Oil,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(All)'!$CB$7:$CB$107</c:f>
              <c:numCache>
                <c:formatCode>0.0000</c:formatCode>
                <c:ptCount val="66"/>
                <c:pt idx="48">
                  <c:v>1.7946050290536015</c:v>
                </c:pt>
                <c:pt idx="49">
                  <c:v>1.7201196868512425</c:v>
                </c:pt>
                <c:pt idx="50">
                  <c:v>1.3765262319245117</c:v>
                </c:pt>
              </c:numCache>
            </c:numRef>
          </c:val>
          <c:smooth val="0"/>
        </c:ser>
        <c:ser>
          <c:idx val="147"/>
          <c:order val="76"/>
          <c:tx>
            <c:strRef>
              <c:f>'Kerosene (All)'!$CC$6</c:f>
              <c:strCache>
                <c:ptCount val="1"/>
                <c:pt idx="0">
                  <c:v>Astara,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(All)'!$CC$7:$CC$107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49"/>
          <c:order val="77"/>
          <c:tx>
            <c:strRef>
              <c:f>'Kerosene (All)'!$CD$6</c:f>
              <c:strCache>
                <c:ptCount val="1"/>
                <c:pt idx="0">
                  <c:v>Astara,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(All)'!$CD$7:$CD$107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51"/>
          <c:order val="78"/>
          <c:tx>
            <c:strRef>
              <c:f>'Kerosene (All)'!$CE$6</c:f>
              <c:strCache>
                <c:ptCount val="1"/>
                <c:pt idx="0">
                  <c:v>Sultanabad, Kerosene,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(All)'!$CE$7:$CE$107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53"/>
          <c:order val="79"/>
          <c:tx>
            <c:strRef>
              <c:f>'Kerosene (All)'!$CF$6</c:f>
              <c:strCache>
                <c:ptCount val="1"/>
                <c:pt idx="0">
                  <c:v>Sultanabad, Kerosene, Exports, in s/case</c:v>
                </c:pt>
              </c:strCache>
            </c:strRef>
          </c:tx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(All)'!$CF$7:$CF$107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55"/>
          <c:order val="80"/>
          <c:tx>
            <c:strRef>
              <c:f>'Kerosene (All)'!$CG$6</c:f>
              <c:strCache>
                <c:ptCount val="1"/>
                <c:pt idx="0">
                  <c:v>Sultanabad, Kerosene, Bazaar (Local), in s/case</c:v>
                </c:pt>
              </c:strCache>
            </c:strRef>
          </c:tx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(All)'!$CG$7:$CG$107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57"/>
          <c:order val="81"/>
          <c:tx>
            <c:strRef>
              <c:f>'Kerosene (All)'!$CK$6</c:f>
              <c:strCache>
                <c:ptCount val="1"/>
                <c:pt idx="0">
                  <c:v>Bahrain, Kerosene, Imports, in s/case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(All)'!$CK$7:$CK$107</c:f>
              <c:numCache>
                <c:formatCode>0.0000</c:formatCode>
                <c:ptCount val="66"/>
                <c:pt idx="36">
                  <c:v>4.7061538461538381</c:v>
                </c:pt>
                <c:pt idx="37">
                  <c:v>4.6760784313725541</c:v>
                </c:pt>
                <c:pt idx="39">
                  <c:v>5.3346405228758105</c:v>
                </c:pt>
                <c:pt idx="40">
                  <c:v>6.3338461538461557</c:v>
                </c:pt>
                <c:pt idx="41">
                  <c:v>5.1253333333333382</c:v>
                </c:pt>
                <c:pt idx="42">
                  <c:v>5.3341253341253276</c:v>
                </c:pt>
                <c:pt idx="43">
                  <c:v>6.0005800464037202</c:v>
                </c:pt>
                <c:pt idx="44">
                  <c:v>5.7783826137160261</c:v>
                </c:pt>
                <c:pt idx="45">
                  <c:v>5.3205378627034614</c:v>
                </c:pt>
                <c:pt idx="46">
                  <c:v>5.3333333333333277</c:v>
                </c:pt>
                <c:pt idx="47">
                  <c:v>5.3333333333333277</c:v>
                </c:pt>
                <c:pt idx="50">
                  <c:v>5.3522408963585519</c:v>
                </c:pt>
                <c:pt idx="51">
                  <c:v>5.2506818181818096</c:v>
                </c:pt>
                <c:pt idx="52">
                  <c:v>5.6598113207547183</c:v>
                </c:pt>
                <c:pt idx="53">
                  <c:v>5.9999999999999938</c:v>
                </c:pt>
              </c:numCache>
            </c:numRef>
          </c:val>
          <c:smooth val="0"/>
        </c:ser>
        <c:ser>
          <c:idx val="160"/>
          <c:order val="82"/>
          <c:tx>
            <c:strRef>
              <c:f>'Kerosene (All)'!$CM$6</c:f>
              <c:strCache>
                <c:ptCount val="1"/>
                <c:pt idx="0">
                  <c:v>Muscat, Kerosene / Oil, of all kinds, Imports, in s/case</c:v>
                </c:pt>
              </c:strCache>
            </c:strRef>
          </c:tx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(All)'!$CM$7:$CM$107</c:f>
              <c:numCache>
                <c:formatCode>0.0000</c:formatCode>
                <c:ptCount val="66"/>
                <c:pt idx="14">
                  <c:v>11.85253378378378</c:v>
                </c:pt>
                <c:pt idx="15">
                  <c:v>11.56034913530895</c:v>
                </c:pt>
                <c:pt idx="16">
                  <c:v>14.295874974653106</c:v>
                </c:pt>
                <c:pt idx="17">
                  <c:v>14.854836910865851</c:v>
                </c:pt>
                <c:pt idx="18">
                  <c:v>9.7125410817131037</c:v>
                </c:pt>
                <c:pt idx="19">
                  <c:v>7.01145435721401</c:v>
                </c:pt>
                <c:pt idx="20">
                  <c:v>7.157988750914801</c:v>
                </c:pt>
                <c:pt idx="21">
                  <c:v>8.1946360584861484</c:v>
                </c:pt>
                <c:pt idx="22">
                  <c:v>6.4611745940956684</c:v>
                </c:pt>
                <c:pt idx="23">
                  <c:v>4.9424381019037442</c:v>
                </c:pt>
                <c:pt idx="24">
                  <c:v>4.1765217399639001</c:v>
                </c:pt>
                <c:pt idx="25">
                  <c:v>8.4787294397724366</c:v>
                </c:pt>
                <c:pt idx="26">
                  <c:v>8.6464424507908326</c:v>
                </c:pt>
                <c:pt idx="27">
                  <c:v>5.4498788780742178</c:v>
                </c:pt>
                <c:pt idx="28">
                  <c:v>5.8098164885142305</c:v>
                </c:pt>
                <c:pt idx="29">
                  <c:v>5.8022052816571925</c:v>
                </c:pt>
                <c:pt idx="30">
                  <c:v>5.9312072120351944</c:v>
                </c:pt>
                <c:pt idx="31">
                  <c:v>5.3429562349729203</c:v>
                </c:pt>
                <c:pt idx="32">
                  <c:v>4.6681790794009377</c:v>
                </c:pt>
                <c:pt idx="33">
                  <c:v>4.041989986062978</c:v>
                </c:pt>
                <c:pt idx="34">
                  <c:v>11.76360802120449</c:v>
                </c:pt>
                <c:pt idx="35">
                  <c:v>12.119311071521677</c:v>
                </c:pt>
                <c:pt idx="36">
                  <c:v>12.525828843312773</c:v>
                </c:pt>
                <c:pt idx="37">
                  <c:v>13.445575301990088</c:v>
                </c:pt>
                <c:pt idx="38">
                  <c:v>13.68821559702789</c:v>
                </c:pt>
                <c:pt idx="39">
                  <c:v>10.547644876370153</c:v>
                </c:pt>
                <c:pt idx="40">
                  <c:v>8.6321508103762916</c:v>
                </c:pt>
                <c:pt idx="41">
                  <c:v>16.864626895209128</c:v>
                </c:pt>
                <c:pt idx="42">
                  <c:v>18.332544509769058</c:v>
                </c:pt>
                <c:pt idx="43">
                  <c:v>15.716640004471783</c:v>
                </c:pt>
                <c:pt idx="44">
                  <c:v>16.101914867037451</c:v>
                </c:pt>
                <c:pt idx="45">
                  <c:v>10.446428571428575</c:v>
                </c:pt>
                <c:pt idx="46">
                  <c:v>8.2225000000000072</c:v>
                </c:pt>
                <c:pt idx="47">
                  <c:v>8.3035443037974659</c:v>
                </c:pt>
                <c:pt idx="48">
                  <c:v>14.472770511296069</c:v>
                </c:pt>
                <c:pt idx="49">
                  <c:v>14.864977000090187</c:v>
                </c:pt>
                <c:pt idx="50">
                  <c:v>6.1868041237113482</c:v>
                </c:pt>
                <c:pt idx="51">
                  <c:v>5.0630992378923239</c:v>
                </c:pt>
              </c:numCache>
            </c:numRef>
          </c:val>
          <c:smooth val="0"/>
        </c:ser>
        <c:ser>
          <c:idx val="164"/>
          <c:order val="83"/>
          <c:tx>
            <c:strRef>
              <c:f>'Kerosene (All)'!$CO$6</c:f>
              <c:strCache>
                <c:ptCount val="1"/>
                <c:pt idx="0">
                  <c:v>Muscat, Kerosene, Bazaar (Local), in s/case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(All)'!$CO$7:$CO$107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66"/>
          <c:order val="84"/>
          <c:tx>
            <c:strRef>
              <c:f>'Kerosene (All)'!$CP$6</c:f>
              <c:strCache>
                <c:ptCount val="1"/>
                <c:pt idx="0">
                  <c:v>Mohammerah, Kerosene, Imports, in s/case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(All)'!$CP$7:$CP$107</c:f>
              <c:numCache>
                <c:formatCode>0.0000</c:formatCode>
                <c:ptCount val="66"/>
                <c:pt idx="30">
                  <c:v>7.8666666666666663</c:v>
                </c:pt>
                <c:pt idx="39">
                  <c:v>6.8000000000000043</c:v>
                </c:pt>
                <c:pt idx="40">
                  <c:v>10.000000000000009</c:v>
                </c:pt>
                <c:pt idx="41">
                  <c:v>4.9989217166271356</c:v>
                </c:pt>
                <c:pt idx="42">
                  <c:v>5.4107142857142838</c:v>
                </c:pt>
                <c:pt idx="43">
                  <c:v>5.8793721668792873</c:v>
                </c:pt>
                <c:pt idx="44">
                  <c:v>3.0103214784517216</c:v>
                </c:pt>
                <c:pt idx="45">
                  <c:v>4.572291725137994</c:v>
                </c:pt>
                <c:pt idx="46">
                  <c:v>7.6548611111111109</c:v>
                </c:pt>
                <c:pt idx="47">
                  <c:v>5.0916520437654862</c:v>
                </c:pt>
                <c:pt idx="48">
                  <c:v>5.5808247849322221</c:v>
                </c:pt>
                <c:pt idx="49">
                  <c:v>7.0302704887218077</c:v>
                </c:pt>
              </c:numCache>
            </c:numRef>
          </c:val>
          <c:smooth val="0"/>
        </c:ser>
        <c:ser>
          <c:idx val="170"/>
          <c:order val="85"/>
          <c:tx>
            <c:strRef>
              <c:f>'Kerosene (All)'!$CR$6</c:f>
              <c:strCache>
                <c:ptCount val="1"/>
                <c:pt idx="0">
                  <c:v>Mohammerah, Kerosene, Bazaar (Local), in s/case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(All)'!$CR$7:$CR$107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72"/>
          <c:order val="86"/>
          <c:tx>
            <c:strRef>
              <c:f>'Kerosene (All)'!$CS$6</c:f>
              <c:strCache>
                <c:ptCount val="1"/>
                <c:pt idx="0">
                  <c:v>Lingah, Kerosene, Imports, in s/case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(All)'!$CS$7:$CS$107</c:f>
              <c:numCache>
                <c:formatCode>0.0000</c:formatCode>
                <c:ptCount val="66"/>
                <c:pt idx="27">
                  <c:v>7.3080960523744345</c:v>
                </c:pt>
                <c:pt idx="29">
                  <c:v>6.4602956613016156</c:v>
                </c:pt>
                <c:pt idx="30">
                  <c:v>7.2679120879120838</c:v>
                </c:pt>
                <c:pt idx="31">
                  <c:v>5.2638505254495964</c:v>
                </c:pt>
                <c:pt idx="32">
                  <c:v>7.8420771428571445</c:v>
                </c:pt>
                <c:pt idx="33">
                  <c:v>7.1998611185983847</c:v>
                </c:pt>
                <c:pt idx="34">
                  <c:v>6.6782201298701249</c:v>
                </c:pt>
                <c:pt idx="35">
                  <c:v>7.0168926242236065</c:v>
                </c:pt>
                <c:pt idx="36">
                  <c:v>4.8632426190476226</c:v>
                </c:pt>
                <c:pt idx="37">
                  <c:v>4.4288839285714294</c:v>
                </c:pt>
                <c:pt idx="38">
                  <c:v>2.9531141904761857</c:v>
                </c:pt>
                <c:pt idx="39">
                  <c:v>3.1497785468226609</c:v>
                </c:pt>
                <c:pt idx="40">
                  <c:v>3.9374887117346926</c:v>
                </c:pt>
                <c:pt idx="41">
                  <c:v>4.3315548080728128</c:v>
                </c:pt>
                <c:pt idx="46">
                  <c:v>8.4055694980695019</c:v>
                </c:pt>
                <c:pt idx="47">
                  <c:v>5.4175591593579409</c:v>
                </c:pt>
                <c:pt idx="48">
                  <c:v>3.4296382176686699</c:v>
                </c:pt>
                <c:pt idx="49">
                  <c:v>5.2835481423613784</c:v>
                </c:pt>
                <c:pt idx="50">
                  <c:v>5.4196705858135772</c:v>
                </c:pt>
                <c:pt idx="51">
                  <c:v>4.7626574439678437</c:v>
                </c:pt>
                <c:pt idx="52">
                  <c:v>5.2566698346230236</c:v>
                </c:pt>
              </c:numCache>
            </c:numRef>
          </c:val>
          <c:smooth val="0"/>
        </c:ser>
        <c:ser>
          <c:idx val="176"/>
          <c:order val="87"/>
          <c:tx>
            <c:strRef>
              <c:f>'Kerosene (All)'!$CU$6</c:f>
              <c:strCache>
                <c:ptCount val="1"/>
                <c:pt idx="0">
                  <c:v>Lingah, Kerosene, Bazaar (Local), in s/case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(All)'!$CU$7:$CU$107</c:f>
              <c:numCache>
                <c:formatCode>0.0000</c:formatCode>
                <c:ptCount val="66"/>
              </c:numCache>
            </c:numRef>
          </c:val>
          <c:smooth val="0"/>
        </c:ser>
        <c:ser>
          <c:idx val="178"/>
          <c:order val="88"/>
          <c:tx>
            <c:strRef>
              <c:f>'Kerosene (All)'!$CV$6</c:f>
              <c:strCache>
                <c:ptCount val="1"/>
                <c:pt idx="0">
                  <c:v>Shiraz, Kerosene, Imports, in s/case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(All)'!$CV$7:$CV$107</c:f>
              <c:numCache>
                <c:formatCode>General</c:formatCode>
                <c:ptCount val="66"/>
                <c:pt idx="27" formatCode="0.0000">
                  <c:v>10.674856674856674</c:v>
                </c:pt>
                <c:pt idx="28" formatCode="0.0000">
                  <c:v>10.068796068796061</c:v>
                </c:pt>
                <c:pt idx="29" formatCode="0.0000">
                  <c:v>9.3857493857493779</c:v>
                </c:pt>
                <c:pt idx="30" formatCode="0.0000">
                  <c:v>14.171990171990167</c:v>
                </c:pt>
                <c:pt idx="31" formatCode="0.0000">
                  <c:v>7.8132678132678119</c:v>
                </c:pt>
                <c:pt idx="32" formatCode="0.0000">
                  <c:v>16.69282185444872</c:v>
                </c:pt>
                <c:pt idx="33" formatCode="0.0000">
                  <c:v>10.990000000000007</c:v>
                </c:pt>
                <c:pt idx="34" formatCode="0.0000">
                  <c:v>11.109999999999996</c:v>
                </c:pt>
                <c:pt idx="35" formatCode="0.0000">
                  <c:v>11.113333333333326</c:v>
                </c:pt>
                <c:pt idx="36" formatCode="0.0000">
                  <c:v>10.98</c:v>
                </c:pt>
                <c:pt idx="37" formatCode="0.0000">
                  <c:v>10.400463588588588</c:v>
                </c:pt>
                <c:pt idx="38" formatCode="0.0000">
                  <c:v>9.406477288831752</c:v>
                </c:pt>
                <c:pt idx="39" formatCode="0.0000">
                  <c:v>9.7938744040604337</c:v>
                </c:pt>
                <c:pt idx="40" formatCode="0.0000">
                  <c:v>10.953423217264627</c:v>
                </c:pt>
                <c:pt idx="41" formatCode="0.0000">
                  <c:v>10.536170212765962</c:v>
                </c:pt>
              </c:numCache>
            </c:numRef>
          </c:val>
          <c:smooth val="0"/>
        </c:ser>
        <c:ser>
          <c:idx val="180"/>
          <c:order val="89"/>
          <c:tx>
            <c:strRef>
              <c:f>'Kerosene (All)'!$CW$6</c:f>
              <c:strCache>
                <c:ptCount val="1"/>
                <c:pt idx="0">
                  <c:v>Shiraz, Kerosene, Exports, in s/case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(All)'!$CW$7:$CW$107</c:f>
              <c:numCache>
                <c:formatCode>General</c:formatCode>
                <c:ptCount val="66"/>
              </c:numCache>
            </c:numRef>
          </c:val>
          <c:smooth val="0"/>
        </c:ser>
        <c:ser>
          <c:idx val="182"/>
          <c:order val="90"/>
          <c:tx>
            <c:strRef>
              <c:f>'Kerosene (All)'!$CX$6</c:f>
              <c:strCache>
                <c:ptCount val="1"/>
                <c:pt idx="0">
                  <c:v>Shiraz, Kerosene, Bazaar (Local), in s/case</c:v>
                </c:pt>
              </c:strCache>
            </c:strRef>
          </c:tx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(All)'!$CX$7:$CX$107</c:f>
              <c:numCache>
                <c:formatCode>General</c:formatCode>
                <c:ptCount val="66"/>
              </c:numCache>
            </c:numRef>
          </c:val>
          <c:smooth val="0"/>
        </c:ser>
        <c:ser>
          <c:idx val="3"/>
          <c:order val="91"/>
          <c:tx>
            <c:strRef>
              <c:f>'Kerosene (All)'!$U$6</c:f>
              <c:strCache>
                <c:ptCount val="1"/>
                <c:pt idx="0">
                  <c:v>Jaffa, Kerosene, , in s/case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(All)'!$U$7:$U$107</c:f>
              <c:numCache>
                <c:formatCode>0.0000</c:formatCode>
                <c:ptCount val="66"/>
                <c:pt idx="13">
                  <c:v>14.398883743023399</c:v>
                </c:pt>
                <c:pt idx="14">
                  <c:v>11.274694124064837</c:v>
                </c:pt>
                <c:pt idx="15">
                  <c:v>11.274694124064837</c:v>
                </c:pt>
                <c:pt idx="16">
                  <c:v>15.981847706315607</c:v>
                </c:pt>
                <c:pt idx="17">
                  <c:v>9.3711743368850637</c:v>
                </c:pt>
                <c:pt idx="19">
                  <c:v>6.8721945137157112</c:v>
                </c:pt>
                <c:pt idx="20">
                  <c:v>7.6357716819063457</c:v>
                </c:pt>
                <c:pt idx="21">
                  <c:v>6.8721945137157112</c:v>
                </c:pt>
                <c:pt idx="22">
                  <c:v>7.3303408146300919</c:v>
                </c:pt>
                <c:pt idx="23">
                  <c:v>6.8468358623735881</c:v>
                </c:pt>
                <c:pt idx="24">
                  <c:v>6.0637010415138626</c:v>
                </c:pt>
                <c:pt idx="25">
                  <c:v>5.6695604738154612</c:v>
                </c:pt>
                <c:pt idx="26">
                  <c:v>7.0869505922693286</c:v>
                </c:pt>
                <c:pt idx="27">
                  <c:v>6.7003896508728191</c:v>
                </c:pt>
                <c:pt idx="28">
                  <c:v>5.1541458852867841</c:v>
                </c:pt>
                <c:pt idx="29">
                  <c:v>5.1541458852867841</c:v>
                </c:pt>
                <c:pt idx="30">
                  <c:v>5.2923346226561385</c:v>
                </c:pt>
                <c:pt idx="31">
                  <c:v>4.5517132493441723</c:v>
                </c:pt>
                <c:pt idx="32">
                  <c:v>4.1233167082294271</c:v>
                </c:pt>
                <c:pt idx="33">
                  <c:v>4.1233167082294271</c:v>
                </c:pt>
                <c:pt idx="34">
                  <c:v>4.1233167082294271</c:v>
                </c:pt>
                <c:pt idx="35">
                  <c:v>7.2158042394014963</c:v>
                </c:pt>
                <c:pt idx="36">
                  <c:v>7.1951876558603489</c:v>
                </c:pt>
                <c:pt idx="37">
                  <c:v>4.1233167082294271</c:v>
                </c:pt>
                <c:pt idx="38">
                  <c:v>4.1233167082294271</c:v>
                </c:pt>
                <c:pt idx="39">
                  <c:v>5.6695604738154612</c:v>
                </c:pt>
                <c:pt idx="40">
                  <c:v>5.9821889947262994</c:v>
                </c:pt>
                <c:pt idx="41">
                  <c:v>4.6302818772740286</c:v>
                </c:pt>
                <c:pt idx="42">
                  <c:v>4.6261602092330145</c:v>
                </c:pt>
                <c:pt idx="43">
                  <c:v>4.6413423129107327</c:v>
                </c:pt>
                <c:pt idx="44">
                  <c:v>5.0630398309093207</c:v>
                </c:pt>
                <c:pt idx="45">
                  <c:v>4.6432131627453126</c:v>
                </c:pt>
                <c:pt idx="46">
                  <c:v>6.4114071995375639</c:v>
                </c:pt>
                <c:pt idx="47">
                  <c:v>5.6373900859106811</c:v>
                </c:pt>
                <c:pt idx="48">
                  <c:v>5.8638601395591889</c:v>
                </c:pt>
                <c:pt idx="49">
                  <c:v>5.5481788133217256</c:v>
                </c:pt>
                <c:pt idx="50">
                  <c:v>4.7657595172225689</c:v>
                </c:pt>
                <c:pt idx="51">
                  <c:v>4.9101057030527935</c:v>
                </c:pt>
                <c:pt idx="52">
                  <c:v>5.668594024998086</c:v>
                </c:pt>
                <c:pt idx="53">
                  <c:v>6.4117614391741897</c:v>
                </c:pt>
              </c:numCache>
            </c:numRef>
          </c:val>
          <c:smooth val="0"/>
        </c:ser>
        <c:ser>
          <c:idx val="6"/>
          <c:order val="92"/>
          <c:tx>
            <c:strRef>
              <c:f>'Kerosene (All)'!$CH$6</c:f>
              <c:strCache>
                <c:ptCount val="1"/>
                <c:pt idx="0">
                  <c:v>Baku, Kerosene, , in s/case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(All)'!$CH$7:$CH$107</c:f>
              <c:numCache>
                <c:formatCode>0.0000</c:formatCode>
                <c:ptCount val="66"/>
                <c:pt idx="30" formatCode="_(* #,##0.0000_);_(* \(#,##0.0000\);_(* &quot;-&quot;??_);_(@_)">
                  <c:v>0.87833900578508928</c:v>
                </c:pt>
                <c:pt idx="31" formatCode="_(* #,##0.0000_);_(* \(#,##0.0000\);_(* &quot;-&quot;??_);_(@_)">
                  <c:v>0.41741726036616195</c:v>
                </c:pt>
                <c:pt idx="32" formatCode="_(* #,##0.0000_);_(* \(#,##0.0000\);_(* &quot;-&quot;??_);_(@_)">
                  <c:v>0.26915878159574202</c:v>
                </c:pt>
                <c:pt idx="33" formatCode="_(* #,##0.0000_);_(* \(#,##0.0000\);_(* &quot;-&quot;??_);_(@_)">
                  <c:v>0.25210351062057229</c:v>
                </c:pt>
                <c:pt idx="34" formatCode="_(* #,##0.0000_);_(* \(#,##0.0000\);_(* &quot;-&quot;??_);_(@_)">
                  <c:v>0.22041029616624844</c:v>
                </c:pt>
                <c:pt idx="35" formatCode="_(* #,##0.0000_);_(* \(#,##0.0000\);_(* &quot;-&quot;??_);_(@_)">
                  <c:v>0.54756050779707344</c:v>
                </c:pt>
                <c:pt idx="36" formatCode="_(* #,##0.0000_);_(* \(#,##0.0000\);_(* &quot;-&quot;??_);_(@_)">
                  <c:v>0.51840569671693737</c:v>
                </c:pt>
                <c:pt idx="37" formatCode="_(* #,##0.0000_);_(* \(#,##0.0000\);_(* &quot;-&quot;??_);_(@_)">
                  <c:v>0.46878196493379126</c:v>
                </c:pt>
                <c:pt idx="38" formatCode="_(* #,##0.0000_);_(* \(#,##0.0000\);_(* &quot;-&quot;??_);_(@_)">
                  <c:v>0.54621328853426221</c:v>
                </c:pt>
                <c:pt idx="39" formatCode="_(* #,##0.0000_);_(* \(#,##0.0000\);_(* &quot;-&quot;??_);_(@_)">
                  <c:v>0.91744430887267558</c:v>
                </c:pt>
                <c:pt idx="40" formatCode="_(* #,##0.0000_);_(* \(#,##0.0000\);_(* &quot;-&quot;??_);_(@_)">
                  <c:v>0.88221412124504495</c:v>
                </c:pt>
                <c:pt idx="41" formatCode="_(* #,##0.0000_);_(* \(#,##0.0000\);_(* &quot;-&quot;??_);_(@_)">
                  <c:v>0.35166147881473275</c:v>
                </c:pt>
                <c:pt idx="42" formatCode="_(* #,##0.0000_);_(* \(#,##0.0000\);_(* &quot;-&quot;??_);_(@_)">
                  <c:v>0.32341309813697594</c:v>
                </c:pt>
                <c:pt idx="43" formatCode="_(* #,##0.0000_);_(* \(#,##0.0000\);_(* &quot;-&quot;??_);_(@_)">
                  <c:v>0.49285177890479098</c:v>
                </c:pt>
                <c:pt idx="44" formatCode="_(* #,##0.0000_);_(* \(#,##0.0000\);_(* &quot;-&quot;??_);_(@_)">
                  <c:v>0.79591079186421043</c:v>
                </c:pt>
                <c:pt idx="45" formatCode="_(* #,##0.0000_);_(* \(#,##0.0000\);_(* &quot;-&quot;??_);_(@_)">
                  <c:v>0.85189311728375205</c:v>
                </c:pt>
                <c:pt idx="46" formatCode="_(* #,##0.0000_);_(* \(#,##0.0000\);_(* &quot;-&quot;??_);_(@_)">
                  <c:v>1.0938172433029425</c:v>
                </c:pt>
                <c:pt idx="47" formatCode="_(* #,##0.0000_);_(* \(#,##0.0000\);_(* &quot;-&quot;??_);_(@_)">
                  <c:v>1.3679300463831459</c:v>
                </c:pt>
                <c:pt idx="48" formatCode="_(* #,##0.0000_);_(* \(#,##0.0000\);_(* &quot;-&quot;??_);_(@_)">
                  <c:v>1.0618357870644426</c:v>
                </c:pt>
                <c:pt idx="49" formatCode="_(* #,##0.0000_);_(* \(#,##0.0000\);_(* &quot;-&quot;??_);_(@_)">
                  <c:v>1.1073154608231122</c:v>
                </c:pt>
                <c:pt idx="50" formatCode="_(* #,##0.0000_);_(* \(#,##0.0000\);_(* &quot;-&quot;??_);_(@_)">
                  <c:v>0.74018576711775508</c:v>
                </c:pt>
                <c:pt idx="51" formatCode="_(* #,##0.0000_);_(* \(#,##0.0000\);_(* &quot;-&quot;??_);_(@_)">
                  <c:v>1.1204900060273351</c:v>
                </c:pt>
                <c:pt idx="52" formatCode="_(* #,##0.0000_);_(* \(#,##0.0000\);_(* &quot;-&quot;??_);_(@_)">
                  <c:v>1.6280624019200589</c:v>
                </c:pt>
                <c:pt idx="53" formatCode="_(* #,##0.0000_);_(* \(#,##0.0000\);_(* &quot;-&quot;??_);_(@_)">
                  <c:v>2.2073665920367449</c:v>
                </c:pt>
                <c:pt idx="54" formatCode="_(* #,##0.0000_);_(* \(#,##0.0000\);_(* &quot;-&quot;??_);_(@_)">
                  <c:v>1.8591272024468575</c:v>
                </c:pt>
              </c:numCache>
            </c:numRef>
          </c:val>
          <c:smooth val="0"/>
        </c:ser>
        <c:ser>
          <c:idx val="8"/>
          <c:order val="93"/>
          <c:tx>
            <c:strRef>
              <c:f>'Kerosene (All)'!$CI$6</c:f>
              <c:strCache>
                <c:ptCount val="1"/>
                <c:pt idx="0">
                  <c:v>Saratov, Kerosene, , in s/case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(All)'!$CI$7:$CI$107</c:f>
              <c:numCache>
                <c:formatCode>0.0000</c:formatCode>
                <c:ptCount val="66"/>
                <c:pt idx="30" formatCode="_(* #,##0.0000_);_(* \(#,##0.0000\);_(* &quot;-&quot;??_);_(@_)">
                  <c:v>4.9093634284702823</c:v>
                </c:pt>
                <c:pt idx="31" formatCode="_(* #,##0.0000_);_(* \(#,##0.0000\);_(* &quot;-&quot;??_);_(@_)">
                  <c:v>4.0647525451190321</c:v>
                </c:pt>
                <c:pt idx="32" formatCode="_(* #,##0.0000_);_(* \(#,##0.0000\);_(* &quot;-&quot;??_);_(@_)">
                  <c:v>3.4880028409530408</c:v>
                </c:pt>
                <c:pt idx="33" formatCode="_(* #,##0.0000_);_(* \(#,##0.0000\);_(* &quot;-&quot;??_);_(@_)">
                  <c:v>4.1635276754003607</c:v>
                </c:pt>
                <c:pt idx="34" formatCode="_(* #,##0.0000_);_(* \(#,##0.0000\);_(* &quot;-&quot;??_);_(@_)">
                  <c:v>4.2743853863668901</c:v>
                </c:pt>
                <c:pt idx="35" formatCode="_(* #,##0.0000_);_(* \(#,##0.0000\);_(* &quot;-&quot;??_);_(@_)">
                  <c:v>4.5459339999843369</c:v>
                </c:pt>
                <c:pt idx="36" formatCode="_(* #,##0.0000_);_(* \(#,##0.0000\);_(* &quot;-&quot;??_);_(@_)">
                  <c:v>4.6110822497453912</c:v>
                </c:pt>
                <c:pt idx="37" formatCode="_(* #,##0.0000_);_(* \(#,##0.0000\);_(* &quot;-&quot;??_);_(@_)">
                  <c:v>4.4612416996199133</c:v>
                </c:pt>
                <c:pt idx="38" formatCode="_(* #,##0.0000_);_(* \(#,##0.0000\);_(* &quot;-&quot;??_);_(@_)">
                  <c:v>4.4360322075961145</c:v>
                </c:pt>
                <c:pt idx="39" formatCode="_(* #,##0.0000_);_(* \(#,##0.0000\);_(* &quot;-&quot;??_);_(@_)">
                  <c:v>4.6106456543771479</c:v>
                </c:pt>
                <c:pt idx="40" formatCode="_(* #,##0.0000_);_(* \(#,##0.0000\);_(* &quot;-&quot;??_);_(@_)">
                  <c:v>5.2347306928743587</c:v>
                </c:pt>
                <c:pt idx="41" formatCode="_(* #,##0.0000_);_(* \(#,##0.0000\);_(* &quot;-&quot;??_);_(@_)">
                  <c:v>4.9545195015231238</c:v>
                </c:pt>
                <c:pt idx="42" formatCode="_(* #,##0.0000_);_(* \(#,##0.0000\);_(* &quot;-&quot;??_);_(@_)">
                  <c:v>4.5044041138113764</c:v>
                </c:pt>
                <c:pt idx="43" formatCode="_(* #,##0.0000_);_(* \(#,##0.0000\);_(* &quot;-&quot;??_);_(@_)">
                  <c:v>4.4904273189103181</c:v>
                </c:pt>
                <c:pt idx="44" formatCode="_(* #,##0.0000_);_(* \(#,##0.0000\);_(* &quot;-&quot;??_);_(@_)">
                  <c:v>4.8066769391015063</c:v>
                </c:pt>
                <c:pt idx="45" formatCode="_(* #,##0.0000_);_(* \(#,##0.0000\);_(* &quot;-&quot;??_);_(@_)">
                  <c:v>5.0841292433327112</c:v>
                </c:pt>
                <c:pt idx="46" formatCode="_(* #,##0.0000_);_(* \(#,##0.0000\);_(* &quot;-&quot;??_);_(@_)">
                  <c:v>4.6582846235768658</c:v>
                </c:pt>
                <c:pt idx="47" formatCode="_(* #,##0.0000_);_(* \(#,##0.0000\);_(* &quot;-&quot;??_);_(@_)">
                  <c:v>5.663307026762717</c:v>
                </c:pt>
                <c:pt idx="48" formatCode="_(* #,##0.0000_);_(* \(#,##0.0000\);_(* &quot;-&quot;??_);_(@_)">
                  <c:v>5.56788074526155</c:v>
                </c:pt>
                <c:pt idx="49" formatCode="_(* #,##0.0000_);_(* \(#,##0.0000\);_(* &quot;-&quot;??_);_(@_)">
                  <c:v>5.7713438329119811</c:v>
                </c:pt>
                <c:pt idx="50" formatCode="_(* #,##0.0000_);_(* \(#,##0.0000\);_(* &quot;-&quot;??_);_(@_)">
                  <c:v>5.0176803581456255</c:v>
                </c:pt>
                <c:pt idx="51" formatCode="_(* #,##0.0000_);_(* \(#,##0.0000\);_(* &quot;-&quot;??_);_(@_)">
                  <c:v>5.3282042244656491</c:v>
                </c:pt>
                <c:pt idx="52" formatCode="_(* #,##0.0000_);_(* \(#,##0.0000\);_(* &quot;-&quot;??_);_(@_)">
                  <c:v>6.1208884533725305</c:v>
                </c:pt>
                <c:pt idx="53" formatCode="_(* #,##0.0000_);_(* \(#,##0.0000\);_(* &quot;-&quot;??_);_(@_)">
                  <c:v>6.7270274134077548</c:v>
                </c:pt>
                <c:pt idx="54" formatCode="_(* #,##0.0000_);_(* \(#,##0.0000\);_(* &quot;-&quot;??_);_(@_)">
                  <c:v>6.4196166865283972</c:v>
                </c:pt>
              </c:numCache>
            </c:numRef>
          </c:val>
          <c:smooth val="0"/>
        </c:ser>
        <c:ser>
          <c:idx val="10"/>
          <c:order val="94"/>
          <c:tx>
            <c:strRef>
              <c:f>'Kerosene (All)'!$CY$6</c:f>
              <c:strCache>
                <c:ptCount val="1"/>
                <c:pt idx="0">
                  <c:v>Calcutta, Kerosene, Imports, in s/case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(All)'!$CY$7:$CY$107</c:f>
              <c:numCache>
                <c:formatCode>General</c:formatCode>
                <c:ptCount val="66"/>
                <c:pt idx="28" formatCode="_(* #,##0.0000_);_(* \(#,##0.0000\);_(* &quot;-&quot;??_);_(@_)">
                  <c:v>11.7734375</c:v>
                </c:pt>
                <c:pt idx="29" formatCode="_(* #,##0.0000_);_(* \(#,##0.0000\);_(* &quot;-&quot;??_);_(@_)">
                  <c:v>4.984375</c:v>
                </c:pt>
                <c:pt idx="30" formatCode="_(* #,##0.0000_);_(* \(#,##0.0000\);_(* &quot;-&quot;??_);_(@_)">
                  <c:v>4.828125</c:v>
                </c:pt>
                <c:pt idx="31" formatCode="_(* #,##0.0000_);_(* \(#,##0.0000\);_(* &quot;-&quot;??_);_(@_)">
                  <c:v>4.405598958333333</c:v>
                </c:pt>
                <c:pt idx="32" formatCode="_(* #,##0.0000_);_(* \(#,##0.0000\);_(* &quot;-&quot;??_);_(@_)">
                  <c:v>3.984375</c:v>
                </c:pt>
                <c:pt idx="33" formatCode="_(* #,##0.0000_);_(* \(#,##0.0000\);_(* &quot;-&quot;??_);_(@_)">
                  <c:v>3.171875</c:v>
                </c:pt>
                <c:pt idx="34" formatCode="_(* #,##0.0000_);_(* \(#,##0.0000\);_(* &quot;-&quot;??_);_(@_)">
                  <c:v>3.013020833333333</c:v>
                </c:pt>
                <c:pt idx="35" formatCode="_(* #,##0.0000_);_(* \(#,##0.0000\);_(* &quot;-&quot;??_);_(@_)">
                  <c:v>3.3046875</c:v>
                </c:pt>
                <c:pt idx="36" formatCode="_(* #,##0.0000_);_(* \(#,##0.0000\);_(* &quot;-&quot;??_);_(@_)">
                  <c:v>5.4375</c:v>
                </c:pt>
                <c:pt idx="37" formatCode="_(* #,##0.0000_);_(* \(#,##0.0000\);_(* &quot;-&quot;??_);_(@_)">
                  <c:v>5.0859375</c:v>
                </c:pt>
                <c:pt idx="38" formatCode="_(* #,##0.0000_);_(* \(#,##0.0000\);_(* &quot;-&quot;??_);_(@_)">
                  <c:v>4.333333333333333</c:v>
                </c:pt>
                <c:pt idx="39" formatCode="_(* #,##0.0000_);_(* \(#,##0.0000\);_(* &quot;-&quot;??_);_(@_)">
                  <c:v>4.7916666666666661</c:v>
                </c:pt>
                <c:pt idx="40" formatCode="_(* #,##0.0000_);_(* \(#,##0.0000\);_(* &quot;-&quot;??_);_(@_)">
                  <c:v>6.2291666666666661</c:v>
                </c:pt>
                <c:pt idx="41" formatCode="_(* #,##0.0000_);_(* \(#,##0.0000\);_(* &quot;-&quot;??_);_(@_)">
                  <c:v>5.833333333333333</c:v>
                </c:pt>
                <c:pt idx="42" formatCode="_(* #,##0.0000_);_(* \(#,##0.0000\);_(* &quot;-&quot;??_);_(@_)">
                  <c:v>4.833333333333333</c:v>
                </c:pt>
                <c:pt idx="43" formatCode="_(* #,##0.0000_);_(* \(#,##0.0000\);_(* &quot;-&quot;??_);_(@_)">
                  <c:v>5.333333333333333</c:v>
                </c:pt>
                <c:pt idx="44" formatCode="_(* #,##0.0000_);_(* \(#,##0.0000\);_(* &quot;-&quot;??_);_(@_)">
                  <c:v>5.333333333333333</c:v>
                </c:pt>
                <c:pt idx="45" formatCode="_(* #,##0.0000_);_(* \(#,##0.0000\);_(* &quot;-&quot;??_);_(@_)">
                  <c:v>5.333333333333333</c:v>
                </c:pt>
                <c:pt idx="46" formatCode="_(* #,##0.0000_);_(* \(#,##0.0000\);_(* &quot;-&quot;??_);_(@_)">
                  <c:v>5.833333333333333</c:v>
                </c:pt>
                <c:pt idx="47" formatCode="_(* #,##0.0000_);_(* \(#,##0.0000\);_(* &quot;-&quot;??_);_(@_)">
                  <c:v>5.875</c:v>
                </c:pt>
                <c:pt idx="48" formatCode="_(* #,##0.0000_);_(* \(#,##0.0000\);_(* &quot;-&quot;??_);_(@_)">
                  <c:v>6.0416666666666661</c:v>
                </c:pt>
                <c:pt idx="49" formatCode="_(* #,##0.0000_);_(* \(#,##0.0000\);_(* &quot;-&quot;??_);_(@_)">
                  <c:v>6.208333333333333</c:v>
                </c:pt>
                <c:pt idx="50" formatCode="_(* #,##0.0000_);_(* \(#,##0.0000\);_(* &quot;-&quot;??_);_(@_)">
                  <c:v>6.333333333333333</c:v>
                </c:pt>
                <c:pt idx="51" formatCode="_(* #,##0.0000_);_(* \(#,##0.0000\);_(* &quot;-&quot;??_);_(@_)">
                  <c:v>6.4166666666666661</c:v>
                </c:pt>
                <c:pt idx="52" formatCode="_(* #,##0.0000_);_(* \(#,##0.0000\);_(* &quot;-&quot;??_);_(@_)">
                  <c:v>6.333333333333333</c:v>
                </c:pt>
                <c:pt idx="53" formatCode="_(* #,##0.0000_);_(* \(#,##0.0000\);_(* &quot;-&quot;??_);_(@_)">
                  <c:v>6.333333333333333</c:v>
                </c:pt>
                <c:pt idx="54" formatCode="_(* #,##0.0000_);_(* \(#,##0.0000\);_(* &quot;-&quot;??_);_(@_)">
                  <c:v>6.6666666666666661</c:v>
                </c:pt>
                <c:pt idx="55" formatCode="_(* #,##0.0000_);_(* \(#,##0.0000\);_(* &quot;-&quot;??_);_(@_)">
                  <c:v>6.6666666666666661</c:v>
                </c:pt>
                <c:pt idx="56" formatCode="_(* #,##0.0000_);_(* \(#,##0.0000\);_(* &quot;-&quot;??_);_(@_)">
                  <c:v>6.6666666666666661</c:v>
                </c:pt>
                <c:pt idx="57" formatCode="_(* #,##0.0000_);_(* \(#,##0.0000\);_(* &quot;-&quot;??_);_(@_)">
                  <c:v>8.75</c:v>
                </c:pt>
                <c:pt idx="58" formatCode="_(* #,##0.0000_);_(* \(#,##0.0000\);_(* &quot;-&quot;??_);_(@_)">
                  <c:v>10.5</c:v>
                </c:pt>
                <c:pt idx="59" formatCode="_(* #,##0.0000_);_(* \(#,##0.0000\);_(* &quot;-&quot;??_);_(@_)">
                  <c:v>14.166666666666666</c:v>
                </c:pt>
                <c:pt idx="60" formatCode="_(* #,##0.0000_);_(* \(#,##0.0000\);_(* &quot;-&quot;??_);_(@_)">
                  <c:v>14.333333333333332</c:v>
                </c:pt>
                <c:pt idx="61" formatCode="_(* #,##0.0000_);_(* \(#,##0.0000\);_(* &quot;-&quot;??_);_(@_)">
                  <c:v>14.333333333333332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652576"/>
        <c:axId val="704653136"/>
      </c:lineChart>
      <c:catAx>
        <c:axId val="704652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53136"/>
        <c:crosses val="autoZero"/>
        <c:auto val="1"/>
        <c:lblAlgn val="ctr"/>
        <c:lblOffset val="100"/>
        <c:noMultiLvlLbl val="0"/>
      </c:catAx>
      <c:valAx>
        <c:axId val="704653136"/>
        <c:scaling>
          <c:orientation val="minMax"/>
          <c:max val="2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5257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407546398038154"/>
          <c:y val="3.8384739327846605E-2"/>
          <c:w val="0.30223752305509333"/>
          <c:h val="0.947575007431149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Kerosene &amp; Petroleum,</a:t>
            </a:r>
            <a:r>
              <a:rPr lang="en-US" b="1" baseline="0">
                <a:solidFill>
                  <a:schemeClr val="tx1"/>
                </a:solidFill>
              </a:rPr>
              <a:t> </a:t>
            </a:r>
            <a:r>
              <a:rPr lang="en-US" b="1">
                <a:solidFill>
                  <a:schemeClr val="tx1"/>
                </a:solidFill>
              </a:rPr>
              <a:t>UK, US,</a:t>
            </a:r>
            <a:r>
              <a:rPr lang="en-US" b="1" baseline="0">
                <a:solidFill>
                  <a:schemeClr val="tx1"/>
                </a:solidFill>
              </a:rPr>
              <a:t> and Ottomon Empire, in s/case</a:t>
            </a:r>
            <a:endParaRPr lang="en-US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'Kerosene (Adjusted)'!$C$6</c:f>
              <c:strCache>
                <c:ptCount val="1"/>
                <c:pt idx="0">
                  <c:v>UK, Kerosene, Imports, in s/case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'Kerosene (Adjusted)'!$D$6</c:f>
              <c:strCache>
                <c:ptCount val="1"/>
                <c:pt idx="0">
                  <c:v>US, Kerosene, , in s/case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'Kerosene (Adjusted)'!$D$7:$D$107</c:f>
              <c:numCache>
                <c:formatCode>0.0000</c:formatCode>
                <c:ptCount val="66"/>
                <c:pt idx="31">
                  <c:v>4.1116230039920154</c:v>
                </c:pt>
                <c:pt idx="32">
                  <c:v>3.626891529441119</c:v>
                </c:pt>
                <c:pt idx="33">
                  <c:v>3.2727969061876245</c:v>
                </c:pt>
                <c:pt idx="34">
                  <c:v>2.9737072729540928</c:v>
                </c:pt>
                <c:pt idx="35">
                  <c:v>2.9702694610778448</c:v>
                </c:pt>
                <c:pt idx="36">
                  <c:v>3.8056577470059896</c:v>
                </c:pt>
                <c:pt idx="37">
                  <c:v>4.2835135978043919</c:v>
                </c:pt>
                <c:pt idx="38">
                  <c:v>3.7128368263473059</c:v>
                </c:pt>
                <c:pt idx="39">
                  <c:v>3.7506527569860282</c:v>
                </c:pt>
                <c:pt idx="40">
                  <c:v>4.1872548652694617</c:v>
                </c:pt>
                <c:pt idx="41">
                  <c:v>4.9091953592814379</c:v>
                </c:pt>
                <c:pt idx="42">
                  <c:v>4.524160429141717</c:v>
                </c:pt>
                <c:pt idx="43">
                  <c:v>4.5722897954091826</c:v>
                </c:pt>
                <c:pt idx="44">
                  <c:v>5.6208224176646722</c:v>
                </c:pt>
                <c:pt idx="45">
                  <c:v>5.6380114770459082</c:v>
                </c:pt>
                <c:pt idx="46">
                  <c:v>5.2082849925149715</c:v>
                </c:pt>
                <c:pt idx="47">
                  <c:v>5.3629865269461083</c:v>
                </c:pt>
                <c:pt idx="48">
                  <c:v>5.5520661801397209</c:v>
                </c:pt>
                <c:pt idx="49">
                  <c:v>5.5692552395209596</c:v>
                </c:pt>
                <c:pt idx="50">
                  <c:v>5.0535834580838337</c:v>
                </c:pt>
                <c:pt idx="51">
                  <c:v>4.4554041916167666</c:v>
                </c:pt>
                <c:pt idx="52">
                  <c:v>3.7953443113772463</c:v>
                </c:pt>
                <c:pt idx="53">
                  <c:v>4.5860410429141725</c:v>
                </c:pt>
                <c:pt idx="54">
                  <c:v>5.0879615768463085</c:v>
                </c:pt>
                <c:pt idx="55">
                  <c:v>4.9504491017964076</c:v>
                </c:pt>
                <c:pt idx="56">
                  <c:v>4.9848272205588833</c:v>
                </c:pt>
                <c:pt idx="57">
                  <c:v>5.0192053393213572</c:v>
                </c:pt>
                <c:pt idx="58">
                  <c:v>5.1223396956087832</c:v>
                </c:pt>
                <c:pt idx="59">
                  <c:v>6.9925093562874254</c:v>
                </c:pt>
                <c:pt idx="60">
                  <c:v>8.2644997504990041</c:v>
                </c:pt>
                <c:pt idx="61">
                  <c:v>10.860047717065868</c:v>
                </c:pt>
                <c:pt idx="62">
                  <c:v>10.01778380738523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'Kerosene (Adjusted)'!$E$6</c:f>
              <c:strCache>
                <c:ptCount val="1"/>
                <c:pt idx="0">
                  <c:v>Baghdad, Kerosene, Imports, in s/case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(Adjusted)'!$E$7:$E$107</c:f>
              <c:numCache>
                <c:formatCode>0.0000</c:formatCode>
                <c:ptCount val="66"/>
                <c:pt idx="7">
                  <c:v>20.047620733999672</c:v>
                </c:pt>
                <c:pt idx="9">
                  <c:v>22.055338880803841</c:v>
                </c:pt>
                <c:pt idx="10">
                  <c:v>17.437588034770105</c:v>
                </c:pt>
                <c:pt idx="37">
                  <c:v>7.3911572298669004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'Kerosene (Adjusted)'!$H$6</c:f>
              <c:strCache>
                <c:ptCount val="1"/>
                <c:pt idx="0">
                  <c:v>Basrah, Petroleum, Bazaar (Local), in 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3175">
                <a:solidFill>
                  <a:schemeClr val="accent6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(Adjusted)'!$H$7:$H$107</c:f>
              <c:numCache>
                <c:formatCode>0.0000</c:formatCode>
                <c:ptCount val="66"/>
                <c:pt idx="49">
                  <c:v>4.1666666666666599</c:v>
                </c:pt>
                <c:pt idx="52">
                  <c:v>5.3746414228342001</c:v>
                </c:pt>
                <c:pt idx="53">
                  <c:v>12.893982808022926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'Kerosene (Adjusted)'!$F$6</c:f>
              <c:strCache>
                <c:ptCount val="1"/>
                <c:pt idx="0">
                  <c:v>Basrah, Petroleum, Imports,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(Adjusted)'!$F$7:$F$107</c:f>
              <c:numCache>
                <c:formatCode>0.0000</c:formatCode>
                <c:ptCount val="66"/>
                <c:pt idx="41">
                  <c:v>5.0010370299462403</c:v>
                </c:pt>
                <c:pt idx="42">
                  <c:v>4.5001907668828602</c:v>
                </c:pt>
                <c:pt idx="43">
                  <c:v>5.0004688232536401</c:v>
                </c:pt>
                <c:pt idx="44">
                  <c:v>5</c:v>
                </c:pt>
                <c:pt idx="45">
                  <c:v>5.4999913630788804</c:v>
                </c:pt>
                <c:pt idx="46">
                  <c:v>6.5</c:v>
                </c:pt>
                <c:pt idx="47">
                  <c:v>5.9998564284176004</c:v>
                </c:pt>
                <c:pt idx="48">
                  <c:v>5.9999188777313597</c:v>
                </c:pt>
                <c:pt idx="49">
                  <c:v>4.9999521425768396</c:v>
                </c:pt>
                <c:pt idx="50">
                  <c:v>5</c:v>
                </c:pt>
                <c:pt idx="51">
                  <c:v>5.4999001398042804</c:v>
                </c:pt>
                <c:pt idx="52">
                  <c:v>5.5</c:v>
                </c:pt>
                <c:pt idx="53">
                  <c:v>5.4999849700904804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'Kerosene (Adjusted)'!$I$6</c:f>
              <c:strCache>
                <c:ptCount val="1"/>
                <c:pt idx="0">
                  <c:v>Mosul, Petroleum, Imports,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317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(Adjusted)'!$I$7:$I$107</c:f>
              <c:numCache>
                <c:formatCode>0.0000</c:formatCode>
                <c:ptCount val="66"/>
                <c:pt idx="24">
                  <c:v>12.72727272727272</c:v>
                </c:pt>
              </c:numCache>
            </c:numRef>
          </c:val>
          <c:smooth val="0"/>
        </c:ser>
        <c:ser>
          <c:idx val="0"/>
          <c:order val="6"/>
          <c:tx>
            <c:strRef>
              <c:f>'Kerosene (Adjusted)'!$R$6</c:f>
              <c:strCache>
                <c:ptCount val="1"/>
                <c:pt idx="0">
                  <c:v>Izmir, Petroleum, Imports, in s/case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'Kerosene (Adjusted)'!$R$7:$R$107</c:f>
              <c:numCache>
                <c:formatCode>0.0000</c:formatCode>
                <c:ptCount val="66"/>
                <c:pt idx="9">
                  <c:v>15.421686746987952</c:v>
                </c:pt>
                <c:pt idx="11">
                  <c:v>14</c:v>
                </c:pt>
                <c:pt idx="12">
                  <c:v>20</c:v>
                </c:pt>
                <c:pt idx="14">
                  <c:v>10</c:v>
                </c:pt>
                <c:pt idx="15">
                  <c:v>10.21875</c:v>
                </c:pt>
                <c:pt idx="16">
                  <c:v>14.944535394773489</c:v>
                </c:pt>
                <c:pt idx="17">
                  <c:v>10.39999598427845</c:v>
                </c:pt>
                <c:pt idx="18">
                  <c:v>9.5999757285235372</c:v>
                </c:pt>
                <c:pt idx="19">
                  <c:v>6.3998846659818707</c:v>
                </c:pt>
                <c:pt idx="20">
                  <c:v>8</c:v>
                </c:pt>
                <c:pt idx="21">
                  <c:v>6.4</c:v>
                </c:pt>
                <c:pt idx="22">
                  <c:v>6.9999597688047306</c:v>
                </c:pt>
                <c:pt idx="23">
                  <c:v>5.9999888658163858</c:v>
                </c:pt>
                <c:pt idx="24">
                  <c:v>6.064284167208144</c:v>
                </c:pt>
                <c:pt idx="25">
                  <c:v>6.3685797145691829</c:v>
                </c:pt>
                <c:pt idx="26">
                  <c:v>4.6322893692104099</c:v>
                </c:pt>
                <c:pt idx="28">
                  <c:v>6.4</c:v>
                </c:pt>
                <c:pt idx="30">
                  <c:v>4.8187571624732861</c:v>
                </c:pt>
                <c:pt idx="34">
                  <c:v>3.76</c:v>
                </c:pt>
                <c:pt idx="45">
                  <c:v>5.1727922503380466</c:v>
                </c:pt>
                <c:pt idx="46">
                  <c:v>4.208851002632243</c:v>
                </c:pt>
                <c:pt idx="47">
                  <c:v>4.6685884020234081</c:v>
                </c:pt>
                <c:pt idx="48">
                  <c:v>13.694701066217155</c:v>
                </c:pt>
                <c:pt idx="50">
                  <c:v>3.4123059173358286</c:v>
                </c:pt>
              </c:numCache>
            </c:numRef>
          </c:val>
          <c:smooth val="0"/>
        </c:ser>
        <c:ser>
          <c:idx val="1"/>
          <c:order val="7"/>
          <c:tx>
            <c:strRef>
              <c:f>'Kerosene (Adjusted)'!$S$6</c:f>
              <c:strCache>
                <c:ptCount val="1"/>
                <c:pt idx="0">
                  <c:v>Alexandretta, Petroleum, Imports, in s/case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'Kerosene (Adjusted)'!$S$7:$S$107</c:f>
              <c:numCache>
                <c:formatCode>0.0000</c:formatCode>
                <c:ptCount val="66"/>
                <c:pt idx="18">
                  <c:v>7.4090352940888797</c:v>
                </c:pt>
                <c:pt idx="19">
                  <c:v>6.7488242282789814</c:v>
                </c:pt>
                <c:pt idx="20">
                  <c:v>6.7488242282789814</c:v>
                </c:pt>
                <c:pt idx="21">
                  <c:v>6.5173138449178971</c:v>
                </c:pt>
                <c:pt idx="22">
                  <c:v>5.5025924815797369</c:v>
                </c:pt>
                <c:pt idx="23">
                  <c:v>5.5025924815797378</c:v>
                </c:pt>
                <c:pt idx="27">
                  <c:v>4.6079133758790771</c:v>
                </c:pt>
                <c:pt idx="28">
                  <c:v>4.7891706555695128</c:v>
                </c:pt>
                <c:pt idx="29">
                  <c:v>4.0320032947676054</c:v>
                </c:pt>
                <c:pt idx="30">
                  <c:v>3.8304137511853642</c:v>
                </c:pt>
                <c:pt idx="31">
                  <c:v>4.2244352570467703</c:v>
                </c:pt>
                <c:pt idx="32">
                  <c:v>2.9736743459028845</c:v>
                </c:pt>
                <c:pt idx="33">
                  <c:v>2.6625344754422859</c:v>
                </c:pt>
                <c:pt idx="34">
                  <c:v>2.9526105998720511</c:v>
                </c:pt>
                <c:pt idx="35">
                  <c:v>3.2478716598592556</c:v>
                </c:pt>
                <c:pt idx="36">
                  <c:v>3.2887398314593512</c:v>
                </c:pt>
                <c:pt idx="37">
                  <c:v>2.9526105998720511</c:v>
                </c:pt>
                <c:pt idx="38">
                  <c:v>2.9463417875580977</c:v>
                </c:pt>
                <c:pt idx="39">
                  <c:v>4.2193576045275325</c:v>
                </c:pt>
                <c:pt idx="40">
                  <c:v>4.1336548398208723</c:v>
                </c:pt>
                <c:pt idx="41">
                  <c:v>3.3054669167418793</c:v>
                </c:pt>
                <c:pt idx="42">
                  <c:v>2.9526105998720511</c:v>
                </c:pt>
                <c:pt idx="43">
                  <c:v>2.9526105998720511</c:v>
                </c:pt>
                <c:pt idx="44">
                  <c:v>3.6907632498400638</c:v>
                </c:pt>
                <c:pt idx="45">
                  <c:v>4.059718764243061</c:v>
                </c:pt>
                <c:pt idx="46">
                  <c:v>3.6898680853361006</c:v>
                </c:pt>
                <c:pt idx="47">
                  <c:v>3.5629446091529617</c:v>
                </c:pt>
                <c:pt idx="48">
                  <c:v>3.6912780903980194</c:v>
                </c:pt>
                <c:pt idx="49">
                  <c:v>3.5701395335244719</c:v>
                </c:pt>
                <c:pt idx="50">
                  <c:v>3.6906749012284576</c:v>
                </c:pt>
                <c:pt idx="51">
                  <c:v>3.6541612003154342</c:v>
                </c:pt>
                <c:pt idx="52">
                  <c:v>4.3872786037369318</c:v>
                </c:pt>
                <c:pt idx="53">
                  <c:v>4.2905552504921936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'Kerosene (Adjusted)'!$K$6</c:f>
              <c:strCache>
                <c:ptCount val="1"/>
                <c:pt idx="0">
                  <c:v>Jaffa, Kerosene, , in s/case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val>
            <c:numRef>
              <c:f>'Kerosene (Adjusted)'!$K$7:$K$107</c:f>
              <c:numCache>
                <c:formatCode>0.0000</c:formatCode>
                <c:ptCount val="66"/>
                <c:pt idx="13">
                  <c:v>14.398883743023399</c:v>
                </c:pt>
                <c:pt idx="14">
                  <c:v>11.274694124064837</c:v>
                </c:pt>
                <c:pt idx="15">
                  <c:v>11.274694124064837</c:v>
                </c:pt>
                <c:pt idx="16">
                  <c:v>15.981847706315607</c:v>
                </c:pt>
                <c:pt idx="17">
                  <c:v>9.3711743368850637</c:v>
                </c:pt>
                <c:pt idx="19">
                  <c:v>6.8721945137157112</c:v>
                </c:pt>
                <c:pt idx="20">
                  <c:v>7.6357716819063457</c:v>
                </c:pt>
                <c:pt idx="21">
                  <c:v>6.8721945137157112</c:v>
                </c:pt>
                <c:pt idx="22">
                  <c:v>7.3303408146300919</c:v>
                </c:pt>
                <c:pt idx="23">
                  <c:v>6.8468358623735881</c:v>
                </c:pt>
                <c:pt idx="24">
                  <c:v>6.0637010415138626</c:v>
                </c:pt>
                <c:pt idx="25">
                  <c:v>5.6695604738154612</c:v>
                </c:pt>
                <c:pt idx="26">
                  <c:v>7.0869505922693286</c:v>
                </c:pt>
                <c:pt idx="27">
                  <c:v>6.7003896508728191</c:v>
                </c:pt>
                <c:pt idx="28">
                  <c:v>5.1541458852867841</c:v>
                </c:pt>
                <c:pt idx="29">
                  <c:v>5.1541458852867841</c:v>
                </c:pt>
                <c:pt idx="30">
                  <c:v>5.2923346226561385</c:v>
                </c:pt>
                <c:pt idx="31">
                  <c:v>4.5517132493441723</c:v>
                </c:pt>
                <c:pt idx="32">
                  <c:v>4.1233167082294271</c:v>
                </c:pt>
                <c:pt idx="33">
                  <c:v>4.1233167082294271</c:v>
                </c:pt>
                <c:pt idx="34">
                  <c:v>4.1233167082294271</c:v>
                </c:pt>
                <c:pt idx="35">
                  <c:v>7.2158042394014963</c:v>
                </c:pt>
                <c:pt idx="36">
                  <c:v>7.1951876558603489</c:v>
                </c:pt>
                <c:pt idx="37">
                  <c:v>4.1233167082294271</c:v>
                </c:pt>
                <c:pt idx="38">
                  <c:v>4.1233167082294271</c:v>
                </c:pt>
                <c:pt idx="39">
                  <c:v>5.6695604738154612</c:v>
                </c:pt>
                <c:pt idx="40">
                  <c:v>5.9821889947262994</c:v>
                </c:pt>
                <c:pt idx="41">
                  <c:v>4.6302818772740286</c:v>
                </c:pt>
                <c:pt idx="42">
                  <c:v>4.6261602092330145</c:v>
                </c:pt>
                <c:pt idx="43">
                  <c:v>4.6413423129107327</c:v>
                </c:pt>
                <c:pt idx="44">
                  <c:v>5.0630398309093207</c:v>
                </c:pt>
                <c:pt idx="45">
                  <c:v>4.6432131627453126</c:v>
                </c:pt>
                <c:pt idx="46">
                  <c:v>6.4114071995375639</c:v>
                </c:pt>
                <c:pt idx="47">
                  <c:v>5.6373900859106811</c:v>
                </c:pt>
                <c:pt idx="48">
                  <c:v>5.8638601395591889</c:v>
                </c:pt>
                <c:pt idx="49">
                  <c:v>5.5481788133217256</c:v>
                </c:pt>
                <c:pt idx="50">
                  <c:v>4.7657595172225689</c:v>
                </c:pt>
                <c:pt idx="51">
                  <c:v>4.9101057030527935</c:v>
                </c:pt>
                <c:pt idx="52">
                  <c:v>5.668594024998086</c:v>
                </c:pt>
                <c:pt idx="53">
                  <c:v>6.4117614391741897</c:v>
                </c:pt>
              </c:numCache>
            </c:numRef>
          </c:val>
          <c:smooth val="0"/>
        </c:ser>
        <c:ser>
          <c:idx val="10"/>
          <c:order val="9"/>
          <c:tx>
            <c:strRef>
              <c:f>'Kerosene (Adjusted)'!$L$6</c:f>
              <c:strCache>
                <c:ptCount val="1"/>
                <c:pt idx="0">
                  <c:v>Damascus, Petroleum, Imports, in s/case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val>
            <c:numRef>
              <c:f>'Kerosene (Adjusted)'!$L$7:$L$107</c:f>
              <c:numCache>
                <c:formatCode>0.0000</c:formatCode>
                <c:ptCount val="66"/>
                <c:pt idx="22">
                  <c:v>8.4</c:v>
                </c:pt>
                <c:pt idx="24">
                  <c:v>7.2003804692454034</c:v>
                </c:pt>
                <c:pt idx="25">
                  <c:v>6.8118987061815774</c:v>
                </c:pt>
                <c:pt idx="26">
                  <c:v>8.3312977789840321</c:v>
                </c:pt>
                <c:pt idx="27">
                  <c:v>8.7265423962844419</c:v>
                </c:pt>
                <c:pt idx="28">
                  <c:v>8.186700767263428</c:v>
                </c:pt>
                <c:pt idx="29">
                  <c:v>6.0427777777777782</c:v>
                </c:pt>
                <c:pt idx="30">
                  <c:v>6.4832558139534875</c:v>
                </c:pt>
                <c:pt idx="31">
                  <c:v>6.4747619047619045</c:v>
                </c:pt>
                <c:pt idx="32">
                  <c:v>5.7553333333333336</c:v>
                </c:pt>
                <c:pt idx="33">
                  <c:v>6.4285714285714288</c:v>
                </c:pt>
                <c:pt idx="34">
                  <c:v>5.5692307692307699</c:v>
                </c:pt>
                <c:pt idx="38">
                  <c:v>4.5714285714285712</c:v>
                </c:pt>
                <c:pt idx="41">
                  <c:v>4.7301333333333337</c:v>
                </c:pt>
                <c:pt idx="42">
                  <c:v>5.0081300813008136</c:v>
                </c:pt>
                <c:pt idx="43">
                  <c:v>6.0121584964154229</c:v>
                </c:pt>
                <c:pt idx="44">
                  <c:v>5.8271604938271606</c:v>
                </c:pt>
                <c:pt idx="46">
                  <c:v>6.1363636363636367</c:v>
                </c:pt>
                <c:pt idx="48">
                  <c:v>6</c:v>
                </c:pt>
                <c:pt idx="49">
                  <c:v>6.25</c:v>
                </c:pt>
                <c:pt idx="50">
                  <c:v>6.25</c:v>
                </c:pt>
                <c:pt idx="51">
                  <c:v>6.6666666666666661</c:v>
                </c:pt>
              </c:numCache>
            </c:numRef>
          </c:val>
          <c:smooth val="0"/>
        </c:ser>
        <c:ser>
          <c:idx val="11"/>
          <c:order val="10"/>
          <c:tx>
            <c:strRef>
              <c:f>'Kerosene (Adjusted)'!$M$6</c:f>
              <c:strCache>
                <c:ptCount val="1"/>
                <c:pt idx="0">
                  <c:v>Beirut, Petroleum, Imports (from US), in s/case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val>
            <c:numRef>
              <c:f>'Kerosene (Adjusted)'!$M$7:$M$107</c:f>
              <c:numCache>
                <c:formatCode>0.0000</c:formatCode>
                <c:ptCount val="66"/>
                <c:pt idx="11">
                  <c:v>15.873015873015872</c:v>
                </c:pt>
                <c:pt idx="12">
                  <c:v>13.888888888888889</c:v>
                </c:pt>
                <c:pt idx="13">
                  <c:v>12.831683168316832</c:v>
                </c:pt>
                <c:pt idx="14">
                  <c:v>9.6031746031746028</c:v>
                </c:pt>
                <c:pt idx="16">
                  <c:v>10</c:v>
                </c:pt>
                <c:pt idx="17">
                  <c:v>12.48</c:v>
                </c:pt>
                <c:pt idx="18">
                  <c:v>10</c:v>
                </c:pt>
                <c:pt idx="19">
                  <c:v>6.3636363636363633</c:v>
                </c:pt>
                <c:pt idx="20">
                  <c:v>8.178438661710036</c:v>
                </c:pt>
                <c:pt idx="21">
                  <c:v>6.7316116377901274</c:v>
                </c:pt>
                <c:pt idx="22">
                  <c:v>6.6665573770491804</c:v>
                </c:pt>
                <c:pt idx="27">
                  <c:v>9.4999999999999982</c:v>
                </c:pt>
              </c:numCache>
            </c:numRef>
          </c:val>
          <c:smooth val="0"/>
        </c:ser>
        <c:ser>
          <c:idx val="12"/>
          <c:order val="11"/>
          <c:tx>
            <c:strRef>
              <c:f>'Kerosene (Adjusted)'!$N$6</c:f>
              <c:strCache>
                <c:ptCount val="1"/>
                <c:pt idx="0">
                  <c:v>Beirut, Petroleum, Imports (from Russia), in s/case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'Kerosene (Adjusted)'!$N$7:$N$107</c:f>
              <c:numCache>
                <c:formatCode>0.0000</c:formatCode>
                <c:ptCount val="66"/>
                <c:pt idx="27">
                  <c:v>4.25</c:v>
                </c:pt>
                <c:pt idx="28">
                  <c:v>4.833333333333333</c:v>
                </c:pt>
                <c:pt idx="36">
                  <c:v>3.4230163620182101</c:v>
                </c:pt>
                <c:pt idx="37">
                  <c:v>3.06</c:v>
                </c:pt>
                <c:pt idx="38">
                  <c:v>3.0636363636363635</c:v>
                </c:pt>
                <c:pt idx="39">
                  <c:v>2.916666666666667</c:v>
                </c:pt>
                <c:pt idx="40">
                  <c:v>7.2000000000000011</c:v>
                </c:pt>
                <c:pt idx="41">
                  <c:v>6.166666666666667</c:v>
                </c:pt>
                <c:pt idx="42">
                  <c:v>4.3333333333333339</c:v>
                </c:pt>
              </c:numCache>
            </c:numRef>
          </c:val>
          <c:smooth val="0"/>
        </c:ser>
        <c:ser>
          <c:idx val="13"/>
          <c:order val="12"/>
          <c:tx>
            <c:strRef>
              <c:f>'Kerosene (Adjusted)'!$O$6</c:f>
              <c:strCache>
                <c:ptCount val="1"/>
                <c:pt idx="0">
                  <c:v>Constantinople, Petroleum, Imports,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'Kerosene (Adjusted)'!$O$7:$O$107</c:f>
              <c:numCache>
                <c:formatCode>0.0000</c:formatCode>
                <c:ptCount val="66"/>
                <c:pt idx="38">
                  <c:v>3.8333333333333339</c:v>
                </c:pt>
                <c:pt idx="39">
                  <c:v>4.5882352941176521</c:v>
                </c:pt>
                <c:pt idx="40">
                  <c:v>4.1696969696969761</c:v>
                </c:pt>
                <c:pt idx="47">
                  <c:v>5.0672665019438341</c:v>
                </c:pt>
              </c:numCache>
            </c:numRef>
          </c:val>
          <c:smooth val="0"/>
        </c:ser>
        <c:ser>
          <c:idx val="14"/>
          <c:order val="13"/>
          <c:tx>
            <c:strRef>
              <c:f>'Kerosene (Adjusted)'!$O$6</c:f>
              <c:strCache>
                <c:ptCount val="1"/>
                <c:pt idx="0">
                  <c:v>Constantinople, Petroleum,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'Kerosene (Adjusted)'!$O$7:$O$107</c:f>
              <c:numCache>
                <c:formatCode>0.0000</c:formatCode>
                <c:ptCount val="66"/>
                <c:pt idx="38">
                  <c:v>3.8333333333333339</c:v>
                </c:pt>
                <c:pt idx="39">
                  <c:v>4.5882352941176521</c:v>
                </c:pt>
                <c:pt idx="40">
                  <c:v>4.1696969696969761</c:v>
                </c:pt>
                <c:pt idx="47">
                  <c:v>5.0672665019438341</c:v>
                </c:pt>
              </c:numCache>
            </c:numRef>
          </c:val>
          <c:smooth val="0"/>
        </c:ser>
        <c:ser>
          <c:idx val="15"/>
          <c:order val="14"/>
          <c:tx>
            <c:strRef>
              <c:f>'Kerosene (Adjusted)'!$P$6</c:f>
              <c:strCache>
                <c:ptCount val="1"/>
                <c:pt idx="0">
                  <c:v>Constantinople, Naphtha &amp; other mineral oils, Imports,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'Kerosene (Adjusted)'!$P$7:$P$107</c:f>
              <c:numCache>
                <c:formatCode>0.0000</c:formatCode>
                <c:ptCount val="66"/>
                <c:pt idx="47">
                  <c:v>8.3544266256590429</c:v>
                </c:pt>
                <c:pt idx="50">
                  <c:v>7.1922046703296818</c:v>
                </c:pt>
              </c:numCache>
            </c:numRef>
          </c:val>
          <c:smooth val="0"/>
        </c:ser>
        <c:ser>
          <c:idx val="16"/>
          <c:order val="15"/>
          <c:tx>
            <c:strRef>
              <c:f>'Kerosene (Adjusted)'!$Q$6</c:f>
              <c:strCache>
                <c:ptCount val="1"/>
                <c:pt idx="0">
                  <c:v>Trebizond (Anatolia), Petroleum, Imports, in s/case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'Kerosene (Adjusted)'!$Q$7:$Q$107</c:f>
              <c:numCache>
                <c:formatCode>0.0000</c:formatCode>
                <c:ptCount val="66"/>
                <c:pt idx="9">
                  <c:v>15</c:v>
                </c:pt>
                <c:pt idx="10">
                  <c:v>14.995433789954337</c:v>
                </c:pt>
                <c:pt idx="11">
                  <c:v>15.001618646811266</c:v>
                </c:pt>
                <c:pt idx="12">
                  <c:v>15</c:v>
                </c:pt>
                <c:pt idx="13">
                  <c:v>15.000721604849186</c:v>
                </c:pt>
                <c:pt idx="14">
                  <c:v>13.99920519274076</c:v>
                </c:pt>
                <c:pt idx="15">
                  <c:v>12.998674618952951</c:v>
                </c:pt>
                <c:pt idx="17">
                  <c:v>12.999251310207139</c:v>
                </c:pt>
                <c:pt idx="18">
                  <c:v>12.5</c:v>
                </c:pt>
                <c:pt idx="19">
                  <c:v>12.5</c:v>
                </c:pt>
                <c:pt idx="20">
                  <c:v>12.500223473674801</c:v>
                </c:pt>
                <c:pt idx="21">
                  <c:v>7.13170731707317</c:v>
                </c:pt>
                <c:pt idx="23">
                  <c:v>3.2719087084851921</c:v>
                </c:pt>
                <c:pt idx="24">
                  <c:v>2.9526105998720538</c:v>
                </c:pt>
                <c:pt idx="25">
                  <c:v>4.1280921624388656</c:v>
                </c:pt>
                <c:pt idx="26">
                  <c:v>4.1301986066772125</c:v>
                </c:pt>
                <c:pt idx="27">
                  <c:v>3.5421817985582607</c:v>
                </c:pt>
                <c:pt idx="28">
                  <c:v>3.5679365568728532</c:v>
                </c:pt>
                <c:pt idx="29">
                  <c:v>3.5407563732872118</c:v>
                </c:pt>
                <c:pt idx="30">
                  <c:v>3.5446081030319099</c:v>
                </c:pt>
                <c:pt idx="31">
                  <c:v>3.5438201728382857</c:v>
                </c:pt>
                <c:pt idx="32">
                  <c:v>3.5431327198464642</c:v>
                </c:pt>
                <c:pt idx="33">
                  <c:v>3.5431327198464642</c:v>
                </c:pt>
                <c:pt idx="34">
                  <c:v>3.6928904909062577</c:v>
                </c:pt>
                <c:pt idx="35">
                  <c:v>4.7107177661776358</c:v>
                </c:pt>
                <c:pt idx="36">
                  <c:v>4.2514522997507935</c:v>
                </c:pt>
                <c:pt idx="37">
                  <c:v>2.798137167845705</c:v>
                </c:pt>
                <c:pt idx="38">
                  <c:v>2.8350659124837825</c:v>
                </c:pt>
                <c:pt idx="39">
                  <c:v>2.843299886867483</c:v>
                </c:pt>
                <c:pt idx="40">
                  <c:v>2.836688243756984</c:v>
                </c:pt>
                <c:pt idx="41">
                  <c:v>2.3620884798976425</c:v>
                </c:pt>
                <c:pt idx="42">
                  <c:v>2.3605960061319116</c:v>
                </c:pt>
                <c:pt idx="43">
                  <c:v>2.4122123733702723</c:v>
                </c:pt>
                <c:pt idx="44">
                  <c:v>3.5693951871201195</c:v>
                </c:pt>
                <c:pt idx="45">
                  <c:v>3.4489183645229113</c:v>
                </c:pt>
                <c:pt idx="46">
                  <c:v>3.7785970166999334</c:v>
                </c:pt>
                <c:pt idx="47">
                  <c:v>3.797910756133783</c:v>
                </c:pt>
                <c:pt idx="48">
                  <c:v>3.3039185199557282</c:v>
                </c:pt>
                <c:pt idx="49">
                  <c:v>3.3292996527205125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663776"/>
        <c:axId val="704664336"/>
      </c:lineChart>
      <c:catAx>
        <c:axId val="7046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64336"/>
        <c:crosses val="autoZero"/>
        <c:auto val="1"/>
        <c:lblAlgn val="ctr"/>
        <c:lblOffset val="100"/>
        <c:noMultiLvlLbl val="0"/>
      </c:catAx>
      <c:valAx>
        <c:axId val="70466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Kerosene &amp; Petroleum, UK, US, Mediterranean Sea, Caspian Sea, Saratov and Persian Gulf, in s/case </a:t>
            </a:r>
            <a:endParaRPr lang="en-US" sz="14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6286968135851937"/>
          <c:y val="2.041858090862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6806045795999641E-2"/>
          <c:y val="9.8121693121693124E-2"/>
          <c:w val="0.67928041622158419"/>
          <c:h val="0.82131421072365951"/>
        </c:manualLayout>
      </c:layout>
      <c:lineChart>
        <c:grouping val="standard"/>
        <c:varyColors val="0"/>
        <c:ser>
          <c:idx val="2"/>
          <c:order val="0"/>
          <c:tx>
            <c:strRef>
              <c:f>'Kerosene (Adjusted)'!$C$6</c:f>
              <c:strCache>
                <c:ptCount val="1"/>
                <c:pt idx="0">
                  <c:v>UK, Kerosene, Imports, in s/case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3175">
                <a:solidFill>
                  <a:schemeClr val="accent3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'Kerosene (Adjusted)'!$D$6</c:f>
              <c:strCache>
                <c:ptCount val="1"/>
                <c:pt idx="0">
                  <c:v>US, Kerosene, , in s/case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3175">
                <a:solidFill>
                  <a:schemeClr val="accent4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(Adjusted)'!$D$7:$D$107</c:f>
              <c:numCache>
                <c:formatCode>0.0000</c:formatCode>
                <c:ptCount val="66"/>
                <c:pt idx="31">
                  <c:v>4.1116230039920154</c:v>
                </c:pt>
                <c:pt idx="32">
                  <c:v>3.626891529441119</c:v>
                </c:pt>
                <c:pt idx="33">
                  <c:v>3.2727969061876245</c:v>
                </c:pt>
                <c:pt idx="34">
                  <c:v>2.9737072729540928</c:v>
                </c:pt>
                <c:pt idx="35">
                  <c:v>2.9702694610778448</c:v>
                </c:pt>
                <c:pt idx="36">
                  <c:v>3.8056577470059896</c:v>
                </c:pt>
                <c:pt idx="37">
                  <c:v>4.2835135978043919</c:v>
                </c:pt>
                <c:pt idx="38">
                  <c:v>3.7128368263473059</c:v>
                </c:pt>
                <c:pt idx="39">
                  <c:v>3.7506527569860282</c:v>
                </c:pt>
                <c:pt idx="40">
                  <c:v>4.1872548652694617</c:v>
                </c:pt>
                <c:pt idx="41">
                  <c:v>4.9091953592814379</c:v>
                </c:pt>
                <c:pt idx="42">
                  <c:v>4.524160429141717</c:v>
                </c:pt>
                <c:pt idx="43">
                  <c:v>4.5722897954091826</c:v>
                </c:pt>
                <c:pt idx="44">
                  <c:v>5.6208224176646722</c:v>
                </c:pt>
                <c:pt idx="45">
                  <c:v>5.6380114770459082</c:v>
                </c:pt>
                <c:pt idx="46">
                  <c:v>5.2082849925149715</c:v>
                </c:pt>
                <c:pt idx="47">
                  <c:v>5.3629865269461083</c:v>
                </c:pt>
                <c:pt idx="48">
                  <c:v>5.5520661801397209</c:v>
                </c:pt>
                <c:pt idx="49">
                  <c:v>5.5692552395209596</c:v>
                </c:pt>
                <c:pt idx="50">
                  <c:v>5.0535834580838337</c:v>
                </c:pt>
                <c:pt idx="51">
                  <c:v>4.4554041916167666</c:v>
                </c:pt>
                <c:pt idx="52">
                  <c:v>3.7953443113772463</c:v>
                </c:pt>
                <c:pt idx="53">
                  <c:v>4.5860410429141725</c:v>
                </c:pt>
                <c:pt idx="54">
                  <c:v>5.0879615768463085</c:v>
                </c:pt>
                <c:pt idx="55">
                  <c:v>4.9504491017964076</c:v>
                </c:pt>
                <c:pt idx="56">
                  <c:v>4.9848272205588833</c:v>
                </c:pt>
                <c:pt idx="57">
                  <c:v>5.0192053393213572</c:v>
                </c:pt>
                <c:pt idx="58">
                  <c:v>5.1223396956087832</c:v>
                </c:pt>
                <c:pt idx="59">
                  <c:v>6.9925093562874254</c:v>
                </c:pt>
                <c:pt idx="60">
                  <c:v>8.2644997504990041</c:v>
                </c:pt>
                <c:pt idx="61">
                  <c:v>10.860047717065868</c:v>
                </c:pt>
                <c:pt idx="62">
                  <c:v>10.01778380738523</c:v>
                </c:pt>
              </c:numCache>
            </c:numRef>
          </c:val>
          <c:smooth val="0"/>
        </c:ser>
        <c:ser>
          <c:idx val="29"/>
          <c:order val="2"/>
          <c:tx>
            <c:strRef>
              <c:f>'Kerosene (Adjusted)'!$K$6</c:f>
              <c:strCache>
                <c:ptCount val="1"/>
                <c:pt idx="0">
                  <c:v>Jaffa, Kerosene, , in s/case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val>
            <c:numRef>
              <c:f>'Kerosene (Adjusted)'!$K$7:$K$107</c:f>
              <c:numCache>
                <c:formatCode>0.0000</c:formatCode>
                <c:ptCount val="66"/>
                <c:pt idx="13">
                  <c:v>14.398883743023399</c:v>
                </c:pt>
                <c:pt idx="14">
                  <c:v>11.274694124064837</c:v>
                </c:pt>
                <c:pt idx="15">
                  <c:v>11.274694124064837</c:v>
                </c:pt>
                <c:pt idx="16">
                  <c:v>15.981847706315607</c:v>
                </c:pt>
                <c:pt idx="17">
                  <c:v>9.3711743368850637</c:v>
                </c:pt>
                <c:pt idx="19">
                  <c:v>6.8721945137157112</c:v>
                </c:pt>
                <c:pt idx="20">
                  <c:v>7.6357716819063457</c:v>
                </c:pt>
                <c:pt idx="21">
                  <c:v>6.8721945137157112</c:v>
                </c:pt>
                <c:pt idx="22">
                  <c:v>7.3303408146300919</c:v>
                </c:pt>
                <c:pt idx="23">
                  <c:v>6.8468358623735881</c:v>
                </c:pt>
                <c:pt idx="24">
                  <c:v>6.0637010415138626</c:v>
                </c:pt>
                <c:pt idx="25">
                  <c:v>5.6695604738154612</c:v>
                </c:pt>
                <c:pt idx="26">
                  <c:v>7.0869505922693286</c:v>
                </c:pt>
                <c:pt idx="27">
                  <c:v>6.7003896508728191</c:v>
                </c:pt>
                <c:pt idx="28">
                  <c:v>5.1541458852867841</c:v>
                </c:pt>
                <c:pt idx="29">
                  <c:v>5.1541458852867841</c:v>
                </c:pt>
                <c:pt idx="30">
                  <c:v>5.2923346226561385</c:v>
                </c:pt>
                <c:pt idx="31">
                  <c:v>4.5517132493441723</c:v>
                </c:pt>
                <c:pt idx="32">
                  <c:v>4.1233167082294271</c:v>
                </c:pt>
                <c:pt idx="33">
                  <c:v>4.1233167082294271</c:v>
                </c:pt>
                <c:pt idx="34">
                  <c:v>4.1233167082294271</c:v>
                </c:pt>
                <c:pt idx="35">
                  <c:v>7.2158042394014963</c:v>
                </c:pt>
                <c:pt idx="36">
                  <c:v>7.1951876558603489</c:v>
                </c:pt>
                <c:pt idx="37">
                  <c:v>4.1233167082294271</c:v>
                </c:pt>
                <c:pt idx="38">
                  <c:v>4.1233167082294271</c:v>
                </c:pt>
                <c:pt idx="39">
                  <c:v>5.6695604738154612</c:v>
                </c:pt>
                <c:pt idx="40">
                  <c:v>5.9821889947262994</c:v>
                </c:pt>
                <c:pt idx="41">
                  <c:v>4.6302818772740286</c:v>
                </c:pt>
                <c:pt idx="42">
                  <c:v>4.6261602092330145</c:v>
                </c:pt>
                <c:pt idx="43">
                  <c:v>4.6413423129107327</c:v>
                </c:pt>
                <c:pt idx="44">
                  <c:v>5.0630398309093207</c:v>
                </c:pt>
                <c:pt idx="45">
                  <c:v>4.6432131627453126</c:v>
                </c:pt>
                <c:pt idx="46">
                  <c:v>6.4114071995375639</c:v>
                </c:pt>
                <c:pt idx="47">
                  <c:v>5.6373900859106811</c:v>
                </c:pt>
                <c:pt idx="48">
                  <c:v>5.8638601395591889</c:v>
                </c:pt>
                <c:pt idx="49">
                  <c:v>5.5481788133217256</c:v>
                </c:pt>
                <c:pt idx="50">
                  <c:v>4.7657595172225689</c:v>
                </c:pt>
                <c:pt idx="51">
                  <c:v>4.9101057030527935</c:v>
                </c:pt>
                <c:pt idx="52">
                  <c:v>5.668594024998086</c:v>
                </c:pt>
                <c:pt idx="53">
                  <c:v>6.4117614391741897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'Kerosene (Adjusted)'!$O$6</c:f>
              <c:strCache>
                <c:ptCount val="1"/>
                <c:pt idx="0">
                  <c:v>Constantinople, Petroleum, Imports, in s/case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3175">
                <a:solidFill>
                  <a:schemeClr val="accent5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(Adjusted)'!$O$7:$O$107</c:f>
              <c:numCache>
                <c:formatCode>0.0000</c:formatCode>
                <c:ptCount val="66"/>
                <c:pt idx="38">
                  <c:v>3.8333333333333339</c:v>
                </c:pt>
                <c:pt idx="39">
                  <c:v>4.5882352941176521</c:v>
                </c:pt>
                <c:pt idx="40">
                  <c:v>4.1696969696969761</c:v>
                </c:pt>
                <c:pt idx="47">
                  <c:v>5.0672665019438341</c:v>
                </c:pt>
              </c:numCache>
            </c:numRef>
          </c:val>
          <c:smooth val="0"/>
        </c:ser>
        <c:ser>
          <c:idx val="7"/>
          <c:order val="4"/>
          <c:tx>
            <c:strRef>
              <c:f>'Kerosene (Adjusted)'!$R$6</c:f>
              <c:strCache>
                <c:ptCount val="1"/>
                <c:pt idx="0">
                  <c:v>Izmir, Petroleum, Imports,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317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(Adjusted)'!$R$7:$R$107</c:f>
              <c:numCache>
                <c:formatCode>0.0000</c:formatCode>
                <c:ptCount val="66"/>
                <c:pt idx="9">
                  <c:v>15.421686746987952</c:v>
                </c:pt>
                <c:pt idx="11">
                  <c:v>14</c:v>
                </c:pt>
                <c:pt idx="12">
                  <c:v>20</c:v>
                </c:pt>
                <c:pt idx="14">
                  <c:v>10</c:v>
                </c:pt>
                <c:pt idx="15">
                  <c:v>10.21875</c:v>
                </c:pt>
                <c:pt idx="16">
                  <c:v>14.944535394773489</c:v>
                </c:pt>
                <c:pt idx="17">
                  <c:v>10.39999598427845</c:v>
                </c:pt>
                <c:pt idx="18">
                  <c:v>9.5999757285235372</c:v>
                </c:pt>
                <c:pt idx="19">
                  <c:v>6.3998846659818707</c:v>
                </c:pt>
                <c:pt idx="20">
                  <c:v>8</c:v>
                </c:pt>
                <c:pt idx="21">
                  <c:v>6.4</c:v>
                </c:pt>
                <c:pt idx="22">
                  <c:v>6.9999597688047306</c:v>
                </c:pt>
                <c:pt idx="23">
                  <c:v>5.9999888658163858</c:v>
                </c:pt>
                <c:pt idx="24">
                  <c:v>6.064284167208144</c:v>
                </c:pt>
                <c:pt idx="25">
                  <c:v>6.3685797145691829</c:v>
                </c:pt>
                <c:pt idx="26">
                  <c:v>4.6322893692104099</c:v>
                </c:pt>
                <c:pt idx="28">
                  <c:v>6.4</c:v>
                </c:pt>
                <c:pt idx="30">
                  <c:v>4.8187571624732861</c:v>
                </c:pt>
                <c:pt idx="34">
                  <c:v>3.76</c:v>
                </c:pt>
                <c:pt idx="45">
                  <c:v>5.1727922503380466</c:v>
                </c:pt>
                <c:pt idx="46">
                  <c:v>4.208851002632243</c:v>
                </c:pt>
                <c:pt idx="47">
                  <c:v>4.6685884020234081</c:v>
                </c:pt>
                <c:pt idx="48">
                  <c:v>13.694701066217155</c:v>
                </c:pt>
                <c:pt idx="50">
                  <c:v>3.4123059173358286</c:v>
                </c:pt>
              </c:numCache>
            </c:numRef>
          </c:val>
          <c:smooth val="0"/>
        </c:ser>
        <c:ser>
          <c:idx val="8"/>
          <c:order val="5"/>
          <c:tx>
            <c:strRef>
              <c:f>'Kerosene (Adjusted)'!$S$6</c:f>
              <c:strCache>
                <c:ptCount val="1"/>
                <c:pt idx="0">
                  <c:v>Alexandretta, Petroleum,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317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(Adjusted)'!$S$7:$S$107</c:f>
              <c:numCache>
                <c:formatCode>0.0000</c:formatCode>
                <c:ptCount val="66"/>
                <c:pt idx="18">
                  <c:v>7.4090352940888797</c:v>
                </c:pt>
                <c:pt idx="19">
                  <c:v>6.7488242282789814</c:v>
                </c:pt>
                <c:pt idx="20">
                  <c:v>6.7488242282789814</c:v>
                </c:pt>
                <c:pt idx="21">
                  <c:v>6.5173138449178971</c:v>
                </c:pt>
                <c:pt idx="22">
                  <c:v>5.5025924815797369</c:v>
                </c:pt>
                <c:pt idx="23">
                  <c:v>5.5025924815797378</c:v>
                </c:pt>
                <c:pt idx="27">
                  <c:v>4.6079133758790771</c:v>
                </c:pt>
                <c:pt idx="28">
                  <c:v>4.7891706555695128</c:v>
                </c:pt>
                <c:pt idx="29">
                  <c:v>4.0320032947676054</c:v>
                </c:pt>
                <c:pt idx="30">
                  <c:v>3.8304137511853642</c:v>
                </c:pt>
                <c:pt idx="31">
                  <c:v>4.2244352570467703</c:v>
                </c:pt>
                <c:pt idx="32">
                  <c:v>2.9736743459028845</c:v>
                </c:pt>
                <c:pt idx="33">
                  <c:v>2.6625344754422859</c:v>
                </c:pt>
                <c:pt idx="34">
                  <c:v>2.9526105998720511</c:v>
                </c:pt>
                <c:pt idx="35">
                  <c:v>3.2478716598592556</c:v>
                </c:pt>
                <c:pt idx="36">
                  <c:v>3.2887398314593512</c:v>
                </c:pt>
                <c:pt idx="37">
                  <c:v>2.9526105998720511</c:v>
                </c:pt>
                <c:pt idx="38">
                  <c:v>2.9463417875580977</c:v>
                </c:pt>
                <c:pt idx="39">
                  <c:v>4.2193576045275325</c:v>
                </c:pt>
                <c:pt idx="40">
                  <c:v>4.1336548398208723</c:v>
                </c:pt>
                <c:pt idx="41">
                  <c:v>3.3054669167418793</c:v>
                </c:pt>
                <c:pt idx="42">
                  <c:v>2.9526105998720511</c:v>
                </c:pt>
                <c:pt idx="43">
                  <c:v>2.9526105998720511</c:v>
                </c:pt>
                <c:pt idx="44">
                  <c:v>3.6907632498400638</c:v>
                </c:pt>
                <c:pt idx="45">
                  <c:v>4.059718764243061</c:v>
                </c:pt>
                <c:pt idx="46">
                  <c:v>3.6898680853361006</c:v>
                </c:pt>
                <c:pt idx="47">
                  <c:v>3.5629446091529617</c:v>
                </c:pt>
                <c:pt idx="48">
                  <c:v>3.6912780903980194</c:v>
                </c:pt>
                <c:pt idx="49">
                  <c:v>3.5701395335244719</c:v>
                </c:pt>
                <c:pt idx="50">
                  <c:v>3.6906749012284576</c:v>
                </c:pt>
                <c:pt idx="51">
                  <c:v>3.6541612003154342</c:v>
                </c:pt>
                <c:pt idx="52">
                  <c:v>4.3872786037369318</c:v>
                </c:pt>
                <c:pt idx="53">
                  <c:v>4.2905552504921936</c:v>
                </c:pt>
              </c:numCache>
            </c:numRef>
          </c:val>
          <c:smooth val="0"/>
        </c:ser>
        <c:ser>
          <c:idx val="30"/>
          <c:order val="6"/>
          <c:tx>
            <c:strRef>
              <c:f>'Kerosene (Adjusted)'!$M$6</c:f>
              <c:strCache>
                <c:ptCount val="1"/>
                <c:pt idx="0">
                  <c:v>Beirut, Petroleum, Imports (from US), in s/case</c:v>
                </c:pt>
              </c:strCache>
            </c:strRef>
          </c:tx>
          <c:spPr>
            <a:ln w="158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val>
            <c:numRef>
              <c:f>'Kerosene (Adjusted)'!$M$7:$M$107</c:f>
              <c:numCache>
                <c:formatCode>0.0000</c:formatCode>
                <c:ptCount val="66"/>
                <c:pt idx="11">
                  <c:v>15.873015873015872</c:v>
                </c:pt>
                <c:pt idx="12">
                  <c:v>13.888888888888889</c:v>
                </c:pt>
                <c:pt idx="13">
                  <c:v>12.831683168316832</c:v>
                </c:pt>
                <c:pt idx="14">
                  <c:v>9.6031746031746028</c:v>
                </c:pt>
                <c:pt idx="16">
                  <c:v>10</c:v>
                </c:pt>
                <c:pt idx="17">
                  <c:v>12.48</c:v>
                </c:pt>
                <c:pt idx="18">
                  <c:v>10</c:v>
                </c:pt>
                <c:pt idx="19">
                  <c:v>6.3636363636363633</c:v>
                </c:pt>
                <c:pt idx="20">
                  <c:v>8.178438661710036</c:v>
                </c:pt>
                <c:pt idx="21">
                  <c:v>6.7316116377901274</c:v>
                </c:pt>
                <c:pt idx="22">
                  <c:v>6.6665573770491804</c:v>
                </c:pt>
                <c:pt idx="27">
                  <c:v>9.4999999999999982</c:v>
                </c:pt>
              </c:numCache>
            </c:numRef>
          </c:val>
          <c:smooth val="0"/>
        </c:ser>
        <c:ser>
          <c:idx val="31"/>
          <c:order val="7"/>
          <c:tx>
            <c:strRef>
              <c:f>'Kerosene (Adjusted)'!$N$6</c:f>
              <c:strCache>
                <c:ptCount val="1"/>
                <c:pt idx="0">
                  <c:v>Beirut, Petroleum, Imports (from Russia), in s/case</c:v>
                </c:pt>
              </c:strCache>
            </c:strRef>
          </c:tx>
          <c:spPr>
            <a:ln w="158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val>
            <c:numRef>
              <c:f>'Kerosene (Adjusted)'!$N$7:$N$107</c:f>
              <c:numCache>
                <c:formatCode>0.0000</c:formatCode>
                <c:ptCount val="66"/>
                <c:pt idx="27">
                  <c:v>4.25</c:v>
                </c:pt>
                <c:pt idx="28">
                  <c:v>4.833333333333333</c:v>
                </c:pt>
                <c:pt idx="36">
                  <c:v>3.4230163620182101</c:v>
                </c:pt>
                <c:pt idx="37">
                  <c:v>3.06</c:v>
                </c:pt>
                <c:pt idx="38">
                  <c:v>3.0636363636363635</c:v>
                </c:pt>
                <c:pt idx="39">
                  <c:v>2.916666666666667</c:v>
                </c:pt>
                <c:pt idx="40">
                  <c:v>7.2000000000000011</c:v>
                </c:pt>
                <c:pt idx="41">
                  <c:v>6.166666666666667</c:v>
                </c:pt>
                <c:pt idx="42">
                  <c:v>4.3333333333333339</c:v>
                </c:pt>
              </c:numCache>
            </c:numRef>
          </c:val>
          <c:smooth val="0"/>
        </c:ser>
        <c:ser>
          <c:idx val="12"/>
          <c:order val="11"/>
          <c:tx>
            <c:strRef>
              <c:f>'Kerosene (Adjusted)'!$X$6</c:f>
              <c:strCache>
                <c:ptCount val="1"/>
                <c:pt idx="0">
                  <c:v>Kermanshah, Kerosene,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317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(Adjusted)'!$X$7:$X$107</c:f>
              <c:numCache>
                <c:formatCode>0.0000</c:formatCode>
                <c:ptCount val="66"/>
                <c:pt idx="44">
                  <c:v>11.448106349096445</c:v>
                </c:pt>
                <c:pt idx="45">
                  <c:v>7.3475634289145804</c:v>
                </c:pt>
                <c:pt idx="50">
                  <c:v>11.810357142857145</c:v>
                </c:pt>
                <c:pt idx="51">
                  <c:v>13.139022321428573</c:v>
                </c:pt>
                <c:pt idx="52">
                  <c:v>12.323850931677077</c:v>
                </c:pt>
              </c:numCache>
            </c:numRef>
          </c:val>
          <c:smooth val="0"/>
        </c:ser>
        <c:ser>
          <c:idx val="1"/>
          <c:order val="12"/>
          <c:tx>
            <c:strRef>
              <c:f>'Kerosene (Adjusted)'!$Y$6</c:f>
              <c:strCache>
                <c:ptCount val="1"/>
                <c:pt idx="0">
                  <c:v>Kermanshah, Naphtha Oil, Imports, in s/case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'Kerosene (Adjusted)'!$Y$7:$Y$107</c:f>
              <c:numCache>
                <c:formatCode>0.0000</c:formatCode>
                <c:ptCount val="66"/>
                <c:pt idx="40">
                  <c:v>7.8269822485207081</c:v>
                </c:pt>
                <c:pt idx="43">
                  <c:v>7.0071255070366361</c:v>
                </c:pt>
                <c:pt idx="44">
                  <c:v>6.7524686710429327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'Kerosene (Adjusted)'!$AA$6</c:f>
              <c:strCache>
                <c:ptCount val="1"/>
                <c:pt idx="0">
                  <c:v>Kerman, Kerosene, Imports,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317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(Adjusted)'!$AA$7:$AA$107</c:f>
              <c:numCache>
                <c:formatCode>0.0000</c:formatCode>
                <c:ptCount val="66"/>
                <c:pt idx="45">
                  <c:v>10.000000000000009</c:v>
                </c:pt>
                <c:pt idx="46">
                  <c:v>10.000000000000009</c:v>
                </c:pt>
                <c:pt idx="47">
                  <c:v>8.64</c:v>
                </c:pt>
                <c:pt idx="48">
                  <c:v>19.999999999999979</c:v>
                </c:pt>
                <c:pt idx="49">
                  <c:v>18.037636363636398</c:v>
                </c:pt>
                <c:pt idx="50">
                  <c:v>13.227599999999978</c:v>
                </c:pt>
                <c:pt idx="51">
                  <c:v>12.626345454545492</c:v>
                </c:pt>
                <c:pt idx="52">
                  <c:v>30.062727272727301</c:v>
                </c:pt>
              </c:numCache>
            </c:numRef>
          </c:val>
          <c:smooth val="0"/>
        </c:ser>
        <c:ser>
          <c:idx val="0"/>
          <c:order val="14"/>
          <c:tx>
            <c:strRef>
              <c:f>'Kerosene (Adjusted)'!$AB$6</c:f>
              <c:strCache>
                <c:ptCount val="1"/>
                <c:pt idx="0">
                  <c:v>Kerman, Petroleum, Imports, in s/case</c:v>
                </c:pt>
              </c:strCache>
            </c:strRef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'Kerosene (Adjusted)'!$AB$7:$AB$107</c:f>
              <c:numCache>
                <c:formatCode>0.0000</c:formatCode>
                <c:ptCount val="66"/>
                <c:pt idx="34">
                  <c:v>7.5999999999999961</c:v>
                </c:pt>
                <c:pt idx="49">
                  <c:v>19.999999999999979</c:v>
                </c:pt>
                <c:pt idx="50">
                  <c:v>14.999999999999995</c:v>
                </c:pt>
              </c:numCache>
            </c:numRef>
          </c:val>
          <c:smooth val="0"/>
        </c:ser>
        <c:ser>
          <c:idx val="14"/>
          <c:order val="15"/>
          <c:tx>
            <c:strRef>
              <c:f>'Kerosene (Adjusted)'!$AC$6</c:f>
              <c:strCache>
                <c:ptCount val="1"/>
                <c:pt idx="0">
                  <c:v>Bam, Kerosene,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317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(Adjusted)'!$AC$7:$AC$107</c:f>
              <c:numCache>
                <c:formatCode>0.0000</c:formatCode>
                <c:ptCount val="66"/>
                <c:pt idx="52">
                  <c:v>23.454790970469826</c:v>
                </c:pt>
              </c:numCache>
            </c:numRef>
          </c:val>
          <c:smooth val="0"/>
        </c:ser>
        <c:ser>
          <c:idx val="15"/>
          <c:order val="16"/>
          <c:tx>
            <c:strRef>
              <c:f>'Kerosene (Adjusted)'!$AD$6</c:f>
              <c:strCache>
                <c:ptCount val="1"/>
                <c:pt idx="0">
                  <c:v>Resht &amp; Mazandaran, Petroleum &amp; Kerosene, Imports,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317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(Adjusted)'!$AD$7:$AD$107</c:f>
              <c:numCache>
                <c:formatCode>0.0000</c:formatCode>
                <c:ptCount val="66"/>
                <c:pt idx="15">
                  <c:v>4.9194486209837942</c:v>
                </c:pt>
                <c:pt idx="31">
                  <c:v>1.211419458345919</c:v>
                </c:pt>
                <c:pt idx="33">
                  <c:v>2.3771488607967965</c:v>
                </c:pt>
                <c:pt idx="46">
                  <c:v>2.4914722963707838</c:v>
                </c:pt>
                <c:pt idx="47">
                  <c:v>2.7506424318205474</c:v>
                </c:pt>
                <c:pt idx="48">
                  <c:v>3.0188158733834105</c:v>
                </c:pt>
                <c:pt idx="49">
                  <c:v>2.0326919253867954</c:v>
                </c:pt>
                <c:pt idx="50">
                  <c:v>1.62657751196286</c:v>
                </c:pt>
              </c:numCache>
            </c:numRef>
          </c:val>
          <c:smooth val="0"/>
        </c:ser>
        <c:ser>
          <c:idx val="5"/>
          <c:order val="17"/>
          <c:tx>
            <c:strRef>
              <c:f>'Kerosene (Adjusted)'!$AF$6</c:f>
              <c:strCache>
                <c:ptCount val="1"/>
                <c:pt idx="0">
                  <c:v>Bender Gez &amp; Astarabad and Ghilan &amp; Tunekabun, Naphtha Oil, Imports, in s/case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'Kerosene (Adjusted)'!$AF$7:$AF$107</c:f>
              <c:numCache>
                <c:formatCode>0.0000</c:formatCode>
                <c:ptCount val="66"/>
                <c:pt idx="46">
                  <c:v>1.6332166262269099</c:v>
                </c:pt>
                <c:pt idx="47">
                  <c:v>1.4547527416271371</c:v>
                </c:pt>
                <c:pt idx="48">
                  <c:v>1.5694862725207874</c:v>
                </c:pt>
                <c:pt idx="49">
                  <c:v>1.6822282287071169</c:v>
                </c:pt>
                <c:pt idx="50">
                  <c:v>1.4921791640387254</c:v>
                </c:pt>
              </c:numCache>
            </c:numRef>
          </c:val>
          <c:smooth val="0"/>
        </c:ser>
        <c:ser>
          <c:idx val="6"/>
          <c:order val="18"/>
          <c:tx>
            <c:strRef>
              <c:f>'Kerosene (Adjusted)'!$AG$6</c:f>
              <c:strCache>
                <c:ptCount val="1"/>
                <c:pt idx="0">
                  <c:v>Bender Gez &amp; Astarabad, Petroleum,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val>
            <c:numRef>
              <c:f>'Kerosene (Adjusted)'!$AG$7:$AG$107</c:f>
              <c:numCache>
                <c:formatCode>0.0000</c:formatCode>
                <c:ptCount val="66"/>
                <c:pt idx="31" formatCode="_(* #,##0.0000_);_(* \(#,##0.0000\);_(* &quot;-&quot;??_);_(@_)">
                  <c:v>8.9874193333333281</c:v>
                </c:pt>
                <c:pt idx="32" formatCode="_(* #,##0.0000_);_(* \(#,##0.0000\);_(* &quot;-&quot;??_);_(@_)">
                  <c:v>9.6663230769230815</c:v>
                </c:pt>
              </c:numCache>
            </c:numRef>
          </c:val>
          <c:smooth val="0"/>
        </c:ser>
        <c:ser>
          <c:idx val="25"/>
          <c:order val="19"/>
          <c:tx>
            <c:strRef>
              <c:f>'Kerosene (Adjusted)'!$AH$6</c:f>
              <c:strCache>
                <c:ptCount val="1"/>
                <c:pt idx="0">
                  <c:v>Bender Gez &amp; Astarabad, Naphtha Oil, Exports,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val>
            <c:numRef>
              <c:f>'Kerosene (Adjusted)'!$AH$7:$AH$107</c:f>
              <c:numCache>
                <c:formatCode>0.0000</c:formatCode>
                <c:ptCount val="66"/>
                <c:pt idx="46">
                  <c:v>4.5747628458498104</c:v>
                </c:pt>
                <c:pt idx="47">
                  <c:v>3.621258600194512</c:v>
                </c:pt>
                <c:pt idx="48">
                  <c:v>3.7774255729278279</c:v>
                </c:pt>
              </c:numCache>
            </c:numRef>
          </c:val>
          <c:smooth val="0"/>
        </c:ser>
        <c:ser>
          <c:idx val="26"/>
          <c:order val="20"/>
          <c:tx>
            <c:strRef>
              <c:f>'Kerosene (Adjusted)'!$AI$6</c:f>
              <c:strCache>
                <c:ptCount val="1"/>
                <c:pt idx="0">
                  <c:v>Astara, Naphtha Oil,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val>
            <c:numRef>
              <c:f>'Kerosene (Adjusted)'!$AI$7:$AI$107</c:f>
              <c:numCache>
                <c:formatCode>0.0000</c:formatCode>
                <c:ptCount val="66"/>
                <c:pt idx="48">
                  <c:v>1.7946050290536015</c:v>
                </c:pt>
                <c:pt idx="49">
                  <c:v>1.7201196868512425</c:v>
                </c:pt>
                <c:pt idx="50">
                  <c:v>1.3765262319245117</c:v>
                </c:pt>
              </c:numCache>
            </c:numRef>
          </c:val>
          <c:smooth val="0"/>
        </c:ser>
        <c:ser>
          <c:idx val="27"/>
          <c:order val="21"/>
          <c:tx>
            <c:strRef>
              <c:f>'Kerosene (Adjusted)'!$AJ$6</c:f>
              <c:strCache>
                <c:ptCount val="1"/>
                <c:pt idx="0">
                  <c:v>Baku, Kerosene, , in s/case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val>
            <c:numRef>
              <c:f>'Kerosene (Adjusted)'!$AJ$7:$AJ$107</c:f>
              <c:numCache>
                <c:formatCode>0.0000</c:formatCode>
                <c:ptCount val="66"/>
                <c:pt idx="30" formatCode="_(* #,##0.0000_);_(* \(#,##0.0000\);_(* &quot;-&quot;??_);_(@_)">
                  <c:v>0.87833900578508928</c:v>
                </c:pt>
                <c:pt idx="31" formatCode="_(* #,##0.0000_);_(* \(#,##0.0000\);_(* &quot;-&quot;??_);_(@_)">
                  <c:v>0.41741726036616195</c:v>
                </c:pt>
                <c:pt idx="32" formatCode="_(* #,##0.0000_);_(* \(#,##0.0000\);_(* &quot;-&quot;??_);_(@_)">
                  <c:v>0.26915878159574202</c:v>
                </c:pt>
                <c:pt idx="33" formatCode="_(* #,##0.0000_);_(* \(#,##0.0000\);_(* &quot;-&quot;??_);_(@_)">
                  <c:v>0.25210351062057229</c:v>
                </c:pt>
                <c:pt idx="34" formatCode="_(* #,##0.0000_);_(* \(#,##0.0000\);_(* &quot;-&quot;??_);_(@_)">
                  <c:v>0.22041029616624844</c:v>
                </c:pt>
                <c:pt idx="35" formatCode="_(* #,##0.0000_);_(* \(#,##0.0000\);_(* &quot;-&quot;??_);_(@_)">
                  <c:v>0.54756050779707344</c:v>
                </c:pt>
                <c:pt idx="36" formatCode="_(* #,##0.0000_);_(* \(#,##0.0000\);_(* &quot;-&quot;??_);_(@_)">
                  <c:v>0.51840569671693737</c:v>
                </c:pt>
                <c:pt idx="37" formatCode="_(* #,##0.0000_);_(* \(#,##0.0000\);_(* &quot;-&quot;??_);_(@_)">
                  <c:v>0.46878196493379126</c:v>
                </c:pt>
                <c:pt idx="38" formatCode="_(* #,##0.0000_);_(* \(#,##0.0000\);_(* &quot;-&quot;??_);_(@_)">
                  <c:v>0.54621328853426221</c:v>
                </c:pt>
                <c:pt idx="39" formatCode="_(* #,##0.0000_);_(* \(#,##0.0000\);_(* &quot;-&quot;??_);_(@_)">
                  <c:v>0.91744430887267558</c:v>
                </c:pt>
                <c:pt idx="40" formatCode="_(* #,##0.0000_);_(* \(#,##0.0000\);_(* &quot;-&quot;??_);_(@_)">
                  <c:v>0.88221412124504495</c:v>
                </c:pt>
                <c:pt idx="41" formatCode="_(* #,##0.0000_);_(* \(#,##0.0000\);_(* &quot;-&quot;??_);_(@_)">
                  <c:v>0.35166147881473275</c:v>
                </c:pt>
                <c:pt idx="42" formatCode="_(* #,##0.0000_);_(* \(#,##0.0000\);_(* &quot;-&quot;??_);_(@_)">
                  <c:v>0.32341309813697594</c:v>
                </c:pt>
                <c:pt idx="43" formatCode="_(* #,##0.0000_);_(* \(#,##0.0000\);_(* &quot;-&quot;??_);_(@_)">
                  <c:v>0.49285177890479098</c:v>
                </c:pt>
                <c:pt idx="44" formatCode="_(* #,##0.0000_);_(* \(#,##0.0000\);_(* &quot;-&quot;??_);_(@_)">
                  <c:v>0.79591079186421043</c:v>
                </c:pt>
                <c:pt idx="45" formatCode="_(* #,##0.0000_);_(* \(#,##0.0000\);_(* &quot;-&quot;??_);_(@_)">
                  <c:v>0.85189311728375205</c:v>
                </c:pt>
                <c:pt idx="46" formatCode="_(* #,##0.0000_);_(* \(#,##0.0000\);_(* &quot;-&quot;??_);_(@_)">
                  <c:v>1.0938172433029425</c:v>
                </c:pt>
                <c:pt idx="47" formatCode="_(* #,##0.0000_);_(* \(#,##0.0000\);_(* &quot;-&quot;??_);_(@_)">
                  <c:v>1.3679300463831459</c:v>
                </c:pt>
                <c:pt idx="48" formatCode="_(* #,##0.0000_);_(* \(#,##0.0000\);_(* &quot;-&quot;??_);_(@_)">
                  <c:v>1.0618357870644426</c:v>
                </c:pt>
                <c:pt idx="49" formatCode="_(* #,##0.0000_);_(* \(#,##0.0000\);_(* &quot;-&quot;??_);_(@_)">
                  <c:v>1.1073154608231122</c:v>
                </c:pt>
                <c:pt idx="50" formatCode="_(* #,##0.0000_);_(* \(#,##0.0000\);_(* &quot;-&quot;??_);_(@_)">
                  <c:v>0.74018576711775508</c:v>
                </c:pt>
                <c:pt idx="51" formatCode="_(* #,##0.0000_);_(* \(#,##0.0000\);_(* &quot;-&quot;??_);_(@_)">
                  <c:v>1.1204900060273351</c:v>
                </c:pt>
                <c:pt idx="52" formatCode="_(* #,##0.0000_);_(* \(#,##0.0000\);_(* &quot;-&quot;??_);_(@_)">
                  <c:v>1.6280624019200589</c:v>
                </c:pt>
                <c:pt idx="53" formatCode="_(* #,##0.0000_);_(* \(#,##0.0000\);_(* &quot;-&quot;??_);_(@_)">
                  <c:v>2.2073665920367449</c:v>
                </c:pt>
                <c:pt idx="54" formatCode="_(* #,##0.0000_);_(* \(#,##0.0000\);_(* &quot;-&quot;??_);_(@_)">
                  <c:v>1.8591272024468575</c:v>
                </c:pt>
              </c:numCache>
            </c:numRef>
          </c:val>
          <c:smooth val="0"/>
        </c:ser>
        <c:ser>
          <c:idx val="28"/>
          <c:order val="22"/>
          <c:tx>
            <c:strRef>
              <c:f>'Kerosene (Adjusted)'!$AK$6</c:f>
              <c:strCache>
                <c:ptCount val="1"/>
                <c:pt idx="0">
                  <c:v>Saratov, Kerosene, , in s/case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val>
            <c:numRef>
              <c:f>'Kerosene (Adjusted)'!$AK$7:$AK$107</c:f>
              <c:numCache>
                <c:formatCode>0.0000</c:formatCode>
                <c:ptCount val="66"/>
                <c:pt idx="30" formatCode="_(* #,##0.0000_);_(* \(#,##0.0000\);_(* &quot;-&quot;??_);_(@_)">
                  <c:v>4.9093634284702823</c:v>
                </c:pt>
                <c:pt idx="31" formatCode="_(* #,##0.0000_);_(* \(#,##0.0000\);_(* &quot;-&quot;??_);_(@_)">
                  <c:v>4.0647525451190321</c:v>
                </c:pt>
                <c:pt idx="32" formatCode="_(* #,##0.0000_);_(* \(#,##0.0000\);_(* &quot;-&quot;??_);_(@_)">
                  <c:v>3.4880028409530408</c:v>
                </c:pt>
                <c:pt idx="33" formatCode="_(* #,##0.0000_);_(* \(#,##0.0000\);_(* &quot;-&quot;??_);_(@_)">
                  <c:v>4.1635276754003607</c:v>
                </c:pt>
                <c:pt idx="34" formatCode="_(* #,##0.0000_);_(* \(#,##0.0000\);_(* &quot;-&quot;??_);_(@_)">
                  <c:v>4.2743853863668901</c:v>
                </c:pt>
                <c:pt idx="35" formatCode="_(* #,##0.0000_);_(* \(#,##0.0000\);_(* &quot;-&quot;??_);_(@_)">
                  <c:v>4.5459339999843369</c:v>
                </c:pt>
                <c:pt idx="36" formatCode="_(* #,##0.0000_);_(* \(#,##0.0000\);_(* &quot;-&quot;??_);_(@_)">
                  <c:v>4.6110822497453912</c:v>
                </c:pt>
                <c:pt idx="37" formatCode="_(* #,##0.0000_);_(* \(#,##0.0000\);_(* &quot;-&quot;??_);_(@_)">
                  <c:v>4.4612416996199133</c:v>
                </c:pt>
                <c:pt idx="38" formatCode="_(* #,##0.0000_);_(* \(#,##0.0000\);_(* &quot;-&quot;??_);_(@_)">
                  <c:v>4.4360322075961145</c:v>
                </c:pt>
                <c:pt idx="39" formatCode="_(* #,##0.0000_);_(* \(#,##0.0000\);_(* &quot;-&quot;??_);_(@_)">
                  <c:v>4.6106456543771479</c:v>
                </c:pt>
                <c:pt idx="40" formatCode="_(* #,##0.0000_);_(* \(#,##0.0000\);_(* &quot;-&quot;??_);_(@_)">
                  <c:v>5.2347306928743587</c:v>
                </c:pt>
                <c:pt idx="41" formatCode="_(* #,##0.0000_);_(* \(#,##0.0000\);_(* &quot;-&quot;??_);_(@_)">
                  <c:v>4.9545195015231238</c:v>
                </c:pt>
                <c:pt idx="42" formatCode="_(* #,##0.0000_);_(* \(#,##0.0000\);_(* &quot;-&quot;??_);_(@_)">
                  <c:v>4.5044041138113764</c:v>
                </c:pt>
                <c:pt idx="43" formatCode="_(* #,##0.0000_);_(* \(#,##0.0000\);_(* &quot;-&quot;??_);_(@_)">
                  <c:v>4.4904273189103181</c:v>
                </c:pt>
                <c:pt idx="44" formatCode="_(* #,##0.0000_);_(* \(#,##0.0000\);_(* &quot;-&quot;??_);_(@_)">
                  <c:v>4.8066769391015063</c:v>
                </c:pt>
                <c:pt idx="45" formatCode="_(* #,##0.0000_);_(* \(#,##0.0000\);_(* &quot;-&quot;??_);_(@_)">
                  <c:v>5.0841292433327112</c:v>
                </c:pt>
                <c:pt idx="46" formatCode="_(* #,##0.0000_);_(* \(#,##0.0000\);_(* &quot;-&quot;??_);_(@_)">
                  <c:v>4.6582846235768658</c:v>
                </c:pt>
                <c:pt idx="47" formatCode="_(* #,##0.0000_);_(* \(#,##0.0000\);_(* &quot;-&quot;??_);_(@_)">
                  <c:v>5.663307026762717</c:v>
                </c:pt>
                <c:pt idx="48" formatCode="_(* #,##0.0000_);_(* \(#,##0.0000\);_(* &quot;-&quot;??_);_(@_)">
                  <c:v>5.56788074526155</c:v>
                </c:pt>
                <c:pt idx="49" formatCode="_(* #,##0.0000_);_(* \(#,##0.0000\);_(* &quot;-&quot;??_);_(@_)">
                  <c:v>5.7713438329119811</c:v>
                </c:pt>
                <c:pt idx="50" formatCode="_(* #,##0.0000_);_(* \(#,##0.0000\);_(* &quot;-&quot;??_);_(@_)">
                  <c:v>5.0176803581456255</c:v>
                </c:pt>
                <c:pt idx="51" formatCode="_(* #,##0.0000_);_(* \(#,##0.0000\);_(* &quot;-&quot;??_);_(@_)">
                  <c:v>5.3282042244656491</c:v>
                </c:pt>
                <c:pt idx="52" formatCode="_(* #,##0.0000_);_(* \(#,##0.0000\);_(* &quot;-&quot;??_);_(@_)">
                  <c:v>6.1208884533725305</c:v>
                </c:pt>
                <c:pt idx="53" formatCode="_(* #,##0.0000_);_(* \(#,##0.0000\);_(* &quot;-&quot;??_);_(@_)">
                  <c:v>6.7270274134077548</c:v>
                </c:pt>
                <c:pt idx="54" formatCode="_(* #,##0.0000_);_(* \(#,##0.0000\);_(* &quot;-&quot;??_);_(@_)">
                  <c:v>6.4196166865283972</c:v>
                </c:pt>
              </c:numCache>
            </c:numRef>
          </c:val>
          <c:smooth val="0"/>
        </c:ser>
        <c:ser>
          <c:idx val="18"/>
          <c:order val="23"/>
          <c:tx>
            <c:strRef>
              <c:f>'Kerosene (Adjusted)'!$AL$6</c:f>
              <c:strCache>
                <c:ptCount val="1"/>
                <c:pt idx="0">
                  <c:v>Bahrain, Petroleum,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317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(Adjusted)'!$AL$7:$AL$107</c:f>
              <c:numCache>
                <c:formatCode>0.0000</c:formatCode>
                <c:ptCount val="66"/>
                <c:pt idx="31">
                  <c:v>10.015616485757993</c:v>
                </c:pt>
                <c:pt idx="32">
                  <c:v>8.3842318278736254</c:v>
                </c:pt>
                <c:pt idx="33">
                  <c:v>8.3827456061288945</c:v>
                </c:pt>
                <c:pt idx="34">
                  <c:v>7.186977253401361</c:v>
                </c:pt>
                <c:pt idx="35">
                  <c:v>6.888969145802653</c:v>
                </c:pt>
              </c:numCache>
            </c:numRef>
          </c:val>
          <c:smooth val="0"/>
        </c:ser>
        <c:ser>
          <c:idx val="19"/>
          <c:order val="24"/>
          <c:tx>
            <c:strRef>
              <c:f>'Kerosene (Adjusted)'!$AM$6</c:f>
              <c:strCache>
                <c:ptCount val="1"/>
                <c:pt idx="0">
                  <c:v>Bahrain, Kerosene, Imports,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317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(Adjusted)'!$AM$7:$AM$107</c:f>
              <c:numCache>
                <c:formatCode>0.0000</c:formatCode>
                <c:ptCount val="66"/>
                <c:pt idx="36">
                  <c:v>4.7061538461538381</c:v>
                </c:pt>
                <c:pt idx="37">
                  <c:v>4.6760784313725541</c:v>
                </c:pt>
                <c:pt idx="39">
                  <c:v>5.3346405228758105</c:v>
                </c:pt>
                <c:pt idx="40">
                  <c:v>6.3338461538461557</c:v>
                </c:pt>
                <c:pt idx="41">
                  <c:v>5.1253333333333382</c:v>
                </c:pt>
                <c:pt idx="42">
                  <c:v>5.3341253341253276</c:v>
                </c:pt>
                <c:pt idx="43">
                  <c:v>6.0005800464037202</c:v>
                </c:pt>
                <c:pt idx="44">
                  <c:v>5.7783826137160261</c:v>
                </c:pt>
                <c:pt idx="45">
                  <c:v>5.3205378627034614</c:v>
                </c:pt>
                <c:pt idx="46">
                  <c:v>5.3333333333333277</c:v>
                </c:pt>
                <c:pt idx="47">
                  <c:v>5.3333333333333277</c:v>
                </c:pt>
                <c:pt idx="50">
                  <c:v>5.3522408963585519</c:v>
                </c:pt>
                <c:pt idx="51">
                  <c:v>5.2506818181818096</c:v>
                </c:pt>
                <c:pt idx="52">
                  <c:v>5.6598113207547183</c:v>
                </c:pt>
                <c:pt idx="53">
                  <c:v>5.9999999999999938</c:v>
                </c:pt>
              </c:numCache>
            </c:numRef>
          </c:val>
          <c:smooth val="0"/>
        </c:ser>
        <c:ser>
          <c:idx val="20"/>
          <c:order val="25"/>
          <c:tx>
            <c:strRef>
              <c:f>'Kerosene (Adjusted)'!$AO$6</c:f>
              <c:strCache>
                <c:ptCount val="1"/>
                <c:pt idx="0">
                  <c:v>Muscat, Kerosene / Oil, of all kinds,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317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(Adjusted)'!$AO$7:$AO$107</c:f>
              <c:numCache>
                <c:formatCode>0.0000</c:formatCode>
                <c:ptCount val="66"/>
                <c:pt idx="14">
                  <c:v>11.85253378378378</c:v>
                </c:pt>
                <c:pt idx="15">
                  <c:v>11.56034913530895</c:v>
                </c:pt>
                <c:pt idx="16">
                  <c:v>14.295874974653106</c:v>
                </c:pt>
                <c:pt idx="17">
                  <c:v>14.854836910865851</c:v>
                </c:pt>
                <c:pt idx="18">
                  <c:v>9.7125410817131037</c:v>
                </c:pt>
                <c:pt idx="19">
                  <c:v>7.01145435721401</c:v>
                </c:pt>
                <c:pt idx="20">
                  <c:v>7.157988750914801</c:v>
                </c:pt>
                <c:pt idx="21">
                  <c:v>8.1946360584861484</c:v>
                </c:pt>
                <c:pt idx="22">
                  <c:v>6.4611745940956684</c:v>
                </c:pt>
                <c:pt idx="23">
                  <c:v>4.9424381019037442</c:v>
                </c:pt>
                <c:pt idx="24">
                  <c:v>4.1765217399639001</c:v>
                </c:pt>
                <c:pt idx="25">
                  <c:v>8.4787294397724366</c:v>
                </c:pt>
                <c:pt idx="26">
                  <c:v>8.6464424507908326</c:v>
                </c:pt>
                <c:pt idx="27">
                  <c:v>5.4498788780742178</c:v>
                </c:pt>
                <c:pt idx="28">
                  <c:v>5.8098164885142305</c:v>
                </c:pt>
                <c:pt idx="29">
                  <c:v>5.8022052816571925</c:v>
                </c:pt>
                <c:pt idx="30">
                  <c:v>5.9312072120351944</c:v>
                </c:pt>
                <c:pt idx="31">
                  <c:v>5.3429562349729203</c:v>
                </c:pt>
                <c:pt idx="32">
                  <c:v>4.6681790794009377</c:v>
                </c:pt>
                <c:pt idx="33">
                  <c:v>4.041989986062978</c:v>
                </c:pt>
                <c:pt idx="34">
                  <c:v>11.76360802120449</c:v>
                </c:pt>
                <c:pt idx="35">
                  <c:v>12.119311071521677</c:v>
                </c:pt>
                <c:pt idx="36">
                  <c:v>12.525828843312773</c:v>
                </c:pt>
                <c:pt idx="37">
                  <c:v>13.445575301990088</c:v>
                </c:pt>
                <c:pt idx="38">
                  <c:v>13.68821559702789</c:v>
                </c:pt>
                <c:pt idx="39">
                  <c:v>10.547644876370153</c:v>
                </c:pt>
                <c:pt idx="40">
                  <c:v>8.6321508103762916</c:v>
                </c:pt>
                <c:pt idx="41">
                  <c:v>16.864626895209128</c:v>
                </c:pt>
                <c:pt idx="42">
                  <c:v>18.332544509769058</c:v>
                </c:pt>
                <c:pt idx="43">
                  <c:v>15.716640004471783</c:v>
                </c:pt>
                <c:pt idx="44">
                  <c:v>16.101914867037451</c:v>
                </c:pt>
                <c:pt idx="45">
                  <c:v>10.446428571428575</c:v>
                </c:pt>
                <c:pt idx="46">
                  <c:v>8.2225000000000072</c:v>
                </c:pt>
                <c:pt idx="47">
                  <c:v>8.3035443037974659</c:v>
                </c:pt>
                <c:pt idx="48">
                  <c:v>14.472770511296069</c:v>
                </c:pt>
                <c:pt idx="49">
                  <c:v>14.864977000090187</c:v>
                </c:pt>
                <c:pt idx="50">
                  <c:v>6.1868041237113482</c:v>
                </c:pt>
                <c:pt idx="51">
                  <c:v>5.0630992378923239</c:v>
                </c:pt>
              </c:numCache>
            </c:numRef>
          </c:val>
          <c:smooth val="0"/>
        </c:ser>
        <c:ser>
          <c:idx val="16"/>
          <c:order val="26"/>
          <c:tx>
            <c:strRef>
              <c:f>'Kerosene (Adjusted)'!$AP$6</c:f>
              <c:strCache>
                <c:ptCount val="1"/>
                <c:pt idx="0">
                  <c:v>Muscat, Kerosene, Exports, in s/case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'Kerosene (Adjusted)'!$AP$7:$AP$107</c:f>
              <c:numCache>
                <c:formatCode>0.0000</c:formatCode>
                <c:ptCount val="66"/>
                <c:pt idx="15">
                  <c:v>11.56034913530895</c:v>
                </c:pt>
                <c:pt idx="19">
                  <c:v>6.944678601431022</c:v>
                </c:pt>
                <c:pt idx="20">
                  <c:v>7.080184525361382</c:v>
                </c:pt>
                <c:pt idx="21">
                  <c:v>8.7549530539381735</c:v>
                </c:pt>
                <c:pt idx="22">
                  <c:v>6.1210566575417875</c:v>
                </c:pt>
                <c:pt idx="23">
                  <c:v>5.3909475935103721</c:v>
                </c:pt>
                <c:pt idx="24">
                  <c:v>4.1159924393847298</c:v>
                </c:pt>
                <c:pt idx="25">
                  <c:v>5.4837553590568078</c:v>
                </c:pt>
                <c:pt idx="26">
                  <c:v>5.0635375398095217</c:v>
                </c:pt>
                <c:pt idx="27">
                  <c:v>5.2984933536832557</c:v>
                </c:pt>
                <c:pt idx="28">
                  <c:v>5.8098164885142305</c:v>
                </c:pt>
                <c:pt idx="29">
                  <c:v>5.784409127777292</c:v>
                </c:pt>
                <c:pt idx="30">
                  <c:v>6.4704078676747443</c:v>
                </c:pt>
                <c:pt idx="31">
                  <c:v>6.1062356971119067</c:v>
                </c:pt>
                <c:pt idx="32">
                  <c:v>5.049712946467368</c:v>
                </c:pt>
                <c:pt idx="33">
                  <c:v>4.0538855575833121</c:v>
                </c:pt>
                <c:pt idx="34">
                  <c:v>3.5944357842569339</c:v>
                </c:pt>
              </c:numCache>
            </c:numRef>
          </c:val>
          <c:smooth val="0"/>
        </c:ser>
        <c:ser>
          <c:idx val="21"/>
          <c:order val="27"/>
          <c:tx>
            <c:strRef>
              <c:f>'Kerosene (Adjusted)'!$AQ$6</c:f>
              <c:strCache>
                <c:ptCount val="1"/>
                <c:pt idx="0">
                  <c:v>Mohammerah, Kerosene, Imports,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317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(Adjusted)'!$AQ$7:$AQ$107</c:f>
              <c:numCache>
                <c:formatCode>0.0000</c:formatCode>
                <c:ptCount val="66"/>
                <c:pt idx="30">
                  <c:v>7.8666666666666663</c:v>
                </c:pt>
                <c:pt idx="39">
                  <c:v>6.8000000000000043</c:v>
                </c:pt>
                <c:pt idx="40">
                  <c:v>10.000000000000009</c:v>
                </c:pt>
                <c:pt idx="41">
                  <c:v>4.9989217166271356</c:v>
                </c:pt>
                <c:pt idx="42">
                  <c:v>5.4107142857142838</c:v>
                </c:pt>
                <c:pt idx="43">
                  <c:v>5.8793721668792873</c:v>
                </c:pt>
                <c:pt idx="44">
                  <c:v>3.0103214784517216</c:v>
                </c:pt>
                <c:pt idx="45">
                  <c:v>4.572291725137994</c:v>
                </c:pt>
                <c:pt idx="46">
                  <c:v>7.6548611111111109</c:v>
                </c:pt>
                <c:pt idx="47">
                  <c:v>5.0916520437654862</c:v>
                </c:pt>
                <c:pt idx="48">
                  <c:v>5.5808247849322221</c:v>
                </c:pt>
                <c:pt idx="49">
                  <c:v>7.0302704887218077</c:v>
                </c:pt>
              </c:numCache>
            </c:numRef>
          </c:val>
          <c:smooth val="0"/>
        </c:ser>
        <c:ser>
          <c:idx val="17"/>
          <c:order val="28"/>
          <c:tx>
            <c:strRef>
              <c:f>'Kerosene (Adjusted)'!$AQ$6</c:f>
              <c:strCache>
                <c:ptCount val="1"/>
                <c:pt idx="0">
                  <c:v>Mohammerah, Kerosene, Imports, in s/case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val>
            <c:numRef>
              <c:f>'Kerosene (Adjusted)'!$AQ$7:$AQ$107</c:f>
              <c:numCache>
                <c:formatCode>0.0000</c:formatCode>
                <c:ptCount val="66"/>
                <c:pt idx="30">
                  <c:v>7.8666666666666663</c:v>
                </c:pt>
                <c:pt idx="39">
                  <c:v>6.8000000000000043</c:v>
                </c:pt>
                <c:pt idx="40">
                  <c:v>10.000000000000009</c:v>
                </c:pt>
                <c:pt idx="41">
                  <c:v>4.9989217166271356</c:v>
                </c:pt>
                <c:pt idx="42">
                  <c:v>5.4107142857142838</c:v>
                </c:pt>
                <c:pt idx="43">
                  <c:v>5.8793721668792873</c:v>
                </c:pt>
                <c:pt idx="44">
                  <c:v>3.0103214784517216</c:v>
                </c:pt>
                <c:pt idx="45">
                  <c:v>4.572291725137994</c:v>
                </c:pt>
                <c:pt idx="46">
                  <c:v>7.6548611111111109</c:v>
                </c:pt>
                <c:pt idx="47">
                  <c:v>5.0916520437654862</c:v>
                </c:pt>
                <c:pt idx="48">
                  <c:v>5.5808247849322221</c:v>
                </c:pt>
                <c:pt idx="49">
                  <c:v>7.0302704887218077</c:v>
                </c:pt>
              </c:numCache>
            </c:numRef>
          </c:val>
          <c:smooth val="0"/>
        </c:ser>
        <c:ser>
          <c:idx val="22"/>
          <c:order val="29"/>
          <c:tx>
            <c:strRef>
              <c:f>'Kerosene (Adjusted)'!$AR$6</c:f>
              <c:strCache>
                <c:ptCount val="1"/>
                <c:pt idx="0">
                  <c:v>Lingah, Kerosene, Imports, in s/case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317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(Adjusted)'!$AR$7:$AR$107</c:f>
              <c:numCache>
                <c:formatCode>0.0000</c:formatCode>
                <c:ptCount val="66"/>
                <c:pt idx="27">
                  <c:v>7.3080960523744345</c:v>
                </c:pt>
                <c:pt idx="29">
                  <c:v>6.4602956613016156</c:v>
                </c:pt>
                <c:pt idx="30">
                  <c:v>7.2679120879120838</c:v>
                </c:pt>
                <c:pt idx="31">
                  <c:v>5.2638505254495964</c:v>
                </c:pt>
                <c:pt idx="32">
                  <c:v>7.8420771428571445</c:v>
                </c:pt>
                <c:pt idx="33">
                  <c:v>7.1998611185983847</c:v>
                </c:pt>
                <c:pt idx="34">
                  <c:v>6.6782201298701249</c:v>
                </c:pt>
                <c:pt idx="35">
                  <c:v>7.0168926242236065</c:v>
                </c:pt>
                <c:pt idx="36">
                  <c:v>4.8632426190476226</c:v>
                </c:pt>
                <c:pt idx="37">
                  <c:v>4.4288839285714294</c:v>
                </c:pt>
                <c:pt idx="38">
                  <c:v>2.9531141904761857</c:v>
                </c:pt>
                <c:pt idx="39">
                  <c:v>3.1497785468226609</c:v>
                </c:pt>
                <c:pt idx="40">
                  <c:v>3.9374887117346926</c:v>
                </c:pt>
                <c:pt idx="41">
                  <c:v>4.3315548080728128</c:v>
                </c:pt>
                <c:pt idx="46">
                  <c:v>8.4055694980695019</c:v>
                </c:pt>
                <c:pt idx="47">
                  <c:v>5.4175591593579409</c:v>
                </c:pt>
                <c:pt idx="48">
                  <c:v>3.4296382176686699</c:v>
                </c:pt>
                <c:pt idx="49">
                  <c:v>5.2835481423613784</c:v>
                </c:pt>
                <c:pt idx="50">
                  <c:v>5.4196705858135772</c:v>
                </c:pt>
                <c:pt idx="51">
                  <c:v>4.7626574439678437</c:v>
                </c:pt>
                <c:pt idx="52">
                  <c:v>5.2566698346230236</c:v>
                </c:pt>
              </c:numCache>
            </c:numRef>
          </c:val>
          <c:smooth val="0"/>
        </c:ser>
        <c:ser>
          <c:idx val="23"/>
          <c:order val="30"/>
          <c:tx>
            <c:strRef>
              <c:f>'Kerosene (Adjusted)'!$AS$6</c:f>
              <c:strCache>
                <c:ptCount val="1"/>
                <c:pt idx="0">
                  <c:v>Lingah, Kerosene, Exports, in s/case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317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(Adjusted)'!$AS$7:$AS$107</c:f>
              <c:numCache>
                <c:formatCode>0.0000</c:formatCode>
                <c:ptCount val="66"/>
                <c:pt idx="27">
                  <c:v>7.3223552826339127</c:v>
                </c:pt>
                <c:pt idx="29">
                  <c:v>6.460527809523807</c:v>
                </c:pt>
                <c:pt idx="30">
                  <c:v>7.5098124285714336</c:v>
                </c:pt>
                <c:pt idx="31">
                  <c:v>7.4281858208955232</c:v>
                </c:pt>
                <c:pt idx="32">
                  <c:v>7.0400500232666321</c:v>
                </c:pt>
                <c:pt idx="33">
                  <c:v>7.1231216517857154</c:v>
                </c:pt>
                <c:pt idx="34">
                  <c:v>7.6740761405011773</c:v>
                </c:pt>
                <c:pt idx="35">
                  <c:v>7.0731561512811538</c:v>
                </c:pt>
                <c:pt idx="36">
                  <c:v>7.227938571428572</c:v>
                </c:pt>
                <c:pt idx="37">
                  <c:v>4.4351241061496891</c:v>
                </c:pt>
                <c:pt idx="38">
                  <c:v>2.9525892857142861</c:v>
                </c:pt>
                <c:pt idx="39">
                  <c:v>3.1462791428571437</c:v>
                </c:pt>
                <c:pt idx="40">
                  <c:v>4.3265274999999965</c:v>
                </c:pt>
                <c:pt idx="41">
                  <c:v>3.6397373376623361</c:v>
                </c:pt>
                <c:pt idx="47">
                  <c:v>15.292898351648297</c:v>
                </c:pt>
                <c:pt idx="49">
                  <c:v>5.3412008426966304</c:v>
                </c:pt>
                <c:pt idx="50">
                  <c:v>5.1104035281676641</c:v>
                </c:pt>
                <c:pt idx="51">
                  <c:v>4.4132934896135527</c:v>
                </c:pt>
                <c:pt idx="52">
                  <c:v>5.5847425249169493</c:v>
                </c:pt>
              </c:numCache>
            </c:numRef>
          </c:val>
          <c:smooth val="0"/>
        </c:ser>
        <c:ser>
          <c:idx val="24"/>
          <c:order val="31"/>
          <c:tx>
            <c:strRef>
              <c:f>'Kerosene (Adjusted)'!$AT$6</c:f>
              <c:strCache>
                <c:ptCount val="1"/>
                <c:pt idx="0">
                  <c:v>Shiraz, Kerosene,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(Adjusted)'!$AT$7:$AT$107</c:f>
              <c:numCache>
                <c:formatCode>General</c:formatCode>
                <c:ptCount val="66"/>
                <c:pt idx="27" formatCode="0.0000">
                  <c:v>10.674856674856674</c:v>
                </c:pt>
                <c:pt idx="28" formatCode="0.0000">
                  <c:v>10.068796068796061</c:v>
                </c:pt>
                <c:pt idx="29" formatCode="0.0000">
                  <c:v>9.3857493857493779</c:v>
                </c:pt>
                <c:pt idx="30" formatCode="0.0000">
                  <c:v>14.171990171990167</c:v>
                </c:pt>
                <c:pt idx="31" formatCode="0.0000">
                  <c:v>7.8132678132678119</c:v>
                </c:pt>
                <c:pt idx="32" formatCode="0.0000">
                  <c:v>16.69282185444872</c:v>
                </c:pt>
                <c:pt idx="33" formatCode="0.0000">
                  <c:v>10.990000000000007</c:v>
                </c:pt>
                <c:pt idx="34" formatCode="0.0000">
                  <c:v>11.109999999999996</c:v>
                </c:pt>
                <c:pt idx="35" formatCode="0.0000">
                  <c:v>11.113333333333326</c:v>
                </c:pt>
                <c:pt idx="36" formatCode="0.0000">
                  <c:v>10.98</c:v>
                </c:pt>
                <c:pt idx="37" formatCode="0.0000">
                  <c:v>10.400463588588588</c:v>
                </c:pt>
                <c:pt idx="38" formatCode="0.0000">
                  <c:v>9.406477288831752</c:v>
                </c:pt>
                <c:pt idx="39" formatCode="0.0000">
                  <c:v>9.7938744040604337</c:v>
                </c:pt>
                <c:pt idx="40" formatCode="0.0000">
                  <c:v>10.953423217264627</c:v>
                </c:pt>
                <c:pt idx="41" formatCode="0.0000">
                  <c:v>10.536170212765962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684496"/>
        <c:axId val="704685056"/>
        <c:extLst>
          <c:ext xmlns:c15="http://schemas.microsoft.com/office/drawing/2012/chart" uri="{02D57815-91ED-43cb-92C2-25804820EDAC}">
            <c15:filteredLineSeries>
              <c15:ser>
                <c:idx val="9"/>
                <c:order val="8"/>
                <c:tx>
                  <c:strRef>
                    <c:extLst>
                      <c:ext uri="{02D57815-91ED-43cb-92C2-25804820EDAC}">
                        <c15:formulaRef>
                          <c15:sqref>'Kerosene (Adjusted)'!$T$6</c15:sqref>
                        </c15:formulaRef>
                      </c:ext>
                    </c:extLst>
                    <c:strCache>
                      <c:ptCount val="1"/>
                      <c:pt idx="0">
                        <c:v>Ispahan, Kerosene, Imports,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4">
                        <a:lumMod val="60000"/>
                      </a:schemeClr>
                    </a:solidFill>
                    <a:ln w="317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'Kerosene (Adjusted)'!$T$7:$T$107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35">
                        <c:v>15.84</c:v>
                      </c:pt>
                      <c:pt idx="50">
                        <c:v>11.695442619445172</c:v>
                      </c:pt>
                      <c:pt idx="51">
                        <c:v>15.671634074782558</c:v>
                      </c:pt>
                      <c:pt idx="52">
                        <c:v>13.59935188307576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(Adjusted)'!$V$6</c15:sqref>
                        </c15:formulaRef>
                      </c:ext>
                    </c:extLst>
                    <c:strCache>
                      <c:ptCount val="1"/>
                      <c:pt idx="0">
                        <c:v>Khorasan, Petroleum, Imports,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5">
                        <a:lumMod val="60000"/>
                      </a:schemeClr>
                    </a:solidFill>
                    <a:ln w="317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(Adjusted)'!$V$7:$V$107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42">
                        <c:v>6.6450304876344122</c:v>
                      </c:pt>
                      <c:pt idx="43">
                        <c:v>6.4748816275510066</c:v>
                      </c:pt>
                      <c:pt idx="44">
                        <c:v>5.7991481773189157</c:v>
                      </c:pt>
                      <c:pt idx="45">
                        <c:v>6.1928611437780283</c:v>
                      </c:pt>
                      <c:pt idx="46">
                        <c:v>6.0706724399100711</c:v>
                      </c:pt>
                      <c:pt idx="47">
                        <c:v>6.3611664416746372</c:v>
                      </c:pt>
                      <c:pt idx="48">
                        <c:v>6.4662315994025237</c:v>
                      </c:pt>
                      <c:pt idx="49">
                        <c:v>6.1917586376433604</c:v>
                      </c:pt>
                      <c:pt idx="50">
                        <c:v>5.7854272926969719</c:v>
                      </c:pt>
                      <c:pt idx="51">
                        <c:v>6.7993401341443844</c:v>
                      </c:pt>
                      <c:pt idx="52">
                        <c:v>7.081123283721122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1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(Adjusted)'!$W$6</c15:sqref>
                        </c15:formulaRef>
                      </c:ext>
                    </c:extLst>
                    <c:strCache>
                      <c:ptCount val="1"/>
                      <c:pt idx="0">
                        <c:v>Khorasan, Petroleum, Exports,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6">
                        <a:lumMod val="60000"/>
                      </a:schemeClr>
                    </a:solidFill>
                    <a:ln w="3175">
                      <a:solidFill>
                        <a:schemeClr val="accent6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(Adjusted)'!$W$7:$W$107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42">
                        <c:v>7.3749922490718376</c:v>
                      </c:pt>
                      <c:pt idx="43">
                        <c:v>7.888553618687256</c:v>
                      </c:pt>
                      <c:pt idx="44">
                        <c:v>7.0389219893572212</c:v>
                      </c:pt>
                      <c:pt idx="45">
                        <c:v>9.2743574355127212</c:v>
                      </c:pt>
                      <c:pt idx="46">
                        <c:v>11.307953206806287</c:v>
                      </c:pt>
                      <c:pt idx="47">
                        <c:v>7.1454455050489507</c:v>
                      </c:pt>
                      <c:pt idx="48">
                        <c:v>7.9715208127071557</c:v>
                      </c:pt>
                      <c:pt idx="49">
                        <c:v>8.6229465449804454</c:v>
                      </c:pt>
                      <c:pt idx="50">
                        <c:v>6.522485207100595</c:v>
                      </c:pt>
                      <c:pt idx="51">
                        <c:v>8.140061538461536</c:v>
                      </c:pt>
                      <c:pt idx="52">
                        <c:v>18.633546872379643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70468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85056"/>
        <c:crosses val="autoZero"/>
        <c:auto val="1"/>
        <c:lblAlgn val="ctr"/>
        <c:lblOffset val="100"/>
        <c:noMultiLvlLbl val="0"/>
      </c:catAx>
      <c:valAx>
        <c:axId val="70468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68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031234647472156"/>
          <c:y val="3.3748939881749082E-2"/>
          <c:w val="0.24968765352527844"/>
          <c:h val="0.95348944705035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Kerosene &amp; Petroleum, US, Black Sea, Persia, Saratov, Caspian Sea and Persian Gulf, in s/case</a:t>
            </a:r>
            <a:endParaRPr lang="en-US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149725525610845"/>
          <c:y val="1.78662582950484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7971578456043507E-2"/>
          <c:y val="8.8437978560490044E-2"/>
          <c:w val="0.62778318526510724"/>
          <c:h val="0.83383555807438314"/>
        </c:manualLayout>
      </c:layout>
      <c:lineChart>
        <c:grouping val="standard"/>
        <c:varyColors val="0"/>
        <c:ser>
          <c:idx val="2"/>
          <c:order val="0"/>
          <c:tx>
            <c:strRef>
              <c:f>'Kerosene (Adjusted)'!$C$6</c:f>
              <c:strCache>
                <c:ptCount val="1"/>
                <c:pt idx="0">
                  <c:v>UK, Kerosene, Imports, in s/case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'Kerosene (Adjusted)'!$D$6</c:f>
              <c:strCache>
                <c:ptCount val="1"/>
                <c:pt idx="0">
                  <c:v>US, Kerosene, , in s/case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(Adjusted)'!$D$7:$D$107</c:f>
              <c:numCache>
                <c:formatCode>0.0000</c:formatCode>
                <c:ptCount val="66"/>
                <c:pt idx="31">
                  <c:v>4.1116230039920154</c:v>
                </c:pt>
                <c:pt idx="32">
                  <c:v>3.626891529441119</c:v>
                </c:pt>
                <c:pt idx="33">
                  <c:v>3.2727969061876245</c:v>
                </c:pt>
                <c:pt idx="34">
                  <c:v>2.9737072729540928</c:v>
                </c:pt>
                <c:pt idx="35">
                  <c:v>2.9702694610778448</c:v>
                </c:pt>
                <c:pt idx="36">
                  <c:v>3.8056577470059896</c:v>
                </c:pt>
                <c:pt idx="37">
                  <c:v>4.2835135978043919</c:v>
                </c:pt>
                <c:pt idx="38">
                  <c:v>3.7128368263473059</c:v>
                </c:pt>
                <c:pt idx="39">
                  <c:v>3.7506527569860282</c:v>
                </c:pt>
                <c:pt idx="40">
                  <c:v>4.1872548652694617</c:v>
                </c:pt>
                <c:pt idx="41">
                  <c:v>4.9091953592814379</c:v>
                </c:pt>
                <c:pt idx="42">
                  <c:v>4.524160429141717</c:v>
                </c:pt>
                <c:pt idx="43">
                  <c:v>4.5722897954091826</c:v>
                </c:pt>
                <c:pt idx="44">
                  <c:v>5.6208224176646722</c:v>
                </c:pt>
                <c:pt idx="45">
                  <c:v>5.6380114770459082</c:v>
                </c:pt>
                <c:pt idx="46">
                  <c:v>5.2082849925149715</c:v>
                </c:pt>
                <c:pt idx="47">
                  <c:v>5.3629865269461083</c:v>
                </c:pt>
                <c:pt idx="48">
                  <c:v>5.5520661801397209</c:v>
                </c:pt>
                <c:pt idx="49">
                  <c:v>5.5692552395209596</c:v>
                </c:pt>
                <c:pt idx="50">
                  <c:v>5.0535834580838337</c:v>
                </c:pt>
                <c:pt idx="51">
                  <c:v>4.4554041916167666</c:v>
                </c:pt>
                <c:pt idx="52">
                  <c:v>3.7953443113772463</c:v>
                </c:pt>
                <c:pt idx="53">
                  <c:v>4.5860410429141725</c:v>
                </c:pt>
                <c:pt idx="54">
                  <c:v>5.0879615768463085</c:v>
                </c:pt>
                <c:pt idx="55">
                  <c:v>4.9504491017964076</c:v>
                </c:pt>
                <c:pt idx="56">
                  <c:v>4.9848272205588833</c:v>
                </c:pt>
                <c:pt idx="57">
                  <c:v>5.0192053393213572</c:v>
                </c:pt>
                <c:pt idx="58">
                  <c:v>5.1223396956087832</c:v>
                </c:pt>
                <c:pt idx="59">
                  <c:v>6.9925093562874254</c:v>
                </c:pt>
                <c:pt idx="60">
                  <c:v>8.2644997504990041</c:v>
                </c:pt>
                <c:pt idx="61">
                  <c:v>10.860047717065868</c:v>
                </c:pt>
                <c:pt idx="62">
                  <c:v>10.01778380738523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'Kerosene (Adjusted)'!$Q$6</c:f>
              <c:strCache>
                <c:ptCount val="1"/>
                <c:pt idx="0">
                  <c:v>Trebizond (Anatolia), Petroleum, Imports, in s/case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(Adjusted)'!$Q$7:$Q$107</c:f>
              <c:numCache>
                <c:formatCode>0.0000</c:formatCode>
                <c:ptCount val="66"/>
                <c:pt idx="9">
                  <c:v>15</c:v>
                </c:pt>
                <c:pt idx="10">
                  <c:v>14.995433789954337</c:v>
                </c:pt>
                <c:pt idx="11">
                  <c:v>15.001618646811266</c:v>
                </c:pt>
                <c:pt idx="12">
                  <c:v>15</c:v>
                </c:pt>
                <c:pt idx="13">
                  <c:v>15.000721604849186</c:v>
                </c:pt>
                <c:pt idx="14">
                  <c:v>13.99920519274076</c:v>
                </c:pt>
                <c:pt idx="15">
                  <c:v>12.998674618952951</c:v>
                </c:pt>
                <c:pt idx="17">
                  <c:v>12.999251310207139</c:v>
                </c:pt>
                <c:pt idx="18">
                  <c:v>12.5</c:v>
                </c:pt>
                <c:pt idx="19">
                  <c:v>12.5</c:v>
                </c:pt>
                <c:pt idx="20">
                  <c:v>12.500223473674801</c:v>
                </c:pt>
                <c:pt idx="21">
                  <c:v>7.13170731707317</c:v>
                </c:pt>
                <c:pt idx="23">
                  <c:v>3.2719087084851921</c:v>
                </c:pt>
                <c:pt idx="24">
                  <c:v>2.9526105998720538</c:v>
                </c:pt>
                <c:pt idx="25">
                  <c:v>4.1280921624388656</c:v>
                </c:pt>
                <c:pt idx="26">
                  <c:v>4.1301986066772125</c:v>
                </c:pt>
                <c:pt idx="27">
                  <c:v>3.5421817985582607</c:v>
                </c:pt>
                <c:pt idx="28">
                  <c:v>3.5679365568728532</c:v>
                </c:pt>
                <c:pt idx="29">
                  <c:v>3.5407563732872118</c:v>
                </c:pt>
                <c:pt idx="30">
                  <c:v>3.5446081030319099</c:v>
                </c:pt>
                <c:pt idx="31">
                  <c:v>3.5438201728382857</c:v>
                </c:pt>
                <c:pt idx="32">
                  <c:v>3.5431327198464642</c:v>
                </c:pt>
                <c:pt idx="33">
                  <c:v>3.5431327198464642</c:v>
                </c:pt>
                <c:pt idx="34">
                  <c:v>3.6928904909062577</c:v>
                </c:pt>
                <c:pt idx="35">
                  <c:v>4.7107177661776358</c:v>
                </c:pt>
                <c:pt idx="36">
                  <c:v>4.2514522997507935</c:v>
                </c:pt>
                <c:pt idx="37">
                  <c:v>2.798137167845705</c:v>
                </c:pt>
                <c:pt idx="38">
                  <c:v>2.8350659124837825</c:v>
                </c:pt>
                <c:pt idx="39">
                  <c:v>2.843299886867483</c:v>
                </c:pt>
                <c:pt idx="40">
                  <c:v>2.836688243756984</c:v>
                </c:pt>
                <c:pt idx="41">
                  <c:v>2.3620884798976425</c:v>
                </c:pt>
                <c:pt idx="42">
                  <c:v>2.3605960061319116</c:v>
                </c:pt>
                <c:pt idx="43">
                  <c:v>2.4122123733702723</c:v>
                </c:pt>
                <c:pt idx="44">
                  <c:v>3.5693951871201195</c:v>
                </c:pt>
                <c:pt idx="45">
                  <c:v>3.4489183645229113</c:v>
                </c:pt>
                <c:pt idx="46">
                  <c:v>3.7785970166999334</c:v>
                </c:pt>
                <c:pt idx="47">
                  <c:v>3.797910756133783</c:v>
                </c:pt>
                <c:pt idx="48">
                  <c:v>3.3039185199557282</c:v>
                </c:pt>
                <c:pt idx="49">
                  <c:v>3.3292996527205125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'Kerosene (Adjusted)'!$T$6</c:f>
              <c:strCache>
                <c:ptCount val="1"/>
                <c:pt idx="0">
                  <c:v>Ispahan, Kerosene, Imports, in s/case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(Adjusted)'!$T$7:$T$107</c:f>
              <c:numCache>
                <c:formatCode>0.0000</c:formatCode>
                <c:ptCount val="66"/>
                <c:pt idx="35">
                  <c:v>15.84</c:v>
                </c:pt>
                <c:pt idx="50">
                  <c:v>11.695442619445172</c:v>
                </c:pt>
                <c:pt idx="51">
                  <c:v>15.671634074782558</c:v>
                </c:pt>
                <c:pt idx="52">
                  <c:v>13.59935188307576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'Kerosene (Adjusted)'!$U$6</c:f>
              <c:strCache>
                <c:ptCount val="1"/>
                <c:pt idx="0">
                  <c:v>Yezd, Kerosene,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(Adjusted)'!$U$7:$U$107</c:f>
              <c:numCache>
                <c:formatCode>0.0000</c:formatCode>
                <c:ptCount val="66"/>
                <c:pt idx="45" formatCode="_(* #,##0.0000_);_(* \(#,##0.0000\);_(* &quot;-&quot;??_);_(@_)">
                  <c:v>13.825964419157277</c:v>
                </c:pt>
                <c:pt idx="46" formatCode="_(* #,##0.0000_);_(* \(#,##0.0000\);_(* &quot;-&quot;??_);_(@_)">
                  <c:v>11.45429228552428</c:v>
                </c:pt>
                <c:pt idx="52" formatCode="_(* #,##0.0000_);_(* \(#,##0.0000\);_(* &quot;-&quot;??_);_(@_)">
                  <c:v>20.107890109890111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'Kerosene (Adjusted)'!$V$6</c:f>
              <c:strCache>
                <c:ptCount val="1"/>
                <c:pt idx="0">
                  <c:v>Khorasan, Petroleum, Imports,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(Adjusted)'!$V$7:$V$107</c:f>
              <c:numCache>
                <c:formatCode>0.0000</c:formatCode>
                <c:ptCount val="66"/>
                <c:pt idx="42">
                  <c:v>6.6450304876344122</c:v>
                </c:pt>
                <c:pt idx="43">
                  <c:v>6.4748816275510066</c:v>
                </c:pt>
                <c:pt idx="44">
                  <c:v>5.7991481773189157</c:v>
                </c:pt>
                <c:pt idx="45">
                  <c:v>6.1928611437780283</c:v>
                </c:pt>
                <c:pt idx="46">
                  <c:v>6.0706724399100711</c:v>
                </c:pt>
                <c:pt idx="47">
                  <c:v>6.3611664416746372</c:v>
                </c:pt>
                <c:pt idx="48">
                  <c:v>6.4662315994025237</c:v>
                </c:pt>
                <c:pt idx="49">
                  <c:v>6.1917586376433604</c:v>
                </c:pt>
                <c:pt idx="50">
                  <c:v>5.7854272926969719</c:v>
                </c:pt>
                <c:pt idx="51">
                  <c:v>6.7993401341443844</c:v>
                </c:pt>
                <c:pt idx="52">
                  <c:v>7.081123283721122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'Kerosene (Adjusted)'!$W$6</c:f>
              <c:strCache>
                <c:ptCount val="1"/>
                <c:pt idx="0">
                  <c:v>Khorasan, Petroleum, Exports,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(Adjusted)'!$W$7:$W$107</c:f>
              <c:numCache>
                <c:formatCode>0.0000</c:formatCode>
                <c:ptCount val="66"/>
                <c:pt idx="42">
                  <c:v>7.3749922490718376</c:v>
                </c:pt>
                <c:pt idx="43">
                  <c:v>7.888553618687256</c:v>
                </c:pt>
                <c:pt idx="44">
                  <c:v>7.0389219893572212</c:v>
                </c:pt>
                <c:pt idx="45">
                  <c:v>9.2743574355127212</c:v>
                </c:pt>
                <c:pt idx="46">
                  <c:v>11.307953206806287</c:v>
                </c:pt>
                <c:pt idx="47">
                  <c:v>7.1454455050489507</c:v>
                </c:pt>
                <c:pt idx="48">
                  <c:v>7.9715208127071557</c:v>
                </c:pt>
                <c:pt idx="49">
                  <c:v>8.6229465449804454</c:v>
                </c:pt>
                <c:pt idx="50">
                  <c:v>6.522485207100595</c:v>
                </c:pt>
                <c:pt idx="51">
                  <c:v>8.140061538461536</c:v>
                </c:pt>
                <c:pt idx="52">
                  <c:v>18.633546872379643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'Kerosene (Adjusted)'!$X$6</c:f>
              <c:strCache>
                <c:ptCount val="1"/>
                <c:pt idx="0">
                  <c:v>Kermanshah, Kerosene, Imports,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(Adjusted)'!$X$7:$X$107</c:f>
              <c:numCache>
                <c:formatCode>0.0000</c:formatCode>
                <c:ptCount val="66"/>
                <c:pt idx="44">
                  <c:v>11.448106349096445</c:v>
                </c:pt>
                <c:pt idx="45">
                  <c:v>7.3475634289145804</c:v>
                </c:pt>
                <c:pt idx="50">
                  <c:v>11.810357142857145</c:v>
                </c:pt>
                <c:pt idx="51">
                  <c:v>13.139022321428573</c:v>
                </c:pt>
                <c:pt idx="52">
                  <c:v>12.323850931677077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'Kerosene (Adjusted)'!$Y$6</c:f>
              <c:strCache>
                <c:ptCount val="1"/>
                <c:pt idx="0">
                  <c:v>Kermanshah, Naphtha Oil, Imports, in s/case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(Adjusted)'!$Y$7:$Y$107</c:f>
              <c:numCache>
                <c:formatCode>0.0000</c:formatCode>
                <c:ptCount val="66"/>
                <c:pt idx="40">
                  <c:v>7.8269822485207081</c:v>
                </c:pt>
                <c:pt idx="43">
                  <c:v>7.0071255070366361</c:v>
                </c:pt>
                <c:pt idx="44">
                  <c:v>6.7524686710429327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'Kerosene (Adjusted)'!$AA$6</c:f>
              <c:strCache>
                <c:ptCount val="1"/>
                <c:pt idx="0">
                  <c:v>Kerman, Kerosene,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(Adjusted)'!$AA$7:$AA$107</c:f>
              <c:numCache>
                <c:formatCode>0.0000</c:formatCode>
                <c:ptCount val="66"/>
                <c:pt idx="45">
                  <c:v>10.000000000000009</c:v>
                </c:pt>
                <c:pt idx="46">
                  <c:v>10.000000000000009</c:v>
                </c:pt>
                <c:pt idx="47">
                  <c:v>8.64</c:v>
                </c:pt>
                <c:pt idx="48">
                  <c:v>19.999999999999979</c:v>
                </c:pt>
                <c:pt idx="49">
                  <c:v>18.037636363636398</c:v>
                </c:pt>
                <c:pt idx="50">
                  <c:v>13.227599999999978</c:v>
                </c:pt>
                <c:pt idx="51">
                  <c:v>12.626345454545492</c:v>
                </c:pt>
                <c:pt idx="52">
                  <c:v>30.062727272727301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'Kerosene (Adjusted)'!$AB$6</c:f>
              <c:strCache>
                <c:ptCount val="1"/>
                <c:pt idx="0">
                  <c:v>Kerman, Petroleum, Imports,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(Adjusted)'!$AB$7:$AB$107</c:f>
              <c:numCache>
                <c:formatCode>0.0000</c:formatCode>
                <c:ptCount val="66"/>
                <c:pt idx="34">
                  <c:v>7.5999999999999961</c:v>
                </c:pt>
                <c:pt idx="49">
                  <c:v>19.999999999999979</c:v>
                </c:pt>
                <c:pt idx="50">
                  <c:v>14.999999999999995</c:v>
                </c:pt>
              </c:numCache>
            </c:numRef>
          </c:val>
          <c:smooth val="0"/>
        </c:ser>
        <c:ser>
          <c:idx val="14"/>
          <c:order val="11"/>
          <c:tx>
            <c:strRef>
              <c:f>'Kerosene (Adjusted)'!$AC$6</c:f>
              <c:strCache>
                <c:ptCount val="1"/>
                <c:pt idx="0">
                  <c:v>Bam, Kerosene,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(Adjusted)'!$AC$7:$AC$107</c:f>
              <c:numCache>
                <c:formatCode>0.0000</c:formatCode>
                <c:ptCount val="66"/>
                <c:pt idx="52">
                  <c:v>23.454790970469826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'Kerosene (Adjusted)'!$AD$6</c:f>
              <c:strCache>
                <c:ptCount val="1"/>
                <c:pt idx="0">
                  <c:v>Resht &amp; Mazandaran, Petroleum &amp; Kerosene, Imports,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(Adjusted)'!$AD$7:$AD$107</c:f>
              <c:numCache>
                <c:formatCode>0.0000</c:formatCode>
                <c:ptCount val="66"/>
                <c:pt idx="15">
                  <c:v>4.9194486209837942</c:v>
                </c:pt>
                <c:pt idx="31">
                  <c:v>1.211419458345919</c:v>
                </c:pt>
                <c:pt idx="33">
                  <c:v>2.3771488607967965</c:v>
                </c:pt>
                <c:pt idx="46">
                  <c:v>2.4914722963707838</c:v>
                </c:pt>
                <c:pt idx="47">
                  <c:v>2.7506424318205474</c:v>
                </c:pt>
                <c:pt idx="48">
                  <c:v>3.0188158733834105</c:v>
                </c:pt>
                <c:pt idx="49">
                  <c:v>2.0326919253867954</c:v>
                </c:pt>
                <c:pt idx="50">
                  <c:v>1.62657751196286</c:v>
                </c:pt>
              </c:numCache>
            </c:numRef>
          </c:val>
          <c:smooth val="0"/>
        </c:ser>
        <c:ser>
          <c:idx val="17"/>
          <c:order val="13"/>
          <c:tx>
            <c:strRef>
              <c:f>'Kerosene (Adjusted)'!$AF$6</c:f>
              <c:strCache>
                <c:ptCount val="1"/>
                <c:pt idx="0">
                  <c:v>Bender Gez &amp; Astarabad and Ghilan &amp; Tunekabun, Naphtha Oil, Imports, in s/case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(Adjusted)'!$AF$7:$AF$107</c:f>
              <c:numCache>
                <c:formatCode>0.0000</c:formatCode>
                <c:ptCount val="66"/>
                <c:pt idx="46">
                  <c:v>1.6332166262269099</c:v>
                </c:pt>
                <c:pt idx="47">
                  <c:v>1.4547527416271371</c:v>
                </c:pt>
                <c:pt idx="48">
                  <c:v>1.5694862725207874</c:v>
                </c:pt>
                <c:pt idx="49">
                  <c:v>1.6822282287071169</c:v>
                </c:pt>
                <c:pt idx="50">
                  <c:v>1.4921791640387254</c:v>
                </c:pt>
              </c:numCache>
            </c:numRef>
          </c:val>
          <c:smooth val="0"/>
        </c:ser>
        <c:ser>
          <c:idx val="18"/>
          <c:order val="14"/>
          <c:tx>
            <c:strRef>
              <c:f>'Kerosene (Adjusted)'!$AG$6</c:f>
              <c:strCache>
                <c:ptCount val="1"/>
                <c:pt idx="0">
                  <c:v>Bender Gez &amp; Astarabad, Petroleum,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(Adjusted)'!$AG$7:$AG$107</c:f>
              <c:numCache>
                <c:formatCode>0.0000</c:formatCode>
                <c:ptCount val="66"/>
                <c:pt idx="31" formatCode="_(* #,##0.0000_);_(* \(#,##0.0000\);_(* &quot;-&quot;??_);_(@_)">
                  <c:v>8.9874193333333281</c:v>
                </c:pt>
                <c:pt idx="32" formatCode="_(* #,##0.0000_);_(* \(#,##0.0000\);_(* &quot;-&quot;??_);_(@_)">
                  <c:v>9.6663230769230815</c:v>
                </c:pt>
              </c:numCache>
            </c:numRef>
          </c:val>
          <c:smooth val="0"/>
        </c:ser>
        <c:ser>
          <c:idx val="19"/>
          <c:order val="15"/>
          <c:tx>
            <c:strRef>
              <c:f>'Kerosene (Adjusted)'!$AH$6</c:f>
              <c:strCache>
                <c:ptCount val="1"/>
                <c:pt idx="0">
                  <c:v>Bender Gez &amp; Astarabad, Naphtha Oil, Exports,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(Adjusted)'!$AH$7:$AH$107</c:f>
              <c:numCache>
                <c:formatCode>0.0000</c:formatCode>
                <c:ptCount val="66"/>
                <c:pt idx="46">
                  <c:v>4.5747628458498104</c:v>
                </c:pt>
                <c:pt idx="47">
                  <c:v>3.621258600194512</c:v>
                </c:pt>
                <c:pt idx="48">
                  <c:v>3.7774255729278279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'Kerosene (Adjusted)'!$AI$6</c:f>
              <c:strCache>
                <c:ptCount val="1"/>
                <c:pt idx="0">
                  <c:v>Astara, Naphtha Oil,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(Adjusted)'!$AI$7:$AI$107</c:f>
              <c:numCache>
                <c:formatCode>0.0000</c:formatCode>
                <c:ptCount val="66"/>
                <c:pt idx="48">
                  <c:v>1.7946050290536015</c:v>
                </c:pt>
                <c:pt idx="49">
                  <c:v>1.7201196868512425</c:v>
                </c:pt>
                <c:pt idx="50">
                  <c:v>1.3765262319245117</c:v>
                </c:pt>
              </c:numCache>
            </c:numRef>
          </c:val>
          <c:smooth val="0"/>
        </c:ser>
        <c:ser>
          <c:idx val="21"/>
          <c:order val="17"/>
          <c:tx>
            <c:strRef>
              <c:f>'Kerosene (Adjusted)'!$AJ$6</c:f>
              <c:strCache>
                <c:ptCount val="1"/>
                <c:pt idx="0">
                  <c:v>Baku, Kerosene, , in s/case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(Adjusted)'!$AJ$7:$AJ$107</c:f>
              <c:numCache>
                <c:formatCode>0.0000</c:formatCode>
                <c:ptCount val="66"/>
                <c:pt idx="30" formatCode="_(* #,##0.0000_);_(* \(#,##0.0000\);_(* &quot;-&quot;??_);_(@_)">
                  <c:v>0.87833900578508928</c:v>
                </c:pt>
                <c:pt idx="31" formatCode="_(* #,##0.0000_);_(* \(#,##0.0000\);_(* &quot;-&quot;??_);_(@_)">
                  <c:v>0.41741726036616195</c:v>
                </c:pt>
                <c:pt idx="32" formatCode="_(* #,##0.0000_);_(* \(#,##0.0000\);_(* &quot;-&quot;??_);_(@_)">
                  <c:v>0.26915878159574202</c:v>
                </c:pt>
                <c:pt idx="33" formatCode="_(* #,##0.0000_);_(* \(#,##0.0000\);_(* &quot;-&quot;??_);_(@_)">
                  <c:v>0.25210351062057229</c:v>
                </c:pt>
                <c:pt idx="34" formatCode="_(* #,##0.0000_);_(* \(#,##0.0000\);_(* &quot;-&quot;??_);_(@_)">
                  <c:v>0.22041029616624844</c:v>
                </c:pt>
                <c:pt idx="35" formatCode="_(* #,##0.0000_);_(* \(#,##0.0000\);_(* &quot;-&quot;??_);_(@_)">
                  <c:v>0.54756050779707344</c:v>
                </c:pt>
                <c:pt idx="36" formatCode="_(* #,##0.0000_);_(* \(#,##0.0000\);_(* &quot;-&quot;??_);_(@_)">
                  <c:v>0.51840569671693737</c:v>
                </c:pt>
                <c:pt idx="37" formatCode="_(* #,##0.0000_);_(* \(#,##0.0000\);_(* &quot;-&quot;??_);_(@_)">
                  <c:v>0.46878196493379126</c:v>
                </c:pt>
                <c:pt idx="38" formatCode="_(* #,##0.0000_);_(* \(#,##0.0000\);_(* &quot;-&quot;??_);_(@_)">
                  <c:v>0.54621328853426221</c:v>
                </c:pt>
                <c:pt idx="39" formatCode="_(* #,##0.0000_);_(* \(#,##0.0000\);_(* &quot;-&quot;??_);_(@_)">
                  <c:v>0.91744430887267558</c:v>
                </c:pt>
                <c:pt idx="40" formatCode="_(* #,##0.0000_);_(* \(#,##0.0000\);_(* &quot;-&quot;??_);_(@_)">
                  <c:v>0.88221412124504495</c:v>
                </c:pt>
                <c:pt idx="41" formatCode="_(* #,##0.0000_);_(* \(#,##0.0000\);_(* &quot;-&quot;??_);_(@_)">
                  <c:v>0.35166147881473275</c:v>
                </c:pt>
                <c:pt idx="42" formatCode="_(* #,##0.0000_);_(* \(#,##0.0000\);_(* &quot;-&quot;??_);_(@_)">
                  <c:v>0.32341309813697594</c:v>
                </c:pt>
                <c:pt idx="43" formatCode="_(* #,##0.0000_);_(* \(#,##0.0000\);_(* &quot;-&quot;??_);_(@_)">
                  <c:v>0.49285177890479098</c:v>
                </c:pt>
                <c:pt idx="44" formatCode="_(* #,##0.0000_);_(* \(#,##0.0000\);_(* &quot;-&quot;??_);_(@_)">
                  <c:v>0.79591079186421043</c:v>
                </c:pt>
                <c:pt idx="45" formatCode="_(* #,##0.0000_);_(* \(#,##0.0000\);_(* &quot;-&quot;??_);_(@_)">
                  <c:v>0.85189311728375205</c:v>
                </c:pt>
                <c:pt idx="46" formatCode="_(* #,##0.0000_);_(* \(#,##0.0000\);_(* &quot;-&quot;??_);_(@_)">
                  <c:v>1.0938172433029425</c:v>
                </c:pt>
                <c:pt idx="47" formatCode="_(* #,##0.0000_);_(* \(#,##0.0000\);_(* &quot;-&quot;??_);_(@_)">
                  <c:v>1.3679300463831459</c:v>
                </c:pt>
                <c:pt idx="48" formatCode="_(* #,##0.0000_);_(* \(#,##0.0000\);_(* &quot;-&quot;??_);_(@_)">
                  <c:v>1.0618357870644426</c:v>
                </c:pt>
                <c:pt idx="49" formatCode="_(* #,##0.0000_);_(* \(#,##0.0000\);_(* &quot;-&quot;??_);_(@_)">
                  <c:v>1.1073154608231122</c:v>
                </c:pt>
                <c:pt idx="50" formatCode="_(* #,##0.0000_);_(* \(#,##0.0000\);_(* &quot;-&quot;??_);_(@_)">
                  <c:v>0.74018576711775508</c:v>
                </c:pt>
                <c:pt idx="51" formatCode="_(* #,##0.0000_);_(* \(#,##0.0000\);_(* &quot;-&quot;??_);_(@_)">
                  <c:v>1.1204900060273351</c:v>
                </c:pt>
                <c:pt idx="52" formatCode="_(* #,##0.0000_);_(* \(#,##0.0000\);_(* &quot;-&quot;??_);_(@_)">
                  <c:v>1.6280624019200589</c:v>
                </c:pt>
                <c:pt idx="53" formatCode="_(* #,##0.0000_);_(* \(#,##0.0000\);_(* &quot;-&quot;??_);_(@_)">
                  <c:v>2.2073665920367449</c:v>
                </c:pt>
                <c:pt idx="54" formatCode="_(* #,##0.0000_);_(* \(#,##0.0000\);_(* &quot;-&quot;??_);_(@_)">
                  <c:v>1.8591272024468575</c:v>
                </c:pt>
              </c:numCache>
            </c:numRef>
          </c:val>
          <c:smooth val="0"/>
        </c:ser>
        <c:ser>
          <c:idx val="22"/>
          <c:order val="18"/>
          <c:tx>
            <c:strRef>
              <c:f>'Kerosene (Adjusted)'!$AK$6</c:f>
              <c:strCache>
                <c:ptCount val="1"/>
                <c:pt idx="0">
                  <c:v>Saratov, Kerosene, , in s/case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(Adjusted)'!$AK$7:$AK$107</c:f>
              <c:numCache>
                <c:formatCode>0.0000</c:formatCode>
                <c:ptCount val="66"/>
                <c:pt idx="30" formatCode="_(* #,##0.0000_);_(* \(#,##0.0000\);_(* &quot;-&quot;??_);_(@_)">
                  <c:v>4.9093634284702823</c:v>
                </c:pt>
                <c:pt idx="31" formatCode="_(* #,##0.0000_);_(* \(#,##0.0000\);_(* &quot;-&quot;??_);_(@_)">
                  <c:v>4.0647525451190321</c:v>
                </c:pt>
                <c:pt idx="32" formatCode="_(* #,##0.0000_);_(* \(#,##0.0000\);_(* &quot;-&quot;??_);_(@_)">
                  <c:v>3.4880028409530408</c:v>
                </c:pt>
                <c:pt idx="33" formatCode="_(* #,##0.0000_);_(* \(#,##0.0000\);_(* &quot;-&quot;??_);_(@_)">
                  <c:v>4.1635276754003607</c:v>
                </c:pt>
                <c:pt idx="34" formatCode="_(* #,##0.0000_);_(* \(#,##0.0000\);_(* &quot;-&quot;??_);_(@_)">
                  <c:v>4.2743853863668901</c:v>
                </c:pt>
                <c:pt idx="35" formatCode="_(* #,##0.0000_);_(* \(#,##0.0000\);_(* &quot;-&quot;??_);_(@_)">
                  <c:v>4.5459339999843369</c:v>
                </c:pt>
                <c:pt idx="36" formatCode="_(* #,##0.0000_);_(* \(#,##0.0000\);_(* &quot;-&quot;??_);_(@_)">
                  <c:v>4.6110822497453912</c:v>
                </c:pt>
                <c:pt idx="37" formatCode="_(* #,##0.0000_);_(* \(#,##0.0000\);_(* &quot;-&quot;??_);_(@_)">
                  <c:v>4.4612416996199133</c:v>
                </c:pt>
                <c:pt idx="38" formatCode="_(* #,##0.0000_);_(* \(#,##0.0000\);_(* &quot;-&quot;??_);_(@_)">
                  <c:v>4.4360322075961145</c:v>
                </c:pt>
                <c:pt idx="39" formatCode="_(* #,##0.0000_);_(* \(#,##0.0000\);_(* &quot;-&quot;??_);_(@_)">
                  <c:v>4.6106456543771479</c:v>
                </c:pt>
                <c:pt idx="40" formatCode="_(* #,##0.0000_);_(* \(#,##0.0000\);_(* &quot;-&quot;??_);_(@_)">
                  <c:v>5.2347306928743587</c:v>
                </c:pt>
                <c:pt idx="41" formatCode="_(* #,##0.0000_);_(* \(#,##0.0000\);_(* &quot;-&quot;??_);_(@_)">
                  <c:v>4.9545195015231238</c:v>
                </c:pt>
                <c:pt idx="42" formatCode="_(* #,##0.0000_);_(* \(#,##0.0000\);_(* &quot;-&quot;??_);_(@_)">
                  <c:v>4.5044041138113764</c:v>
                </c:pt>
                <c:pt idx="43" formatCode="_(* #,##0.0000_);_(* \(#,##0.0000\);_(* &quot;-&quot;??_);_(@_)">
                  <c:v>4.4904273189103181</c:v>
                </c:pt>
                <c:pt idx="44" formatCode="_(* #,##0.0000_);_(* \(#,##0.0000\);_(* &quot;-&quot;??_);_(@_)">
                  <c:v>4.8066769391015063</c:v>
                </c:pt>
                <c:pt idx="45" formatCode="_(* #,##0.0000_);_(* \(#,##0.0000\);_(* &quot;-&quot;??_);_(@_)">
                  <c:v>5.0841292433327112</c:v>
                </c:pt>
                <c:pt idx="46" formatCode="_(* #,##0.0000_);_(* \(#,##0.0000\);_(* &quot;-&quot;??_);_(@_)">
                  <c:v>4.6582846235768658</c:v>
                </c:pt>
                <c:pt idx="47" formatCode="_(* #,##0.0000_);_(* \(#,##0.0000\);_(* &quot;-&quot;??_);_(@_)">
                  <c:v>5.663307026762717</c:v>
                </c:pt>
                <c:pt idx="48" formatCode="_(* #,##0.0000_);_(* \(#,##0.0000\);_(* &quot;-&quot;??_);_(@_)">
                  <c:v>5.56788074526155</c:v>
                </c:pt>
                <c:pt idx="49" formatCode="_(* #,##0.0000_);_(* \(#,##0.0000\);_(* &quot;-&quot;??_);_(@_)">
                  <c:v>5.7713438329119811</c:v>
                </c:pt>
                <c:pt idx="50" formatCode="_(* #,##0.0000_);_(* \(#,##0.0000\);_(* &quot;-&quot;??_);_(@_)">
                  <c:v>5.0176803581456255</c:v>
                </c:pt>
                <c:pt idx="51" formatCode="_(* #,##0.0000_);_(* \(#,##0.0000\);_(* &quot;-&quot;??_);_(@_)">
                  <c:v>5.3282042244656491</c:v>
                </c:pt>
                <c:pt idx="52" formatCode="_(* #,##0.0000_);_(* \(#,##0.0000\);_(* &quot;-&quot;??_);_(@_)">
                  <c:v>6.1208884533725305</c:v>
                </c:pt>
                <c:pt idx="53" formatCode="_(* #,##0.0000_);_(* \(#,##0.0000\);_(* &quot;-&quot;??_);_(@_)">
                  <c:v>6.7270274134077548</c:v>
                </c:pt>
                <c:pt idx="54" formatCode="_(* #,##0.0000_);_(* \(#,##0.0000\);_(* &quot;-&quot;??_);_(@_)">
                  <c:v>6.4196166865283972</c:v>
                </c:pt>
              </c:numCache>
            </c:numRef>
          </c:val>
          <c:smooth val="0"/>
        </c:ser>
        <c:ser>
          <c:idx val="23"/>
          <c:order val="19"/>
          <c:tx>
            <c:strRef>
              <c:f>'Kerosene (Adjusted)'!$AL$6</c:f>
              <c:strCache>
                <c:ptCount val="1"/>
                <c:pt idx="0">
                  <c:v>Bahrain, Petroleum, Imports, in s/case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(Adjusted)'!$AL$7:$AL$107</c:f>
              <c:numCache>
                <c:formatCode>0.0000</c:formatCode>
                <c:ptCount val="66"/>
                <c:pt idx="31">
                  <c:v>10.015616485757993</c:v>
                </c:pt>
                <c:pt idx="32">
                  <c:v>8.3842318278736254</c:v>
                </c:pt>
                <c:pt idx="33">
                  <c:v>8.3827456061288945</c:v>
                </c:pt>
                <c:pt idx="34">
                  <c:v>7.186977253401361</c:v>
                </c:pt>
                <c:pt idx="35">
                  <c:v>6.888969145802653</c:v>
                </c:pt>
              </c:numCache>
            </c:numRef>
          </c:val>
          <c:smooth val="0"/>
        </c:ser>
        <c:ser>
          <c:idx val="24"/>
          <c:order val="20"/>
          <c:tx>
            <c:strRef>
              <c:f>'Kerosene (Adjusted)'!$AM$6</c:f>
              <c:strCache>
                <c:ptCount val="1"/>
                <c:pt idx="0">
                  <c:v>Bahrain, Kerosene,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(Adjusted)'!$AM$7:$AM$107</c:f>
              <c:numCache>
                <c:formatCode>0.0000</c:formatCode>
                <c:ptCount val="66"/>
                <c:pt idx="36">
                  <c:v>4.7061538461538381</c:v>
                </c:pt>
                <c:pt idx="37">
                  <c:v>4.6760784313725541</c:v>
                </c:pt>
                <c:pt idx="39">
                  <c:v>5.3346405228758105</c:v>
                </c:pt>
                <c:pt idx="40">
                  <c:v>6.3338461538461557</c:v>
                </c:pt>
                <c:pt idx="41">
                  <c:v>5.1253333333333382</c:v>
                </c:pt>
                <c:pt idx="42">
                  <c:v>5.3341253341253276</c:v>
                </c:pt>
                <c:pt idx="43">
                  <c:v>6.0005800464037202</c:v>
                </c:pt>
                <c:pt idx="44">
                  <c:v>5.7783826137160261</c:v>
                </c:pt>
                <c:pt idx="45">
                  <c:v>5.3205378627034614</c:v>
                </c:pt>
                <c:pt idx="46">
                  <c:v>5.3333333333333277</c:v>
                </c:pt>
                <c:pt idx="47">
                  <c:v>5.3333333333333277</c:v>
                </c:pt>
                <c:pt idx="50">
                  <c:v>5.3522408963585519</c:v>
                </c:pt>
                <c:pt idx="51">
                  <c:v>5.2506818181818096</c:v>
                </c:pt>
                <c:pt idx="52">
                  <c:v>5.6598113207547183</c:v>
                </c:pt>
                <c:pt idx="53">
                  <c:v>5.9999999999999938</c:v>
                </c:pt>
              </c:numCache>
            </c:numRef>
          </c:val>
          <c:smooth val="0"/>
        </c:ser>
        <c:ser>
          <c:idx val="25"/>
          <c:order val="21"/>
          <c:tx>
            <c:strRef>
              <c:f>'Kerosene (Adjusted)'!$AN$6</c:f>
              <c:strCache>
                <c:ptCount val="1"/>
                <c:pt idx="0">
                  <c:v>Bahrain, Kerosene, Exports,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(Adjusted)'!$AN$7:$AN$107</c:f>
              <c:numCache>
                <c:formatCode>0.0000</c:formatCode>
                <c:ptCount val="66"/>
                <c:pt idx="38">
                  <c:v>4.3725714285714297</c:v>
                </c:pt>
                <c:pt idx="39">
                  <c:v>5.3864695484492939</c:v>
                </c:pt>
                <c:pt idx="40">
                  <c:v>6.9975062344139571</c:v>
                </c:pt>
                <c:pt idx="41">
                  <c:v>4.6494845360824675</c:v>
                </c:pt>
                <c:pt idx="42">
                  <c:v>4.6666666666666625</c:v>
                </c:pt>
                <c:pt idx="43">
                  <c:v>6.001214820813936</c:v>
                </c:pt>
                <c:pt idx="44">
                  <c:v>5.9982920580700263</c:v>
                </c:pt>
                <c:pt idx="45">
                  <c:v>6.16439187139824</c:v>
                </c:pt>
                <c:pt idx="46">
                  <c:v>5.6668968692449386</c:v>
                </c:pt>
                <c:pt idx="47">
                  <c:v>5.3333333333333277</c:v>
                </c:pt>
                <c:pt idx="48">
                  <c:v>5.3333333333333277</c:v>
                </c:pt>
                <c:pt idx="49">
                  <c:v>5.3333333333333277</c:v>
                </c:pt>
                <c:pt idx="50">
                  <c:v>5.3308752183194219</c:v>
                </c:pt>
                <c:pt idx="51">
                  <c:v>6.0002862595419781</c:v>
                </c:pt>
                <c:pt idx="52">
                  <c:v>5.9999999999999938</c:v>
                </c:pt>
                <c:pt idx="53">
                  <c:v>6.7506382978723449</c:v>
                </c:pt>
              </c:numCache>
            </c:numRef>
          </c:val>
          <c:smooth val="0"/>
        </c:ser>
        <c:ser>
          <c:idx val="26"/>
          <c:order val="22"/>
          <c:tx>
            <c:strRef>
              <c:f>'Kerosene (Adjusted)'!$AO$6</c:f>
              <c:strCache>
                <c:ptCount val="1"/>
                <c:pt idx="0">
                  <c:v>Muscat, Kerosene / Oil, of all kinds,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(Adjusted)'!$AO$7:$AO$107</c:f>
              <c:numCache>
                <c:formatCode>0.0000</c:formatCode>
                <c:ptCount val="66"/>
                <c:pt idx="14">
                  <c:v>11.85253378378378</c:v>
                </c:pt>
                <c:pt idx="15">
                  <c:v>11.56034913530895</c:v>
                </c:pt>
                <c:pt idx="16">
                  <c:v>14.295874974653106</c:v>
                </c:pt>
                <c:pt idx="17">
                  <c:v>14.854836910865851</c:v>
                </c:pt>
                <c:pt idx="18">
                  <c:v>9.7125410817131037</c:v>
                </c:pt>
                <c:pt idx="19">
                  <c:v>7.01145435721401</c:v>
                </c:pt>
                <c:pt idx="20">
                  <c:v>7.157988750914801</c:v>
                </c:pt>
                <c:pt idx="21">
                  <c:v>8.1946360584861484</c:v>
                </c:pt>
                <c:pt idx="22">
                  <c:v>6.4611745940956684</c:v>
                </c:pt>
                <c:pt idx="23">
                  <c:v>4.9424381019037442</c:v>
                </c:pt>
                <c:pt idx="24">
                  <c:v>4.1765217399639001</c:v>
                </c:pt>
                <c:pt idx="25">
                  <c:v>8.4787294397724366</c:v>
                </c:pt>
                <c:pt idx="26">
                  <c:v>8.6464424507908326</c:v>
                </c:pt>
                <c:pt idx="27">
                  <c:v>5.4498788780742178</c:v>
                </c:pt>
                <c:pt idx="28">
                  <c:v>5.8098164885142305</c:v>
                </c:pt>
                <c:pt idx="29">
                  <c:v>5.8022052816571925</c:v>
                </c:pt>
                <c:pt idx="30">
                  <c:v>5.9312072120351944</c:v>
                </c:pt>
                <c:pt idx="31">
                  <c:v>5.3429562349729203</c:v>
                </c:pt>
                <c:pt idx="32">
                  <c:v>4.6681790794009377</c:v>
                </c:pt>
                <c:pt idx="33">
                  <c:v>4.041989986062978</c:v>
                </c:pt>
                <c:pt idx="34">
                  <c:v>11.76360802120449</c:v>
                </c:pt>
                <c:pt idx="35">
                  <c:v>12.119311071521677</c:v>
                </c:pt>
                <c:pt idx="36">
                  <c:v>12.525828843312773</c:v>
                </c:pt>
                <c:pt idx="37">
                  <c:v>13.445575301990088</c:v>
                </c:pt>
                <c:pt idx="38">
                  <c:v>13.68821559702789</c:v>
                </c:pt>
                <c:pt idx="39">
                  <c:v>10.547644876370153</c:v>
                </c:pt>
                <c:pt idx="40">
                  <c:v>8.6321508103762916</c:v>
                </c:pt>
                <c:pt idx="41">
                  <c:v>16.864626895209128</c:v>
                </c:pt>
                <c:pt idx="42">
                  <c:v>18.332544509769058</c:v>
                </c:pt>
                <c:pt idx="43">
                  <c:v>15.716640004471783</c:v>
                </c:pt>
                <c:pt idx="44">
                  <c:v>16.101914867037451</c:v>
                </c:pt>
                <c:pt idx="45">
                  <c:v>10.446428571428575</c:v>
                </c:pt>
                <c:pt idx="46">
                  <c:v>8.2225000000000072</c:v>
                </c:pt>
                <c:pt idx="47">
                  <c:v>8.3035443037974659</c:v>
                </c:pt>
                <c:pt idx="48">
                  <c:v>14.472770511296069</c:v>
                </c:pt>
                <c:pt idx="49">
                  <c:v>14.864977000090187</c:v>
                </c:pt>
                <c:pt idx="50">
                  <c:v>6.1868041237113482</c:v>
                </c:pt>
                <c:pt idx="51">
                  <c:v>5.0630992378923239</c:v>
                </c:pt>
              </c:numCache>
            </c:numRef>
          </c:val>
          <c:smooth val="0"/>
        </c:ser>
        <c:ser>
          <c:idx val="27"/>
          <c:order val="23"/>
          <c:tx>
            <c:strRef>
              <c:f>'Kerosene (Adjusted)'!$AP$6</c:f>
              <c:strCache>
                <c:ptCount val="1"/>
                <c:pt idx="0">
                  <c:v>Muscat, Kerosene, Exports,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(Adjusted)'!$AP$7:$AP$107</c:f>
              <c:numCache>
                <c:formatCode>0.0000</c:formatCode>
                <c:ptCount val="66"/>
                <c:pt idx="15">
                  <c:v>11.56034913530895</c:v>
                </c:pt>
                <c:pt idx="19">
                  <c:v>6.944678601431022</c:v>
                </c:pt>
                <c:pt idx="20">
                  <c:v>7.080184525361382</c:v>
                </c:pt>
                <c:pt idx="21">
                  <c:v>8.7549530539381735</c:v>
                </c:pt>
                <c:pt idx="22">
                  <c:v>6.1210566575417875</c:v>
                </c:pt>
                <c:pt idx="23">
                  <c:v>5.3909475935103721</c:v>
                </c:pt>
                <c:pt idx="24">
                  <c:v>4.1159924393847298</c:v>
                </c:pt>
                <c:pt idx="25">
                  <c:v>5.4837553590568078</c:v>
                </c:pt>
                <c:pt idx="26">
                  <c:v>5.0635375398095217</c:v>
                </c:pt>
                <c:pt idx="27">
                  <c:v>5.2984933536832557</c:v>
                </c:pt>
                <c:pt idx="28">
                  <c:v>5.8098164885142305</c:v>
                </c:pt>
                <c:pt idx="29">
                  <c:v>5.784409127777292</c:v>
                </c:pt>
                <c:pt idx="30">
                  <c:v>6.4704078676747443</c:v>
                </c:pt>
                <c:pt idx="31">
                  <c:v>6.1062356971119067</c:v>
                </c:pt>
                <c:pt idx="32">
                  <c:v>5.049712946467368</c:v>
                </c:pt>
                <c:pt idx="33">
                  <c:v>4.0538855575833121</c:v>
                </c:pt>
                <c:pt idx="34">
                  <c:v>3.5944357842569339</c:v>
                </c:pt>
              </c:numCache>
            </c:numRef>
          </c:val>
          <c:smooth val="0"/>
        </c:ser>
        <c:ser>
          <c:idx val="29"/>
          <c:order val="24"/>
          <c:tx>
            <c:strRef>
              <c:f>'Kerosene (Adjusted)'!$AQ$6</c:f>
              <c:strCache>
                <c:ptCount val="1"/>
                <c:pt idx="0">
                  <c:v>Mohammerah, Kerosene, Imports, in s/case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(Adjusted)'!$AQ$7:$AQ$107</c:f>
              <c:numCache>
                <c:formatCode>0.0000</c:formatCode>
                <c:ptCount val="66"/>
                <c:pt idx="30">
                  <c:v>7.8666666666666663</c:v>
                </c:pt>
                <c:pt idx="39">
                  <c:v>6.8000000000000043</c:v>
                </c:pt>
                <c:pt idx="40">
                  <c:v>10.000000000000009</c:v>
                </c:pt>
                <c:pt idx="41">
                  <c:v>4.9989217166271356</c:v>
                </c:pt>
                <c:pt idx="42">
                  <c:v>5.4107142857142838</c:v>
                </c:pt>
                <c:pt idx="43">
                  <c:v>5.8793721668792873</c:v>
                </c:pt>
                <c:pt idx="44">
                  <c:v>3.0103214784517216</c:v>
                </c:pt>
                <c:pt idx="45">
                  <c:v>4.572291725137994</c:v>
                </c:pt>
                <c:pt idx="46">
                  <c:v>7.6548611111111109</c:v>
                </c:pt>
                <c:pt idx="47">
                  <c:v>5.0916520437654862</c:v>
                </c:pt>
                <c:pt idx="48">
                  <c:v>5.5808247849322221</c:v>
                </c:pt>
                <c:pt idx="49">
                  <c:v>7.0302704887218077</c:v>
                </c:pt>
              </c:numCache>
            </c:numRef>
          </c:val>
          <c:smooth val="0"/>
        </c:ser>
        <c:ser>
          <c:idx val="30"/>
          <c:order val="25"/>
          <c:tx>
            <c:strRef>
              <c:f>'Kerosene (Adjusted)'!$AR$6</c:f>
              <c:strCache>
                <c:ptCount val="1"/>
                <c:pt idx="0">
                  <c:v>Lingah, Kerosene,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(Adjusted)'!$AR$7:$AR$107</c:f>
              <c:numCache>
                <c:formatCode>0.0000</c:formatCode>
                <c:ptCount val="66"/>
                <c:pt idx="27">
                  <c:v>7.3080960523744345</c:v>
                </c:pt>
                <c:pt idx="29">
                  <c:v>6.4602956613016156</c:v>
                </c:pt>
                <c:pt idx="30">
                  <c:v>7.2679120879120838</c:v>
                </c:pt>
                <c:pt idx="31">
                  <c:v>5.2638505254495964</c:v>
                </c:pt>
                <c:pt idx="32">
                  <c:v>7.8420771428571445</c:v>
                </c:pt>
                <c:pt idx="33">
                  <c:v>7.1998611185983847</c:v>
                </c:pt>
                <c:pt idx="34">
                  <c:v>6.6782201298701249</c:v>
                </c:pt>
                <c:pt idx="35">
                  <c:v>7.0168926242236065</c:v>
                </c:pt>
                <c:pt idx="36">
                  <c:v>4.8632426190476226</c:v>
                </c:pt>
                <c:pt idx="37">
                  <c:v>4.4288839285714294</c:v>
                </c:pt>
                <c:pt idx="38">
                  <c:v>2.9531141904761857</c:v>
                </c:pt>
                <c:pt idx="39">
                  <c:v>3.1497785468226609</c:v>
                </c:pt>
                <c:pt idx="40">
                  <c:v>3.9374887117346926</c:v>
                </c:pt>
                <c:pt idx="41">
                  <c:v>4.3315548080728128</c:v>
                </c:pt>
                <c:pt idx="46">
                  <c:v>8.4055694980695019</c:v>
                </c:pt>
                <c:pt idx="47">
                  <c:v>5.4175591593579409</c:v>
                </c:pt>
                <c:pt idx="48">
                  <c:v>3.4296382176686699</c:v>
                </c:pt>
                <c:pt idx="49">
                  <c:v>5.2835481423613784</c:v>
                </c:pt>
                <c:pt idx="50">
                  <c:v>5.4196705858135772</c:v>
                </c:pt>
                <c:pt idx="51">
                  <c:v>4.7626574439678437</c:v>
                </c:pt>
                <c:pt idx="52">
                  <c:v>5.2566698346230236</c:v>
                </c:pt>
              </c:numCache>
            </c:numRef>
          </c:val>
          <c:smooth val="0"/>
        </c:ser>
        <c:ser>
          <c:idx val="31"/>
          <c:order val="26"/>
          <c:tx>
            <c:strRef>
              <c:f>'Kerosene (Adjusted)'!$AS$6</c:f>
              <c:strCache>
                <c:ptCount val="1"/>
                <c:pt idx="0">
                  <c:v>Lingah, Kerosene, Exports,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(Adjusted)'!$AS$7:$AS$107</c:f>
              <c:numCache>
                <c:formatCode>0.0000</c:formatCode>
                <c:ptCount val="66"/>
                <c:pt idx="27">
                  <c:v>7.3223552826339127</c:v>
                </c:pt>
                <c:pt idx="29">
                  <c:v>6.460527809523807</c:v>
                </c:pt>
                <c:pt idx="30">
                  <c:v>7.5098124285714336</c:v>
                </c:pt>
                <c:pt idx="31">
                  <c:v>7.4281858208955232</c:v>
                </c:pt>
                <c:pt idx="32">
                  <c:v>7.0400500232666321</c:v>
                </c:pt>
                <c:pt idx="33">
                  <c:v>7.1231216517857154</c:v>
                </c:pt>
                <c:pt idx="34">
                  <c:v>7.6740761405011773</c:v>
                </c:pt>
                <c:pt idx="35">
                  <c:v>7.0731561512811538</c:v>
                </c:pt>
                <c:pt idx="36">
                  <c:v>7.227938571428572</c:v>
                </c:pt>
                <c:pt idx="37">
                  <c:v>4.4351241061496891</c:v>
                </c:pt>
                <c:pt idx="38">
                  <c:v>2.9525892857142861</c:v>
                </c:pt>
                <c:pt idx="39">
                  <c:v>3.1462791428571437</c:v>
                </c:pt>
                <c:pt idx="40">
                  <c:v>4.3265274999999965</c:v>
                </c:pt>
                <c:pt idx="41">
                  <c:v>3.6397373376623361</c:v>
                </c:pt>
                <c:pt idx="47">
                  <c:v>15.292898351648297</c:v>
                </c:pt>
                <c:pt idx="49">
                  <c:v>5.3412008426966304</c:v>
                </c:pt>
                <c:pt idx="50">
                  <c:v>5.1104035281676641</c:v>
                </c:pt>
                <c:pt idx="51">
                  <c:v>4.4132934896135527</c:v>
                </c:pt>
                <c:pt idx="52">
                  <c:v>5.5847425249169493</c:v>
                </c:pt>
              </c:numCache>
            </c:numRef>
          </c:val>
          <c:smooth val="0"/>
        </c:ser>
        <c:ser>
          <c:idx val="32"/>
          <c:order val="27"/>
          <c:tx>
            <c:strRef>
              <c:f>'Kerosene (Adjusted)'!$AT$6</c:f>
              <c:strCache>
                <c:ptCount val="1"/>
                <c:pt idx="0">
                  <c:v>Shiraz, Kerosene,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(Adjusted)'!$AT$7:$AT$107</c:f>
              <c:numCache>
                <c:formatCode>General</c:formatCode>
                <c:ptCount val="66"/>
                <c:pt idx="27" formatCode="0.0000">
                  <c:v>10.674856674856674</c:v>
                </c:pt>
                <c:pt idx="28" formatCode="0.0000">
                  <c:v>10.068796068796061</c:v>
                </c:pt>
                <c:pt idx="29" formatCode="0.0000">
                  <c:v>9.3857493857493779</c:v>
                </c:pt>
                <c:pt idx="30" formatCode="0.0000">
                  <c:v>14.171990171990167</c:v>
                </c:pt>
                <c:pt idx="31" formatCode="0.0000">
                  <c:v>7.8132678132678119</c:v>
                </c:pt>
                <c:pt idx="32" formatCode="0.0000">
                  <c:v>16.69282185444872</c:v>
                </c:pt>
                <c:pt idx="33" formatCode="0.0000">
                  <c:v>10.990000000000007</c:v>
                </c:pt>
                <c:pt idx="34" formatCode="0.0000">
                  <c:v>11.109999999999996</c:v>
                </c:pt>
                <c:pt idx="35" formatCode="0.0000">
                  <c:v>11.113333333333326</c:v>
                </c:pt>
                <c:pt idx="36" formatCode="0.0000">
                  <c:v>10.98</c:v>
                </c:pt>
                <c:pt idx="37" formatCode="0.0000">
                  <c:v>10.400463588588588</c:v>
                </c:pt>
                <c:pt idx="38" formatCode="0.0000">
                  <c:v>9.406477288831752</c:v>
                </c:pt>
                <c:pt idx="39" formatCode="0.0000">
                  <c:v>9.7938744040604337</c:v>
                </c:pt>
                <c:pt idx="40" formatCode="0.0000">
                  <c:v>10.953423217264627</c:v>
                </c:pt>
                <c:pt idx="41" formatCode="0.0000">
                  <c:v>10.536170212765962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02416"/>
        <c:axId val="704702976"/>
      </c:lineChart>
      <c:catAx>
        <c:axId val="70470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02976"/>
        <c:crosses val="autoZero"/>
        <c:auto val="1"/>
        <c:lblAlgn val="ctr"/>
        <c:lblOffset val="100"/>
        <c:noMultiLvlLbl val="0"/>
      </c:catAx>
      <c:valAx>
        <c:axId val="70470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0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203216944820676"/>
          <c:y val="7.3845325230211464E-2"/>
          <c:w val="0.32520763986134388"/>
          <c:h val="0.892418396015965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Kerosene &amp; Petroleum, UK, US, Black Sea, Caspian Sea, Saratov, Mediterranean Sea, Muscat and Calcutta in s/case</a:t>
            </a:r>
            <a:endParaRPr lang="en-US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8936151827175449"/>
          <c:y val="2.0080321285140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'Kerosene (Adjusted)'!$C$6</c:f>
              <c:strCache>
                <c:ptCount val="1"/>
                <c:pt idx="0">
                  <c:v>UK, Kerosene, Imports, in s/case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'Kerosene (Adjusted)'!$D$6</c:f>
              <c:strCache>
                <c:ptCount val="1"/>
                <c:pt idx="0">
                  <c:v>US, Kerosene, , in s/case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(Adjusted)'!$D$7:$D$107</c:f>
              <c:numCache>
                <c:formatCode>0.0000</c:formatCode>
                <c:ptCount val="66"/>
                <c:pt idx="31">
                  <c:v>4.1116230039920154</c:v>
                </c:pt>
                <c:pt idx="32">
                  <c:v>3.626891529441119</c:v>
                </c:pt>
                <c:pt idx="33">
                  <c:v>3.2727969061876245</c:v>
                </c:pt>
                <c:pt idx="34">
                  <c:v>2.9737072729540928</c:v>
                </c:pt>
                <c:pt idx="35">
                  <c:v>2.9702694610778448</c:v>
                </c:pt>
                <c:pt idx="36">
                  <c:v>3.8056577470059896</c:v>
                </c:pt>
                <c:pt idx="37">
                  <c:v>4.2835135978043919</c:v>
                </c:pt>
                <c:pt idx="38">
                  <c:v>3.7128368263473059</c:v>
                </c:pt>
                <c:pt idx="39">
                  <c:v>3.7506527569860282</c:v>
                </c:pt>
                <c:pt idx="40">
                  <c:v>4.1872548652694617</c:v>
                </c:pt>
                <c:pt idx="41">
                  <c:v>4.9091953592814379</c:v>
                </c:pt>
                <c:pt idx="42">
                  <c:v>4.524160429141717</c:v>
                </c:pt>
                <c:pt idx="43">
                  <c:v>4.5722897954091826</c:v>
                </c:pt>
                <c:pt idx="44">
                  <c:v>5.6208224176646722</c:v>
                </c:pt>
                <c:pt idx="45">
                  <c:v>5.6380114770459082</c:v>
                </c:pt>
                <c:pt idx="46">
                  <c:v>5.2082849925149715</c:v>
                </c:pt>
                <c:pt idx="47">
                  <c:v>5.3629865269461083</c:v>
                </c:pt>
                <c:pt idx="48">
                  <c:v>5.5520661801397209</c:v>
                </c:pt>
                <c:pt idx="49">
                  <c:v>5.5692552395209596</c:v>
                </c:pt>
                <c:pt idx="50">
                  <c:v>5.0535834580838337</c:v>
                </c:pt>
                <c:pt idx="51">
                  <c:v>4.4554041916167666</c:v>
                </c:pt>
                <c:pt idx="52">
                  <c:v>3.7953443113772463</c:v>
                </c:pt>
                <c:pt idx="53">
                  <c:v>4.5860410429141725</c:v>
                </c:pt>
                <c:pt idx="54">
                  <c:v>5.0879615768463085</c:v>
                </c:pt>
                <c:pt idx="55">
                  <c:v>4.9504491017964076</c:v>
                </c:pt>
                <c:pt idx="56">
                  <c:v>4.9848272205588833</c:v>
                </c:pt>
                <c:pt idx="57">
                  <c:v>5.0192053393213572</c:v>
                </c:pt>
                <c:pt idx="58">
                  <c:v>5.1223396956087832</c:v>
                </c:pt>
                <c:pt idx="59">
                  <c:v>6.9925093562874254</c:v>
                </c:pt>
                <c:pt idx="60">
                  <c:v>8.2644997504990041</c:v>
                </c:pt>
                <c:pt idx="61">
                  <c:v>10.860047717065868</c:v>
                </c:pt>
                <c:pt idx="62">
                  <c:v>10.01778380738523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'Kerosene (Adjusted)'!$K$6</c:f>
              <c:strCache>
                <c:ptCount val="1"/>
                <c:pt idx="0">
                  <c:v>Jaffa, Kerosene, , in s/case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(Adjusted)'!$K$7:$K$107</c:f>
              <c:numCache>
                <c:formatCode>0.0000</c:formatCode>
                <c:ptCount val="66"/>
                <c:pt idx="13">
                  <c:v>14.398883743023399</c:v>
                </c:pt>
                <c:pt idx="14">
                  <c:v>11.274694124064837</c:v>
                </c:pt>
                <c:pt idx="15">
                  <c:v>11.274694124064837</c:v>
                </c:pt>
                <c:pt idx="16">
                  <c:v>15.981847706315607</c:v>
                </c:pt>
                <c:pt idx="17">
                  <c:v>9.3711743368850637</c:v>
                </c:pt>
                <c:pt idx="19">
                  <c:v>6.8721945137157112</c:v>
                </c:pt>
                <c:pt idx="20">
                  <c:v>7.6357716819063457</c:v>
                </c:pt>
                <c:pt idx="21">
                  <c:v>6.8721945137157112</c:v>
                </c:pt>
                <c:pt idx="22">
                  <c:v>7.3303408146300919</c:v>
                </c:pt>
                <c:pt idx="23">
                  <c:v>6.8468358623735881</c:v>
                </c:pt>
                <c:pt idx="24">
                  <c:v>6.0637010415138626</c:v>
                </c:pt>
                <c:pt idx="25">
                  <c:v>5.6695604738154612</c:v>
                </c:pt>
                <c:pt idx="26">
                  <c:v>7.0869505922693286</c:v>
                </c:pt>
                <c:pt idx="27">
                  <c:v>6.7003896508728191</c:v>
                </c:pt>
                <c:pt idx="28">
                  <c:v>5.1541458852867841</c:v>
                </c:pt>
                <c:pt idx="29">
                  <c:v>5.1541458852867841</c:v>
                </c:pt>
                <c:pt idx="30">
                  <c:v>5.2923346226561385</c:v>
                </c:pt>
                <c:pt idx="31">
                  <c:v>4.5517132493441723</c:v>
                </c:pt>
                <c:pt idx="32">
                  <c:v>4.1233167082294271</c:v>
                </c:pt>
                <c:pt idx="33">
                  <c:v>4.1233167082294271</c:v>
                </c:pt>
                <c:pt idx="34">
                  <c:v>4.1233167082294271</c:v>
                </c:pt>
                <c:pt idx="35">
                  <c:v>7.2158042394014963</c:v>
                </c:pt>
                <c:pt idx="36">
                  <c:v>7.1951876558603489</c:v>
                </c:pt>
                <c:pt idx="37">
                  <c:v>4.1233167082294271</c:v>
                </c:pt>
                <c:pt idx="38">
                  <c:v>4.1233167082294271</c:v>
                </c:pt>
                <c:pt idx="39">
                  <c:v>5.6695604738154612</c:v>
                </c:pt>
                <c:pt idx="40">
                  <c:v>5.9821889947262994</c:v>
                </c:pt>
                <c:pt idx="41">
                  <c:v>4.6302818772740286</c:v>
                </c:pt>
                <c:pt idx="42">
                  <c:v>4.6261602092330145</c:v>
                </c:pt>
                <c:pt idx="43">
                  <c:v>4.6413423129107327</c:v>
                </c:pt>
                <c:pt idx="44">
                  <c:v>5.0630398309093207</c:v>
                </c:pt>
                <c:pt idx="45">
                  <c:v>4.6432131627453126</c:v>
                </c:pt>
                <c:pt idx="46">
                  <c:v>6.4114071995375639</c:v>
                </c:pt>
                <c:pt idx="47">
                  <c:v>5.6373900859106811</c:v>
                </c:pt>
                <c:pt idx="48">
                  <c:v>5.8638601395591889</c:v>
                </c:pt>
                <c:pt idx="49">
                  <c:v>5.5481788133217256</c:v>
                </c:pt>
                <c:pt idx="50">
                  <c:v>4.7657595172225689</c:v>
                </c:pt>
                <c:pt idx="51">
                  <c:v>4.9101057030527935</c:v>
                </c:pt>
                <c:pt idx="52">
                  <c:v>5.668594024998086</c:v>
                </c:pt>
                <c:pt idx="53">
                  <c:v>6.4117614391741897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'Kerosene (Adjusted)'!$L$6</c:f>
              <c:strCache>
                <c:ptCount val="1"/>
                <c:pt idx="0">
                  <c:v>Damascus, Petroleum, Imports, in s/case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(Adjusted)'!$L$7:$L$107</c:f>
              <c:numCache>
                <c:formatCode>0.0000</c:formatCode>
                <c:ptCount val="66"/>
                <c:pt idx="22">
                  <c:v>8.4</c:v>
                </c:pt>
                <c:pt idx="24">
                  <c:v>7.2003804692454034</c:v>
                </c:pt>
                <c:pt idx="25">
                  <c:v>6.8118987061815774</c:v>
                </c:pt>
                <c:pt idx="26">
                  <c:v>8.3312977789840321</c:v>
                </c:pt>
                <c:pt idx="27">
                  <c:v>8.7265423962844419</c:v>
                </c:pt>
                <c:pt idx="28">
                  <c:v>8.186700767263428</c:v>
                </c:pt>
                <c:pt idx="29">
                  <c:v>6.0427777777777782</c:v>
                </c:pt>
                <c:pt idx="30">
                  <c:v>6.4832558139534875</c:v>
                </c:pt>
                <c:pt idx="31">
                  <c:v>6.4747619047619045</c:v>
                </c:pt>
                <c:pt idx="32">
                  <c:v>5.7553333333333336</c:v>
                </c:pt>
                <c:pt idx="33">
                  <c:v>6.4285714285714288</c:v>
                </c:pt>
                <c:pt idx="34">
                  <c:v>5.5692307692307699</c:v>
                </c:pt>
                <c:pt idx="38">
                  <c:v>4.5714285714285712</c:v>
                </c:pt>
                <c:pt idx="41">
                  <c:v>4.7301333333333337</c:v>
                </c:pt>
                <c:pt idx="42">
                  <c:v>5.0081300813008136</c:v>
                </c:pt>
                <c:pt idx="43">
                  <c:v>6.0121584964154229</c:v>
                </c:pt>
                <c:pt idx="44">
                  <c:v>5.8271604938271606</c:v>
                </c:pt>
                <c:pt idx="46">
                  <c:v>6.1363636363636367</c:v>
                </c:pt>
                <c:pt idx="48">
                  <c:v>6</c:v>
                </c:pt>
                <c:pt idx="49">
                  <c:v>6.25</c:v>
                </c:pt>
                <c:pt idx="50">
                  <c:v>6.25</c:v>
                </c:pt>
                <c:pt idx="51">
                  <c:v>6.6666666666666661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'Kerosene (Adjusted)'!$M$6</c:f>
              <c:strCache>
                <c:ptCount val="1"/>
                <c:pt idx="0">
                  <c:v>Beirut, Petroleum, Imports (from US), in s/case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(Adjusted)'!$M$7:$M$107</c:f>
              <c:numCache>
                <c:formatCode>0.0000</c:formatCode>
                <c:ptCount val="66"/>
                <c:pt idx="11">
                  <c:v>15.873015873015872</c:v>
                </c:pt>
                <c:pt idx="12">
                  <c:v>13.888888888888889</c:v>
                </c:pt>
                <c:pt idx="13">
                  <c:v>12.831683168316832</c:v>
                </c:pt>
                <c:pt idx="14">
                  <c:v>9.6031746031746028</c:v>
                </c:pt>
                <c:pt idx="16">
                  <c:v>10</c:v>
                </c:pt>
                <c:pt idx="17">
                  <c:v>12.48</c:v>
                </c:pt>
                <c:pt idx="18">
                  <c:v>10</c:v>
                </c:pt>
                <c:pt idx="19">
                  <c:v>6.3636363636363633</c:v>
                </c:pt>
                <c:pt idx="20">
                  <c:v>8.178438661710036</c:v>
                </c:pt>
                <c:pt idx="21">
                  <c:v>6.7316116377901274</c:v>
                </c:pt>
                <c:pt idx="22">
                  <c:v>6.6665573770491804</c:v>
                </c:pt>
                <c:pt idx="27">
                  <c:v>9.4999999999999982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'Kerosene (Adjusted)'!$N$6</c:f>
              <c:strCache>
                <c:ptCount val="1"/>
                <c:pt idx="0">
                  <c:v>Beirut, Petroleum, Imports (from Russia), in s/case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(Adjusted)'!$N$7:$N$107</c:f>
              <c:numCache>
                <c:formatCode>0.0000</c:formatCode>
                <c:ptCount val="66"/>
                <c:pt idx="27">
                  <c:v>4.25</c:v>
                </c:pt>
                <c:pt idx="28">
                  <c:v>4.833333333333333</c:v>
                </c:pt>
                <c:pt idx="36">
                  <c:v>3.4230163620182101</c:v>
                </c:pt>
                <c:pt idx="37">
                  <c:v>3.06</c:v>
                </c:pt>
                <c:pt idx="38">
                  <c:v>3.0636363636363635</c:v>
                </c:pt>
                <c:pt idx="39">
                  <c:v>2.916666666666667</c:v>
                </c:pt>
                <c:pt idx="40">
                  <c:v>7.2000000000000011</c:v>
                </c:pt>
                <c:pt idx="41">
                  <c:v>6.166666666666667</c:v>
                </c:pt>
                <c:pt idx="42">
                  <c:v>4.3333333333333339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'Kerosene (Adjusted)'!$O$6</c:f>
              <c:strCache>
                <c:ptCount val="1"/>
                <c:pt idx="0">
                  <c:v>Constantinople, Petroleum,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(Adjusted)'!$O$7:$O$107</c:f>
              <c:numCache>
                <c:formatCode>0.0000</c:formatCode>
                <c:ptCount val="66"/>
                <c:pt idx="38">
                  <c:v>3.8333333333333339</c:v>
                </c:pt>
                <c:pt idx="39">
                  <c:v>4.5882352941176521</c:v>
                </c:pt>
                <c:pt idx="40">
                  <c:v>4.1696969696969761</c:v>
                </c:pt>
                <c:pt idx="47">
                  <c:v>5.0672665019438341</c:v>
                </c:pt>
              </c:numCache>
            </c:numRef>
          </c:val>
          <c:smooth val="0"/>
        </c:ser>
        <c:ser>
          <c:idx val="9"/>
          <c:order val="7"/>
          <c:tx>
            <c:strRef>
              <c:f>'Kerosene (Adjusted)'!$P$6</c:f>
              <c:strCache>
                <c:ptCount val="1"/>
                <c:pt idx="0">
                  <c:v>Constantinople, Naphtha &amp; other mineral oils, Imports,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(Adjusted)'!$P$7:$P$107</c:f>
              <c:numCache>
                <c:formatCode>0.0000</c:formatCode>
                <c:ptCount val="66"/>
                <c:pt idx="47">
                  <c:v>8.3544266256590429</c:v>
                </c:pt>
                <c:pt idx="50">
                  <c:v>7.1922046703296818</c:v>
                </c:pt>
              </c:numCache>
            </c:numRef>
          </c:val>
          <c:smooth val="0"/>
        </c:ser>
        <c:ser>
          <c:idx val="10"/>
          <c:order val="8"/>
          <c:tx>
            <c:strRef>
              <c:f>'Kerosene (Adjusted)'!$Q$6</c:f>
              <c:strCache>
                <c:ptCount val="1"/>
                <c:pt idx="0">
                  <c:v>Trebizond (Anatolia), Petroleum, Imports, in s/case</c:v>
                </c:pt>
              </c:strCache>
            </c:strRef>
          </c:tx>
          <c:spPr>
            <a:ln w="158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(Adjusted)'!$Q$7:$Q$107</c:f>
              <c:numCache>
                <c:formatCode>0.0000</c:formatCode>
                <c:ptCount val="66"/>
                <c:pt idx="9">
                  <c:v>15</c:v>
                </c:pt>
                <c:pt idx="10">
                  <c:v>14.995433789954337</c:v>
                </c:pt>
                <c:pt idx="11">
                  <c:v>15.001618646811266</c:v>
                </c:pt>
                <c:pt idx="12">
                  <c:v>15</c:v>
                </c:pt>
                <c:pt idx="13">
                  <c:v>15.000721604849186</c:v>
                </c:pt>
                <c:pt idx="14">
                  <c:v>13.99920519274076</c:v>
                </c:pt>
                <c:pt idx="15">
                  <c:v>12.998674618952951</c:v>
                </c:pt>
                <c:pt idx="17">
                  <c:v>12.999251310207139</c:v>
                </c:pt>
                <c:pt idx="18">
                  <c:v>12.5</c:v>
                </c:pt>
                <c:pt idx="19">
                  <c:v>12.5</c:v>
                </c:pt>
                <c:pt idx="20">
                  <c:v>12.500223473674801</c:v>
                </c:pt>
                <c:pt idx="21">
                  <c:v>7.13170731707317</c:v>
                </c:pt>
                <c:pt idx="23">
                  <c:v>3.2719087084851921</c:v>
                </c:pt>
                <c:pt idx="24">
                  <c:v>2.9526105998720538</c:v>
                </c:pt>
                <c:pt idx="25">
                  <c:v>4.1280921624388656</c:v>
                </c:pt>
                <c:pt idx="26">
                  <c:v>4.1301986066772125</c:v>
                </c:pt>
                <c:pt idx="27">
                  <c:v>3.5421817985582607</c:v>
                </c:pt>
                <c:pt idx="28">
                  <c:v>3.5679365568728532</c:v>
                </c:pt>
                <c:pt idx="29">
                  <c:v>3.5407563732872118</c:v>
                </c:pt>
                <c:pt idx="30">
                  <c:v>3.5446081030319099</c:v>
                </c:pt>
                <c:pt idx="31">
                  <c:v>3.5438201728382857</c:v>
                </c:pt>
                <c:pt idx="32">
                  <c:v>3.5431327198464642</c:v>
                </c:pt>
                <c:pt idx="33">
                  <c:v>3.5431327198464642</c:v>
                </c:pt>
                <c:pt idx="34">
                  <c:v>3.6928904909062577</c:v>
                </c:pt>
                <c:pt idx="35">
                  <c:v>4.7107177661776358</c:v>
                </c:pt>
                <c:pt idx="36">
                  <c:v>4.2514522997507935</c:v>
                </c:pt>
                <c:pt idx="37">
                  <c:v>2.798137167845705</c:v>
                </c:pt>
                <c:pt idx="38">
                  <c:v>2.8350659124837825</c:v>
                </c:pt>
                <c:pt idx="39">
                  <c:v>2.843299886867483</c:v>
                </c:pt>
                <c:pt idx="40">
                  <c:v>2.836688243756984</c:v>
                </c:pt>
                <c:pt idx="41">
                  <c:v>2.3620884798976425</c:v>
                </c:pt>
                <c:pt idx="42">
                  <c:v>2.3605960061319116</c:v>
                </c:pt>
                <c:pt idx="43">
                  <c:v>2.4122123733702723</c:v>
                </c:pt>
                <c:pt idx="44">
                  <c:v>3.5693951871201195</c:v>
                </c:pt>
                <c:pt idx="45">
                  <c:v>3.4489183645229113</c:v>
                </c:pt>
                <c:pt idx="46">
                  <c:v>3.7785970166999334</c:v>
                </c:pt>
                <c:pt idx="47">
                  <c:v>3.797910756133783</c:v>
                </c:pt>
                <c:pt idx="48">
                  <c:v>3.3039185199557282</c:v>
                </c:pt>
                <c:pt idx="49">
                  <c:v>3.3292996527205125</c:v>
                </c:pt>
              </c:numCache>
            </c:numRef>
          </c:val>
          <c:smooth val="0"/>
        </c:ser>
        <c:ser>
          <c:idx val="11"/>
          <c:order val="9"/>
          <c:tx>
            <c:strRef>
              <c:f>'Kerosene (Adjusted)'!$R$6</c:f>
              <c:strCache>
                <c:ptCount val="1"/>
                <c:pt idx="0">
                  <c:v>Izmir, Petroleum, Imports, in s/case</c:v>
                </c:pt>
              </c:strCache>
            </c:strRef>
          </c:tx>
          <c:spPr>
            <a:ln w="158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(Adjusted)'!$R$7:$R$107</c:f>
              <c:numCache>
                <c:formatCode>0.0000</c:formatCode>
                <c:ptCount val="66"/>
                <c:pt idx="9">
                  <c:v>15.421686746987952</c:v>
                </c:pt>
                <c:pt idx="11">
                  <c:v>14</c:v>
                </c:pt>
                <c:pt idx="12">
                  <c:v>20</c:v>
                </c:pt>
                <c:pt idx="14">
                  <c:v>10</c:v>
                </c:pt>
                <c:pt idx="15">
                  <c:v>10.21875</c:v>
                </c:pt>
                <c:pt idx="16">
                  <c:v>14.944535394773489</c:v>
                </c:pt>
                <c:pt idx="17">
                  <c:v>10.39999598427845</c:v>
                </c:pt>
                <c:pt idx="18">
                  <c:v>9.5999757285235372</c:v>
                </c:pt>
                <c:pt idx="19">
                  <c:v>6.3998846659818707</c:v>
                </c:pt>
                <c:pt idx="20">
                  <c:v>8</c:v>
                </c:pt>
                <c:pt idx="21">
                  <c:v>6.4</c:v>
                </c:pt>
                <c:pt idx="22">
                  <c:v>6.9999597688047306</c:v>
                </c:pt>
                <c:pt idx="23">
                  <c:v>5.9999888658163858</c:v>
                </c:pt>
                <c:pt idx="24">
                  <c:v>6.064284167208144</c:v>
                </c:pt>
                <c:pt idx="25">
                  <c:v>6.3685797145691829</c:v>
                </c:pt>
                <c:pt idx="26">
                  <c:v>4.6322893692104099</c:v>
                </c:pt>
                <c:pt idx="28">
                  <c:v>6.4</c:v>
                </c:pt>
                <c:pt idx="30">
                  <c:v>4.8187571624732861</c:v>
                </c:pt>
                <c:pt idx="34">
                  <c:v>3.76</c:v>
                </c:pt>
                <c:pt idx="45">
                  <c:v>5.1727922503380466</c:v>
                </c:pt>
                <c:pt idx="46">
                  <c:v>4.208851002632243</c:v>
                </c:pt>
                <c:pt idx="47">
                  <c:v>4.6685884020234081</c:v>
                </c:pt>
                <c:pt idx="48">
                  <c:v>13.694701066217155</c:v>
                </c:pt>
                <c:pt idx="50">
                  <c:v>3.4123059173358286</c:v>
                </c:pt>
              </c:numCache>
            </c:numRef>
          </c:val>
          <c:smooth val="0"/>
        </c:ser>
        <c:ser>
          <c:idx val="12"/>
          <c:order val="10"/>
          <c:tx>
            <c:strRef>
              <c:f>'Kerosene (Adjusted)'!$S$6</c:f>
              <c:strCache>
                <c:ptCount val="1"/>
                <c:pt idx="0">
                  <c:v>Alexandretta, Petroleum,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(Adjusted)'!$S$7:$S$107</c:f>
              <c:numCache>
                <c:formatCode>0.0000</c:formatCode>
                <c:ptCount val="66"/>
                <c:pt idx="18">
                  <c:v>7.4090352940888797</c:v>
                </c:pt>
                <c:pt idx="19">
                  <c:v>6.7488242282789814</c:v>
                </c:pt>
                <c:pt idx="20">
                  <c:v>6.7488242282789814</c:v>
                </c:pt>
                <c:pt idx="21">
                  <c:v>6.5173138449178971</c:v>
                </c:pt>
                <c:pt idx="22">
                  <c:v>5.5025924815797369</c:v>
                </c:pt>
                <c:pt idx="23">
                  <c:v>5.5025924815797378</c:v>
                </c:pt>
                <c:pt idx="27">
                  <c:v>4.6079133758790771</c:v>
                </c:pt>
                <c:pt idx="28">
                  <c:v>4.7891706555695128</c:v>
                </c:pt>
                <c:pt idx="29">
                  <c:v>4.0320032947676054</c:v>
                </c:pt>
                <c:pt idx="30">
                  <c:v>3.8304137511853642</c:v>
                </c:pt>
                <c:pt idx="31">
                  <c:v>4.2244352570467703</c:v>
                </c:pt>
                <c:pt idx="32">
                  <c:v>2.9736743459028845</c:v>
                </c:pt>
                <c:pt idx="33">
                  <c:v>2.6625344754422859</c:v>
                </c:pt>
                <c:pt idx="34">
                  <c:v>2.9526105998720511</c:v>
                </c:pt>
                <c:pt idx="35">
                  <c:v>3.2478716598592556</c:v>
                </c:pt>
                <c:pt idx="36">
                  <c:v>3.2887398314593512</c:v>
                </c:pt>
                <c:pt idx="37">
                  <c:v>2.9526105998720511</c:v>
                </c:pt>
                <c:pt idx="38">
                  <c:v>2.9463417875580977</c:v>
                </c:pt>
                <c:pt idx="39">
                  <c:v>4.2193576045275325</c:v>
                </c:pt>
                <c:pt idx="40">
                  <c:v>4.1336548398208723</c:v>
                </c:pt>
                <c:pt idx="41">
                  <c:v>3.3054669167418793</c:v>
                </c:pt>
                <c:pt idx="42">
                  <c:v>2.9526105998720511</c:v>
                </c:pt>
                <c:pt idx="43">
                  <c:v>2.9526105998720511</c:v>
                </c:pt>
                <c:pt idx="44">
                  <c:v>3.6907632498400638</c:v>
                </c:pt>
                <c:pt idx="45">
                  <c:v>4.059718764243061</c:v>
                </c:pt>
                <c:pt idx="46">
                  <c:v>3.6898680853361006</c:v>
                </c:pt>
                <c:pt idx="47">
                  <c:v>3.5629446091529617</c:v>
                </c:pt>
                <c:pt idx="48">
                  <c:v>3.6912780903980194</c:v>
                </c:pt>
                <c:pt idx="49">
                  <c:v>3.5701395335244719</c:v>
                </c:pt>
                <c:pt idx="50">
                  <c:v>3.6906749012284576</c:v>
                </c:pt>
                <c:pt idx="51">
                  <c:v>3.6541612003154342</c:v>
                </c:pt>
                <c:pt idx="52">
                  <c:v>4.3872786037369318</c:v>
                </c:pt>
                <c:pt idx="53">
                  <c:v>4.2905552504921936</c:v>
                </c:pt>
              </c:numCache>
            </c:numRef>
          </c:val>
          <c:smooth val="0"/>
        </c:ser>
        <c:ser>
          <c:idx val="13"/>
          <c:order val="11"/>
          <c:tx>
            <c:strRef>
              <c:f>'Kerosene (Adjusted)'!$AJ$6</c:f>
              <c:strCache>
                <c:ptCount val="1"/>
                <c:pt idx="0">
                  <c:v>Baku, Kerosene, , in s/case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(Adjusted)'!$AJ$7:$AJ$107</c:f>
              <c:numCache>
                <c:formatCode>0.0000</c:formatCode>
                <c:ptCount val="66"/>
                <c:pt idx="30" formatCode="_(* #,##0.0000_);_(* \(#,##0.0000\);_(* &quot;-&quot;??_);_(@_)">
                  <c:v>0.87833900578508928</c:v>
                </c:pt>
                <c:pt idx="31" formatCode="_(* #,##0.0000_);_(* \(#,##0.0000\);_(* &quot;-&quot;??_);_(@_)">
                  <c:v>0.41741726036616195</c:v>
                </c:pt>
                <c:pt idx="32" formatCode="_(* #,##0.0000_);_(* \(#,##0.0000\);_(* &quot;-&quot;??_);_(@_)">
                  <c:v>0.26915878159574202</c:v>
                </c:pt>
                <c:pt idx="33" formatCode="_(* #,##0.0000_);_(* \(#,##0.0000\);_(* &quot;-&quot;??_);_(@_)">
                  <c:v>0.25210351062057229</c:v>
                </c:pt>
                <c:pt idx="34" formatCode="_(* #,##0.0000_);_(* \(#,##0.0000\);_(* &quot;-&quot;??_);_(@_)">
                  <c:v>0.22041029616624844</c:v>
                </c:pt>
                <c:pt idx="35" formatCode="_(* #,##0.0000_);_(* \(#,##0.0000\);_(* &quot;-&quot;??_);_(@_)">
                  <c:v>0.54756050779707344</c:v>
                </c:pt>
                <c:pt idx="36" formatCode="_(* #,##0.0000_);_(* \(#,##0.0000\);_(* &quot;-&quot;??_);_(@_)">
                  <c:v>0.51840569671693737</c:v>
                </c:pt>
                <c:pt idx="37" formatCode="_(* #,##0.0000_);_(* \(#,##0.0000\);_(* &quot;-&quot;??_);_(@_)">
                  <c:v>0.46878196493379126</c:v>
                </c:pt>
                <c:pt idx="38" formatCode="_(* #,##0.0000_);_(* \(#,##0.0000\);_(* &quot;-&quot;??_);_(@_)">
                  <c:v>0.54621328853426221</c:v>
                </c:pt>
                <c:pt idx="39" formatCode="_(* #,##0.0000_);_(* \(#,##0.0000\);_(* &quot;-&quot;??_);_(@_)">
                  <c:v>0.91744430887267558</c:v>
                </c:pt>
                <c:pt idx="40" formatCode="_(* #,##0.0000_);_(* \(#,##0.0000\);_(* &quot;-&quot;??_);_(@_)">
                  <c:v>0.88221412124504495</c:v>
                </c:pt>
                <c:pt idx="41" formatCode="_(* #,##0.0000_);_(* \(#,##0.0000\);_(* &quot;-&quot;??_);_(@_)">
                  <c:v>0.35166147881473275</c:v>
                </c:pt>
                <c:pt idx="42" formatCode="_(* #,##0.0000_);_(* \(#,##0.0000\);_(* &quot;-&quot;??_);_(@_)">
                  <c:v>0.32341309813697594</c:v>
                </c:pt>
                <c:pt idx="43" formatCode="_(* #,##0.0000_);_(* \(#,##0.0000\);_(* &quot;-&quot;??_);_(@_)">
                  <c:v>0.49285177890479098</c:v>
                </c:pt>
                <c:pt idx="44" formatCode="_(* #,##0.0000_);_(* \(#,##0.0000\);_(* &quot;-&quot;??_);_(@_)">
                  <c:v>0.79591079186421043</c:v>
                </c:pt>
                <c:pt idx="45" formatCode="_(* #,##0.0000_);_(* \(#,##0.0000\);_(* &quot;-&quot;??_);_(@_)">
                  <c:v>0.85189311728375205</c:v>
                </c:pt>
                <c:pt idx="46" formatCode="_(* #,##0.0000_);_(* \(#,##0.0000\);_(* &quot;-&quot;??_);_(@_)">
                  <c:v>1.0938172433029425</c:v>
                </c:pt>
                <c:pt idx="47" formatCode="_(* #,##0.0000_);_(* \(#,##0.0000\);_(* &quot;-&quot;??_);_(@_)">
                  <c:v>1.3679300463831459</c:v>
                </c:pt>
                <c:pt idx="48" formatCode="_(* #,##0.0000_);_(* \(#,##0.0000\);_(* &quot;-&quot;??_);_(@_)">
                  <c:v>1.0618357870644426</c:v>
                </c:pt>
                <c:pt idx="49" formatCode="_(* #,##0.0000_);_(* \(#,##0.0000\);_(* &quot;-&quot;??_);_(@_)">
                  <c:v>1.1073154608231122</c:v>
                </c:pt>
                <c:pt idx="50" formatCode="_(* #,##0.0000_);_(* \(#,##0.0000\);_(* &quot;-&quot;??_);_(@_)">
                  <c:v>0.74018576711775508</c:v>
                </c:pt>
                <c:pt idx="51" formatCode="_(* #,##0.0000_);_(* \(#,##0.0000\);_(* &quot;-&quot;??_);_(@_)">
                  <c:v>1.1204900060273351</c:v>
                </c:pt>
                <c:pt idx="52" formatCode="_(* #,##0.0000_);_(* \(#,##0.0000\);_(* &quot;-&quot;??_);_(@_)">
                  <c:v>1.6280624019200589</c:v>
                </c:pt>
                <c:pt idx="53" formatCode="_(* #,##0.0000_);_(* \(#,##0.0000\);_(* &quot;-&quot;??_);_(@_)">
                  <c:v>2.2073665920367449</c:v>
                </c:pt>
                <c:pt idx="54" formatCode="_(* #,##0.0000_);_(* \(#,##0.0000\);_(* &quot;-&quot;??_);_(@_)">
                  <c:v>1.8591272024468575</c:v>
                </c:pt>
              </c:numCache>
            </c:numRef>
          </c:val>
          <c:smooth val="0"/>
        </c:ser>
        <c:ser>
          <c:idx val="14"/>
          <c:order val="12"/>
          <c:tx>
            <c:strRef>
              <c:f>'Kerosene (Adjusted)'!$AK$6</c:f>
              <c:strCache>
                <c:ptCount val="1"/>
                <c:pt idx="0">
                  <c:v>Saratov, Kerosene, , in s/case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(Adjusted)'!$AK$7:$AK$107</c:f>
              <c:numCache>
                <c:formatCode>0.0000</c:formatCode>
                <c:ptCount val="66"/>
                <c:pt idx="30" formatCode="_(* #,##0.0000_);_(* \(#,##0.0000\);_(* &quot;-&quot;??_);_(@_)">
                  <c:v>4.9093634284702823</c:v>
                </c:pt>
                <c:pt idx="31" formatCode="_(* #,##0.0000_);_(* \(#,##0.0000\);_(* &quot;-&quot;??_);_(@_)">
                  <c:v>4.0647525451190321</c:v>
                </c:pt>
                <c:pt idx="32" formatCode="_(* #,##0.0000_);_(* \(#,##0.0000\);_(* &quot;-&quot;??_);_(@_)">
                  <c:v>3.4880028409530408</c:v>
                </c:pt>
                <c:pt idx="33" formatCode="_(* #,##0.0000_);_(* \(#,##0.0000\);_(* &quot;-&quot;??_);_(@_)">
                  <c:v>4.1635276754003607</c:v>
                </c:pt>
                <c:pt idx="34" formatCode="_(* #,##0.0000_);_(* \(#,##0.0000\);_(* &quot;-&quot;??_);_(@_)">
                  <c:v>4.2743853863668901</c:v>
                </c:pt>
                <c:pt idx="35" formatCode="_(* #,##0.0000_);_(* \(#,##0.0000\);_(* &quot;-&quot;??_);_(@_)">
                  <c:v>4.5459339999843369</c:v>
                </c:pt>
                <c:pt idx="36" formatCode="_(* #,##0.0000_);_(* \(#,##0.0000\);_(* &quot;-&quot;??_);_(@_)">
                  <c:v>4.6110822497453912</c:v>
                </c:pt>
                <c:pt idx="37" formatCode="_(* #,##0.0000_);_(* \(#,##0.0000\);_(* &quot;-&quot;??_);_(@_)">
                  <c:v>4.4612416996199133</c:v>
                </c:pt>
                <c:pt idx="38" formatCode="_(* #,##0.0000_);_(* \(#,##0.0000\);_(* &quot;-&quot;??_);_(@_)">
                  <c:v>4.4360322075961145</c:v>
                </c:pt>
                <c:pt idx="39" formatCode="_(* #,##0.0000_);_(* \(#,##0.0000\);_(* &quot;-&quot;??_);_(@_)">
                  <c:v>4.6106456543771479</c:v>
                </c:pt>
                <c:pt idx="40" formatCode="_(* #,##0.0000_);_(* \(#,##0.0000\);_(* &quot;-&quot;??_);_(@_)">
                  <c:v>5.2347306928743587</c:v>
                </c:pt>
                <c:pt idx="41" formatCode="_(* #,##0.0000_);_(* \(#,##0.0000\);_(* &quot;-&quot;??_);_(@_)">
                  <c:v>4.9545195015231238</c:v>
                </c:pt>
                <c:pt idx="42" formatCode="_(* #,##0.0000_);_(* \(#,##0.0000\);_(* &quot;-&quot;??_);_(@_)">
                  <c:v>4.5044041138113764</c:v>
                </c:pt>
                <c:pt idx="43" formatCode="_(* #,##0.0000_);_(* \(#,##0.0000\);_(* &quot;-&quot;??_);_(@_)">
                  <c:v>4.4904273189103181</c:v>
                </c:pt>
                <c:pt idx="44" formatCode="_(* #,##0.0000_);_(* \(#,##0.0000\);_(* &quot;-&quot;??_);_(@_)">
                  <c:v>4.8066769391015063</c:v>
                </c:pt>
                <c:pt idx="45" formatCode="_(* #,##0.0000_);_(* \(#,##0.0000\);_(* &quot;-&quot;??_);_(@_)">
                  <c:v>5.0841292433327112</c:v>
                </c:pt>
                <c:pt idx="46" formatCode="_(* #,##0.0000_);_(* \(#,##0.0000\);_(* &quot;-&quot;??_);_(@_)">
                  <c:v>4.6582846235768658</c:v>
                </c:pt>
                <c:pt idx="47" formatCode="_(* #,##0.0000_);_(* \(#,##0.0000\);_(* &quot;-&quot;??_);_(@_)">
                  <c:v>5.663307026762717</c:v>
                </c:pt>
                <c:pt idx="48" formatCode="_(* #,##0.0000_);_(* \(#,##0.0000\);_(* &quot;-&quot;??_);_(@_)">
                  <c:v>5.56788074526155</c:v>
                </c:pt>
                <c:pt idx="49" formatCode="_(* #,##0.0000_);_(* \(#,##0.0000\);_(* &quot;-&quot;??_);_(@_)">
                  <c:v>5.7713438329119811</c:v>
                </c:pt>
                <c:pt idx="50" formatCode="_(* #,##0.0000_);_(* \(#,##0.0000\);_(* &quot;-&quot;??_);_(@_)">
                  <c:v>5.0176803581456255</c:v>
                </c:pt>
                <c:pt idx="51" formatCode="_(* #,##0.0000_);_(* \(#,##0.0000\);_(* &quot;-&quot;??_);_(@_)">
                  <c:v>5.3282042244656491</c:v>
                </c:pt>
                <c:pt idx="52" formatCode="_(* #,##0.0000_);_(* \(#,##0.0000\);_(* &quot;-&quot;??_);_(@_)">
                  <c:v>6.1208884533725305</c:v>
                </c:pt>
                <c:pt idx="53" formatCode="_(* #,##0.0000_);_(* \(#,##0.0000\);_(* &quot;-&quot;??_);_(@_)">
                  <c:v>6.7270274134077548</c:v>
                </c:pt>
                <c:pt idx="54" formatCode="_(* #,##0.0000_);_(* \(#,##0.0000\);_(* &quot;-&quot;??_);_(@_)">
                  <c:v>6.4196166865283972</c:v>
                </c:pt>
              </c:numCache>
            </c:numRef>
          </c:val>
          <c:smooth val="0"/>
        </c:ser>
        <c:ser>
          <c:idx val="15"/>
          <c:order val="13"/>
          <c:tx>
            <c:strRef>
              <c:f>'Kerosene (Adjusted)'!$AL$6</c:f>
              <c:strCache>
                <c:ptCount val="1"/>
                <c:pt idx="0">
                  <c:v>Bahrain, Petroleum, Imports,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(Adjusted)'!$AL$7:$AL$107</c:f>
              <c:numCache>
                <c:formatCode>0.0000</c:formatCode>
                <c:ptCount val="66"/>
                <c:pt idx="31">
                  <c:v>10.015616485757993</c:v>
                </c:pt>
                <c:pt idx="32">
                  <c:v>8.3842318278736254</c:v>
                </c:pt>
                <c:pt idx="33">
                  <c:v>8.3827456061288945</c:v>
                </c:pt>
                <c:pt idx="34">
                  <c:v>7.186977253401361</c:v>
                </c:pt>
                <c:pt idx="35">
                  <c:v>6.888969145802653</c:v>
                </c:pt>
              </c:numCache>
            </c:numRef>
          </c:val>
          <c:smooth val="0"/>
        </c:ser>
        <c:ser>
          <c:idx val="16"/>
          <c:order val="14"/>
          <c:tx>
            <c:strRef>
              <c:f>'Kerosene (Adjusted)'!$AM$6</c:f>
              <c:strCache>
                <c:ptCount val="1"/>
                <c:pt idx="0">
                  <c:v>Bahrain, Kerosene, Imports, in s/case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gradFill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</a:gra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(Adjusted)'!$AM$7:$AM$107</c:f>
              <c:numCache>
                <c:formatCode>0.0000</c:formatCode>
                <c:ptCount val="66"/>
                <c:pt idx="36">
                  <c:v>4.7061538461538381</c:v>
                </c:pt>
                <c:pt idx="37">
                  <c:v>4.6760784313725541</c:v>
                </c:pt>
                <c:pt idx="39">
                  <c:v>5.3346405228758105</c:v>
                </c:pt>
                <c:pt idx="40">
                  <c:v>6.3338461538461557</c:v>
                </c:pt>
                <c:pt idx="41">
                  <c:v>5.1253333333333382</c:v>
                </c:pt>
                <c:pt idx="42">
                  <c:v>5.3341253341253276</c:v>
                </c:pt>
                <c:pt idx="43">
                  <c:v>6.0005800464037202</c:v>
                </c:pt>
                <c:pt idx="44">
                  <c:v>5.7783826137160261</c:v>
                </c:pt>
                <c:pt idx="45">
                  <c:v>5.3205378627034614</c:v>
                </c:pt>
                <c:pt idx="46">
                  <c:v>5.3333333333333277</c:v>
                </c:pt>
                <c:pt idx="47">
                  <c:v>5.3333333333333277</c:v>
                </c:pt>
                <c:pt idx="50">
                  <c:v>5.3522408963585519</c:v>
                </c:pt>
                <c:pt idx="51">
                  <c:v>5.2506818181818096</c:v>
                </c:pt>
                <c:pt idx="52">
                  <c:v>5.6598113207547183</c:v>
                </c:pt>
                <c:pt idx="53">
                  <c:v>5.9999999999999938</c:v>
                </c:pt>
              </c:numCache>
            </c:numRef>
          </c:val>
          <c:smooth val="0"/>
        </c:ser>
        <c:ser>
          <c:idx val="17"/>
          <c:order val="15"/>
          <c:tx>
            <c:strRef>
              <c:f>'Kerosene (Adjusted)'!$AN$6</c:f>
              <c:strCache>
                <c:ptCount val="1"/>
                <c:pt idx="0">
                  <c:v>Bahrain, Kerosene, Exports, in s/case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(Adjusted)'!$AN$7:$AN$107</c:f>
              <c:numCache>
                <c:formatCode>0.0000</c:formatCode>
                <c:ptCount val="66"/>
                <c:pt idx="38">
                  <c:v>4.3725714285714297</c:v>
                </c:pt>
                <c:pt idx="39">
                  <c:v>5.3864695484492939</c:v>
                </c:pt>
                <c:pt idx="40">
                  <c:v>6.9975062344139571</c:v>
                </c:pt>
                <c:pt idx="41">
                  <c:v>4.6494845360824675</c:v>
                </c:pt>
                <c:pt idx="42">
                  <c:v>4.6666666666666625</c:v>
                </c:pt>
                <c:pt idx="43">
                  <c:v>6.001214820813936</c:v>
                </c:pt>
                <c:pt idx="44">
                  <c:v>5.9982920580700263</c:v>
                </c:pt>
                <c:pt idx="45">
                  <c:v>6.16439187139824</c:v>
                </c:pt>
                <c:pt idx="46">
                  <c:v>5.6668968692449386</c:v>
                </c:pt>
                <c:pt idx="47">
                  <c:v>5.3333333333333277</c:v>
                </c:pt>
                <c:pt idx="48">
                  <c:v>5.3333333333333277</c:v>
                </c:pt>
                <c:pt idx="49">
                  <c:v>5.3333333333333277</c:v>
                </c:pt>
                <c:pt idx="50">
                  <c:v>5.3308752183194219</c:v>
                </c:pt>
                <c:pt idx="51">
                  <c:v>6.0002862595419781</c:v>
                </c:pt>
                <c:pt idx="52">
                  <c:v>5.9999999999999938</c:v>
                </c:pt>
                <c:pt idx="53">
                  <c:v>6.7506382978723449</c:v>
                </c:pt>
              </c:numCache>
            </c:numRef>
          </c:val>
          <c:smooth val="0"/>
        </c:ser>
        <c:ser>
          <c:idx val="18"/>
          <c:order val="16"/>
          <c:tx>
            <c:strRef>
              <c:f>'Kerosene (Adjusted)'!$AO$6</c:f>
              <c:strCache>
                <c:ptCount val="1"/>
                <c:pt idx="0">
                  <c:v>Muscat, Kerosene / Oil, of all kinds,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(Adjusted)'!$AO$7:$AO$107</c:f>
              <c:numCache>
                <c:formatCode>0.0000</c:formatCode>
                <c:ptCount val="66"/>
                <c:pt idx="14">
                  <c:v>11.85253378378378</c:v>
                </c:pt>
                <c:pt idx="15">
                  <c:v>11.56034913530895</c:v>
                </c:pt>
                <c:pt idx="16">
                  <c:v>14.295874974653106</c:v>
                </c:pt>
                <c:pt idx="17">
                  <c:v>14.854836910865851</c:v>
                </c:pt>
                <c:pt idx="18">
                  <c:v>9.7125410817131037</c:v>
                </c:pt>
                <c:pt idx="19">
                  <c:v>7.01145435721401</c:v>
                </c:pt>
                <c:pt idx="20">
                  <c:v>7.157988750914801</c:v>
                </c:pt>
                <c:pt idx="21">
                  <c:v>8.1946360584861484</c:v>
                </c:pt>
                <c:pt idx="22">
                  <c:v>6.4611745940956684</c:v>
                </c:pt>
                <c:pt idx="23">
                  <c:v>4.9424381019037442</c:v>
                </c:pt>
                <c:pt idx="24">
                  <c:v>4.1765217399639001</c:v>
                </c:pt>
                <c:pt idx="25">
                  <c:v>8.4787294397724366</c:v>
                </c:pt>
                <c:pt idx="26">
                  <c:v>8.6464424507908326</c:v>
                </c:pt>
                <c:pt idx="27">
                  <c:v>5.4498788780742178</c:v>
                </c:pt>
                <c:pt idx="28">
                  <c:v>5.8098164885142305</c:v>
                </c:pt>
                <c:pt idx="29">
                  <c:v>5.8022052816571925</c:v>
                </c:pt>
                <c:pt idx="30">
                  <c:v>5.9312072120351944</c:v>
                </c:pt>
                <c:pt idx="31">
                  <c:v>5.3429562349729203</c:v>
                </c:pt>
                <c:pt idx="32">
                  <c:v>4.6681790794009377</c:v>
                </c:pt>
                <c:pt idx="33">
                  <c:v>4.041989986062978</c:v>
                </c:pt>
                <c:pt idx="34">
                  <c:v>11.76360802120449</c:v>
                </c:pt>
                <c:pt idx="35">
                  <c:v>12.119311071521677</c:v>
                </c:pt>
                <c:pt idx="36">
                  <c:v>12.525828843312773</c:v>
                </c:pt>
                <c:pt idx="37">
                  <c:v>13.445575301990088</c:v>
                </c:pt>
                <c:pt idx="38">
                  <c:v>13.68821559702789</c:v>
                </c:pt>
                <c:pt idx="39">
                  <c:v>10.547644876370153</c:v>
                </c:pt>
                <c:pt idx="40">
                  <c:v>8.6321508103762916</c:v>
                </c:pt>
                <c:pt idx="41">
                  <c:v>16.864626895209128</c:v>
                </c:pt>
                <c:pt idx="42">
                  <c:v>18.332544509769058</c:v>
                </c:pt>
                <c:pt idx="43">
                  <c:v>15.716640004471783</c:v>
                </c:pt>
                <c:pt idx="44">
                  <c:v>16.101914867037451</c:v>
                </c:pt>
                <c:pt idx="45">
                  <c:v>10.446428571428575</c:v>
                </c:pt>
                <c:pt idx="46">
                  <c:v>8.2225000000000072</c:v>
                </c:pt>
                <c:pt idx="47">
                  <c:v>8.3035443037974659</c:v>
                </c:pt>
                <c:pt idx="48">
                  <c:v>14.472770511296069</c:v>
                </c:pt>
                <c:pt idx="49">
                  <c:v>14.864977000090187</c:v>
                </c:pt>
                <c:pt idx="50">
                  <c:v>6.1868041237113482</c:v>
                </c:pt>
                <c:pt idx="51">
                  <c:v>5.0630992378923239</c:v>
                </c:pt>
              </c:numCache>
            </c:numRef>
          </c:val>
          <c:smooth val="0"/>
        </c:ser>
        <c:ser>
          <c:idx val="19"/>
          <c:order val="17"/>
          <c:tx>
            <c:strRef>
              <c:f>'Kerosene (Adjusted)'!$AP$6</c:f>
              <c:strCache>
                <c:ptCount val="1"/>
                <c:pt idx="0">
                  <c:v>Muscat, Kerosene, Exports,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(Adjusted)'!$AP$7:$AP$107</c:f>
              <c:numCache>
                <c:formatCode>0.0000</c:formatCode>
                <c:ptCount val="66"/>
                <c:pt idx="15">
                  <c:v>11.56034913530895</c:v>
                </c:pt>
                <c:pt idx="19">
                  <c:v>6.944678601431022</c:v>
                </c:pt>
                <c:pt idx="20">
                  <c:v>7.080184525361382</c:v>
                </c:pt>
                <c:pt idx="21">
                  <c:v>8.7549530539381735</c:v>
                </c:pt>
                <c:pt idx="22">
                  <c:v>6.1210566575417875</c:v>
                </c:pt>
                <c:pt idx="23">
                  <c:v>5.3909475935103721</c:v>
                </c:pt>
                <c:pt idx="24">
                  <c:v>4.1159924393847298</c:v>
                </c:pt>
                <c:pt idx="25">
                  <c:v>5.4837553590568078</c:v>
                </c:pt>
                <c:pt idx="26">
                  <c:v>5.0635375398095217</c:v>
                </c:pt>
                <c:pt idx="27">
                  <c:v>5.2984933536832557</c:v>
                </c:pt>
                <c:pt idx="28">
                  <c:v>5.8098164885142305</c:v>
                </c:pt>
                <c:pt idx="29">
                  <c:v>5.784409127777292</c:v>
                </c:pt>
                <c:pt idx="30">
                  <c:v>6.4704078676747443</c:v>
                </c:pt>
                <c:pt idx="31">
                  <c:v>6.1062356971119067</c:v>
                </c:pt>
                <c:pt idx="32">
                  <c:v>5.049712946467368</c:v>
                </c:pt>
                <c:pt idx="33">
                  <c:v>4.0538855575833121</c:v>
                </c:pt>
                <c:pt idx="34">
                  <c:v>3.5944357842569339</c:v>
                </c:pt>
              </c:numCache>
            </c:numRef>
          </c:val>
          <c:smooth val="0"/>
        </c:ser>
        <c:ser>
          <c:idx val="20"/>
          <c:order val="18"/>
          <c:tx>
            <c:strRef>
              <c:f>'Kerosene (Adjusted)'!$AR$6</c:f>
              <c:strCache>
                <c:ptCount val="1"/>
                <c:pt idx="0">
                  <c:v>Lingah, Kerosene,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(Adjusted)'!$AR$7:$AR$107</c:f>
              <c:numCache>
                <c:formatCode>0.0000</c:formatCode>
                <c:ptCount val="66"/>
                <c:pt idx="27">
                  <c:v>7.3080960523744345</c:v>
                </c:pt>
                <c:pt idx="29">
                  <c:v>6.4602956613016156</c:v>
                </c:pt>
                <c:pt idx="30">
                  <c:v>7.2679120879120838</c:v>
                </c:pt>
                <c:pt idx="31">
                  <c:v>5.2638505254495964</c:v>
                </c:pt>
                <c:pt idx="32">
                  <c:v>7.8420771428571445</c:v>
                </c:pt>
                <c:pt idx="33">
                  <c:v>7.1998611185983847</c:v>
                </c:pt>
                <c:pt idx="34">
                  <c:v>6.6782201298701249</c:v>
                </c:pt>
                <c:pt idx="35">
                  <c:v>7.0168926242236065</c:v>
                </c:pt>
                <c:pt idx="36">
                  <c:v>4.8632426190476226</c:v>
                </c:pt>
                <c:pt idx="37">
                  <c:v>4.4288839285714294</c:v>
                </c:pt>
                <c:pt idx="38">
                  <c:v>2.9531141904761857</c:v>
                </c:pt>
                <c:pt idx="39">
                  <c:v>3.1497785468226609</c:v>
                </c:pt>
                <c:pt idx="40">
                  <c:v>3.9374887117346926</c:v>
                </c:pt>
                <c:pt idx="41">
                  <c:v>4.3315548080728128</c:v>
                </c:pt>
                <c:pt idx="46">
                  <c:v>8.4055694980695019</c:v>
                </c:pt>
                <c:pt idx="47">
                  <c:v>5.4175591593579409</c:v>
                </c:pt>
                <c:pt idx="48">
                  <c:v>3.4296382176686699</c:v>
                </c:pt>
                <c:pt idx="49">
                  <c:v>5.2835481423613784</c:v>
                </c:pt>
                <c:pt idx="50">
                  <c:v>5.4196705858135772</c:v>
                </c:pt>
                <c:pt idx="51">
                  <c:v>4.7626574439678437</c:v>
                </c:pt>
                <c:pt idx="52">
                  <c:v>5.2566698346230236</c:v>
                </c:pt>
              </c:numCache>
            </c:numRef>
          </c:val>
          <c:smooth val="0"/>
        </c:ser>
        <c:ser>
          <c:idx val="21"/>
          <c:order val="19"/>
          <c:tx>
            <c:strRef>
              <c:f>'Kerosene (Adjusted)'!$AS$6</c:f>
              <c:strCache>
                <c:ptCount val="1"/>
                <c:pt idx="0">
                  <c:v>Lingah, Kerosene, Exports,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(Adjusted)'!$AS$7:$AS$107</c:f>
              <c:numCache>
                <c:formatCode>0.0000</c:formatCode>
                <c:ptCount val="66"/>
                <c:pt idx="27">
                  <c:v>7.3223552826339127</c:v>
                </c:pt>
                <c:pt idx="29">
                  <c:v>6.460527809523807</c:v>
                </c:pt>
                <c:pt idx="30">
                  <c:v>7.5098124285714336</c:v>
                </c:pt>
                <c:pt idx="31">
                  <c:v>7.4281858208955232</c:v>
                </c:pt>
                <c:pt idx="32">
                  <c:v>7.0400500232666321</c:v>
                </c:pt>
                <c:pt idx="33">
                  <c:v>7.1231216517857154</c:v>
                </c:pt>
                <c:pt idx="34">
                  <c:v>7.6740761405011773</c:v>
                </c:pt>
                <c:pt idx="35">
                  <c:v>7.0731561512811538</c:v>
                </c:pt>
                <c:pt idx="36">
                  <c:v>7.227938571428572</c:v>
                </c:pt>
                <c:pt idx="37">
                  <c:v>4.4351241061496891</c:v>
                </c:pt>
                <c:pt idx="38">
                  <c:v>2.9525892857142861</c:v>
                </c:pt>
                <c:pt idx="39">
                  <c:v>3.1462791428571437</c:v>
                </c:pt>
                <c:pt idx="40">
                  <c:v>4.3265274999999965</c:v>
                </c:pt>
                <c:pt idx="41">
                  <c:v>3.6397373376623361</c:v>
                </c:pt>
                <c:pt idx="47">
                  <c:v>15.292898351648297</c:v>
                </c:pt>
                <c:pt idx="49">
                  <c:v>5.3412008426966304</c:v>
                </c:pt>
                <c:pt idx="50">
                  <c:v>5.1104035281676641</c:v>
                </c:pt>
                <c:pt idx="51">
                  <c:v>4.4132934896135527</c:v>
                </c:pt>
                <c:pt idx="52">
                  <c:v>5.5847425249169493</c:v>
                </c:pt>
              </c:numCache>
            </c:numRef>
          </c:val>
          <c:smooth val="0"/>
        </c:ser>
        <c:ser>
          <c:idx val="22"/>
          <c:order val="20"/>
          <c:tx>
            <c:strRef>
              <c:f>'Kerosene (Adjusted)'!$AU$6</c:f>
              <c:strCache>
                <c:ptCount val="1"/>
                <c:pt idx="0">
                  <c:v>Calcutta, Kerosene, Imports, in s/case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(Adjusted)'!$AU$7:$AU$107</c:f>
              <c:numCache>
                <c:formatCode>General</c:formatCode>
                <c:ptCount val="66"/>
                <c:pt idx="28" formatCode="_(* #,##0.0000_);_(* \(#,##0.0000\);_(* &quot;-&quot;??_);_(@_)">
                  <c:v>11.7734375</c:v>
                </c:pt>
                <c:pt idx="29" formatCode="_(* #,##0.0000_);_(* \(#,##0.0000\);_(* &quot;-&quot;??_);_(@_)">
                  <c:v>4.984375</c:v>
                </c:pt>
                <c:pt idx="30" formatCode="_(* #,##0.0000_);_(* \(#,##0.0000\);_(* &quot;-&quot;??_);_(@_)">
                  <c:v>4.828125</c:v>
                </c:pt>
                <c:pt idx="31" formatCode="_(* #,##0.0000_);_(* \(#,##0.0000\);_(* &quot;-&quot;??_);_(@_)">
                  <c:v>4.405598958333333</c:v>
                </c:pt>
                <c:pt idx="32" formatCode="_(* #,##0.0000_);_(* \(#,##0.0000\);_(* &quot;-&quot;??_);_(@_)">
                  <c:v>3.984375</c:v>
                </c:pt>
                <c:pt idx="33" formatCode="_(* #,##0.0000_);_(* \(#,##0.0000\);_(* &quot;-&quot;??_);_(@_)">
                  <c:v>3.171875</c:v>
                </c:pt>
                <c:pt idx="34" formatCode="_(* #,##0.0000_);_(* \(#,##0.0000\);_(* &quot;-&quot;??_);_(@_)">
                  <c:v>3.013020833333333</c:v>
                </c:pt>
                <c:pt idx="35" formatCode="_(* #,##0.0000_);_(* \(#,##0.0000\);_(* &quot;-&quot;??_);_(@_)">
                  <c:v>3.3046875</c:v>
                </c:pt>
                <c:pt idx="36" formatCode="_(* #,##0.0000_);_(* \(#,##0.0000\);_(* &quot;-&quot;??_);_(@_)">
                  <c:v>5.4375</c:v>
                </c:pt>
                <c:pt idx="37" formatCode="_(* #,##0.0000_);_(* \(#,##0.0000\);_(* &quot;-&quot;??_);_(@_)">
                  <c:v>5.0859375</c:v>
                </c:pt>
                <c:pt idx="38" formatCode="_(* #,##0.0000_);_(* \(#,##0.0000\);_(* &quot;-&quot;??_);_(@_)">
                  <c:v>4.333333333333333</c:v>
                </c:pt>
                <c:pt idx="39" formatCode="_(* #,##0.0000_);_(* \(#,##0.0000\);_(* &quot;-&quot;??_);_(@_)">
                  <c:v>4.7916666666666661</c:v>
                </c:pt>
                <c:pt idx="40" formatCode="_(* #,##0.0000_);_(* \(#,##0.0000\);_(* &quot;-&quot;??_);_(@_)">
                  <c:v>6.2291666666666661</c:v>
                </c:pt>
                <c:pt idx="41" formatCode="_(* #,##0.0000_);_(* \(#,##0.0000\);_(* &quot;-&quot;??_);_(@_)">
                  <c:v>5.833333333333333</c:v>
                </c:pt>
                <c:pt idx="42" formatCode="_(* #,##0.0000_);_(* \(#,##0.0000\);_(* &quot;-&quot;??_);_(@_)">
                  <c:v>4.833333333333333</c:v>
                </c:pt>
                <c:pt idx="43" formatCode="_(* #,##0.0000_);_(* \(#,##0.0000\);_(* &quot;-&quot;??_);_(@_)">
                  <c:v>5.333333333333333</c:v>
                </c:pt>
                <c:pt idx="44" formatCode="_(* #,##0.0000_);_(* \(#,##0.0000\);_(* &quot;-&quot;??_);_(@_)">
                  <c:v>5.333333333333333</c:v>
                </c:pt>
                <c:pt idx="45" formatCode="_(* #,##0.0000_);_(* \(#,##0.0000\);_(* &quot;-&quot;??_);_(@_)">
                  <c:v>5.333333333333333</c:v>
                </c:pt>
                <c:pt idx="46" formatCode="_(* #,##0.0000_);_(* \(#,##0.0000\);_(* &quot;-&quot;??_);_(@_)">
                  <c:v>5.833333333333333</c:v>
                </c:pt>
                <c:pt idx="47" formatCode="_(* #,##0.0000_);_(* \(#,##0.0000\);_(* &quot;-&quot;??_);_(@_)">
                  <c:v>5.875</c:v>
                </c:pt>
                <c:pt idx="48" formatCode="_(* #,##0.0000_);_(* \(#,##0.0000\);_(* &quot;-&quot;??_);_(@_)">
                  <c:v>6.0416666666666661</c:v>
                </c:pt>
                <c:pt idx="49" formatCode="_(* #,##0.0000_);_(* \(#,##0.0000\);_(* &quot;-&quot;??_);_(@_)">
                  <c:v>6.208333333333333</c:v>
                </c:pt>
                <c:pt idx="50" formatCode="_(* #,##0.0000_);_(* \(#,##0.0000\);_(* &quot;-&quot;??_);_(@_)">
                  <c:v>6.333333333333333</c:v>
                </c:pt>
                <c:pt idx="51" formatCode="_(* #,##0.0000_);_(* \(#,##0.0000\);_(* &quot;-&quot;??_);_(@_)">
                  <c:v>6.4166666666666661</c:v>
                </c:pt>
                <c:pt idx="52" formatCode="_(* #,##0.0000_);_(* \(#,##0.0000\);_(* &quot;-&quot;??_);_(@_)">
                  <c:v>6.333333333333333</c:v>
                </c:pt>
                <c:pt idx="53" formatCode="_(* #,##0.0000_);_(* \(#,##0.0000\);_(* &quot;-&quot;??_);_(@_)">
                  <c:v>6.333333333333333</c:v>
                </c:pt>
                <c:pt idx="54" formatCode="_(* #,##0.0000_);_(* \(#,##0.0000\);_(* &quot;-&quot;??_);_(@_)">
                  <c:v>6.6666666666666661</c:v>
                </c:pt>
                <c:pt idx="55" formatCode="_(* #,##0.0000_);_(* \(#,##0.0000\);_(* &quot;-&quot;??_);_(@_)">
                  <c:v>6.6666666666666661</c:v>
                </c:pt>
                <c:pt idx="56" formatCode="_(* #,##0.0000_);_(* \(#,##0.0000\);_(* &quot;-&quot;??_);_(@_)">
                  <c:v>6.6666666666666661</c:v>
                </c:pt>
                <c:pt idx="57" formatCode="_(* #,##0.0000_);_(* \(#,##0.0000\);_(* &quot;-&quot;??_);_(@_)">
                  <c:v>8.75</c:v>
                </c:pt>
                <c:pt idx="58" formatCode="_(* #,##0.0000_);_(* \(#,##0.0000\);_(* &quot;-&quot;??_);_(@_)">
                  <c:v>10.5</c:v>
                </c:pt>
                <c:pt idx="59" formatCode="_(* #,##0.0000_);_(* \(#,##0.0000\);_(* &quot;-&quot;??_);_(@_)">
                  <c:v>14.166666666666666</c:v>
                </c:pt>
                <c:pt idx="60" formatCode="_(* #,##0.0000_);_(* \(#,##0.0000\);_(* &quot;-&quot;??_);_(@_)">
                  <c:v>14.333333333333332</c:v>
                </c:pt>
                <c:pt idx="61" formatCode="_(* #,##0.0000_);_(* \(#,##0.0000\);_(* &quot;-&quot;??_);_(@_)">
                  <c:v>14.333333333333332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16416"/>
        <c:axId val="704716976"/>
      </c:lineChart>
      <c:catAx>
        <c:axId val="70471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16976"/>
        <c:crosses val="autoZero"/>
        <c:auto val="1"/>
        <c:lblAlgn val="ctr"/>
        <c:lblOffset val="100"/>
        <c:noMultiLvlLbl val="0"/>
      </c:catAx>
      <c:valAx>
        <c:axId val="70471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1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56801938219262"/>
          <c:y val="8.6028563071182368E-2"/>
          <c:w val="0.27227813446396126"/>
          <c:h val="0.882285045694589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Kerosene &amp; Petroleum, UK, US, Black Sea, Caspian Sea, Saratov, Persia, Persian Gulf and Calcutta, in s/case</a:t>
            </a:r>
          </a:p>
        </c:rich>
      </c:tx>
      <c:layout>
        <c:manualLayout>
          <c:xMode val="edge"/>
          <c:yMode val="edge"/>
          <c:x val="0.12662502563792619"/>
          <c:y val="1.4707531937608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5662263094571572E-2"/>
          <c:y val="8.1068444349139526E-2"/>
          <c:w val="0.68064202304069765"/>
          <c:h val="0.84768203624375049"/>
        </c:manualLayout>
      </c:layout>
      <c:lineChart>
        <c:grouping val="standard"/>
        <c:varyColors val="0"/>
        <c:ser>
          <c:idx val="2"/>
          <c:order val="0"/>
          <c:tx>
            <c:strRef>
              <c:f>'Kerosene (Adjusted)'!$C$6</c:f>
              <c:strCache>
                <c:ptCount val="1"/>
                <c:pt idx="0">
                  <c:v>UK, Kerosene, Imports, in s/case</c:v>
                </c:pt>
              </c:strCache>
            </c:strRef>
          </c:tx>
          <c:spPr>
            <a:ln w="158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'Kerosene (Adjusted)'!$D$6</c:f>
              <c:strCache>
                <c:ptCount val="1"/>
                <c:pt idx="0">
                  <c:v>US, Kerosene, , in s/case</c:v>
                </c:pt>
              </c:strCache>
            </c:strRef>
          </c:tx>
          <c:spPr>
            <a:ln w="158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(Adjusted)'!$D$7:$D$107</c:f>
              <c:numCache>
                <c:formatCode>0.0000</c:formatCode>
                <c:ptCount val="66"/>
                <c:pt idx="31">
                  <c:v>4.1116230039920154</c:v>
                </c:pt>
                <c:pt idx="32">
                  <c:v>3.626891529441119</c:v>
                </c:pt>
                <c:pt idx="33">
                  <c:v>3.2727969061876245</c:v>
                </c:pt>
                <c:pt idx="34">
                  <c:v>2.9737072729540928</c:v>
                </c:pt>
                <c:pt idx="35">
                  <c:v>2.9702694610778448</c:v>
                </c:pt>
                <c:pt idx="36">
                  <c:v>3.8056577470059896</c:v>
                </c:pt>
                <c:pt idx="37">
                  <c:v>4.2835135978043919</c:v>
                </c:pt>
                <c:pt idx="38">
                  <c:v>3.7128368263473059</c:v>
                </c:pt>
                <c:pt idx="39">
                  <c:v>3.7506527569860282</c:v>
                </c:pt>
                <c:pt idx="40">
                  <c:v>4.1872548652694617</c:v>
                </c:pt>
                <c:pt idx="41">
                  <c:v>4.9091953592814379</c:v>
                </c:pt>
                <c:pt idx="42">
                  <c:v>4.524160429141717</c:v>
                </c:pt>
                <c:pt idx="43">
                  <c:v>4.5722897954091826</c:v>
                </c:pt>
                <c:pt idx="44">
                  <c:v>5.6208224176646722</c:v>
                </c:pt>
                <c:pt idx="45">
                  <c:v>5.6380114770459082</c:v>
                </c:pt>
                <c:pt idx="46">
                  <c:v>5.2082849925149715</c:v>
                </c:pt>
                <c:pt idx="47">
                  <c:v>5.3629865269461083</c:v>
                </c:pt>
                <c:pt idx="48">
                  <c:v>5.5520661801397209</c:v>
                </c:pt>
                <c:pt idx="49">
                  <c:v>5.5692552395209596</c:v>
                </c:pt>
                <c:pt idx="50">
                  <c:v>5.0535834580838337</c:v>
                </c:pt>
                <c:pt idx="51">
                  <c:v>4.4554041916167666</c:v>
                </c:pt>
                <c:pt idx="52">
                  <c:v>3.7953443113772463</c:v>
                </c:pt>
                <c:pt idx="53">
                  <c:v>4.5860410429141725</c:v>
                </c:pt>
                <c:pt idx="54">
                  <c:v>5.0879615768463085</c:v>
                </c:pt>
                <c:pt idx="55">
                  <c:v>4.9504491017964076</c:v>
                </c:pt>
                <c:pt idx="56">
                  <c:v>4.9848272205588833</c:v>
                </c:pt>
                <c:pt idx="57">
                  <c:v>5.0192053393213572</c:v>
                </c:pt>
                <c:pt idx="58">
                  <c:v>5.1223396956087832</c:v>
                </c:pt>
                <c:pt idx="59">
                  <c:v>6.9925093562874254</c:v>
                </c:pt>
                <c:pt idx="60">
                  <c:v>8.2644997504990041</c:v>
                </c:pt>
                <c:pt idx="61">
                  <c:v>10.860047717065868</c:v>
                </c:pt>
                <c:pt idx="62">
                  <c:v>10.01778380738523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'Kerosene (Adjusted)'!$Q$6</c:f>
              <c:strCache>
                <c:ptCount val="1"/>
                <c:pt idx="0">
                  <c:v>Trebizond (Anatolia), Petroleum, Imports, in s/case</c:v>
                </c:pt>
              </c:strCache>
            </c:strRef>
          </c:tx>
          <c:spPr>
            <a:ln w="158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(Adjusted)'!$Q$7:$Q$107</c:f>
              <c:numCache>
                <c:formatCode>0.0000</c:formatCode>
                <c:ptCount val="66"/>
                <c:pt idx="9">
                  <c:v>15</c:v>
                </c:pt>
                <c:pt idx="10">
                  <c:v>14.995433789954337</c:v>
                </c:pt>
                <c:pt idx="11">
                  <c:v>15.001618646811266</c:v>
                </c:pt>
                <c:pt idx="12">
                  <c:v>15</c:v>
                </c:pt>
                <c:pt idx="13">
                  <c:v>15.000721604849186</c:v>
                </c:pt>
                <c:pt idx="14">
                  <c:v>13.99920519274076</c:v>
                </c:pt>
                <c:pt idx="15">
                  <c:v>12.998674618952951</c:v>
                </c:pt>
                <c:pt idx="17">
                  <c:v>12.999251310207139</c:v>
                </c:pt>
                <c:pt idx="18">
                  <c:v>12.5</c:v>
                </c:pt>
                <c:pt idx="19">
                  <c:v>12.5</c:v>
                </c:pt>
                <c:pt idx="20">
                  <c:v>12.500223473674801</c:v>
                </c:pt>
                <c:pt idx="21">
                  <c:v>7.13170731707317</c:v>
                </c:pt>
                <c:pt idx="23">
                  <c:v>3.2719087084851921</c:v>
                </c:pt>
                <c:pt idx="24">
                  <c:v>2.9526105998720538</c:v>
                </c:pt>
                <c:pt idx="25">
                  <c:v>4.1280921624388656</c:v>
                </c:pt>
                <c:pt idx="26">
                  <c:v>4.1301986066772125</c:v>
                </c:pt>
                <c:pt idx="27">
                  <c:v>3.5421817985582607</c:v>
                </c:pt>
                <c:pt idx="28">
                  <c:v>3.5679365568728532</c:v>
                </c:pt>
                <c:pt idx="29">
                  <c:v>3.5407563732872118</c:v>
                </c:pt>
                <c:pt idx="30">
                  <c:v>3.5446081030319099</c:v>
                </c:pt>
                <c:pt idx="31">
                  <c:v>3.5438201728382857</c:v>
                </c:pt>
                <c:pt idx="32">
                  <c:v>3.5431327198464642</c:v>
                </c:pt>
                <c:pt idx="33">
                  <c:v>3.5431327198464642</c:v>
                </c:pt>
                <c:pt idx="34">
                  <c:v>3.6928904909062577</c:v>
                </c:pt>
                <c:pt idx="35">
                  <c:v>4.7107177661776358</c:v>
                </c:pt>
                <c:pt idx="36">
                  <c:v>4.2514522997507935</c:v>
                </c:pt>
                <c:pt idx="37">
                  <c:v>2.798137167845705</c:v>
                </c:pt>
                <c:pt idx="38">
                  <c:v>2.8350659124837825</c:v>
                </c:pt>
                <c:pt idx="39">
                  <c:v>2.843299886867483</c:v>
                </c:pt>
                <c:pt idx="40">
                  <c:v>2.836688243756984</c:v>
                </c:pt>
                <c:pt idx="41">
                  <c:v>2.3620884798976425</c:v>
                </c:pt>
                <c:pt idx="42">
                  <c:v>2.3605960061319116</c:v>
                </c:pt>
                <c:pt idx="43">
                  <c:v>2.4122123733702723</c:v>
                </c:pt>
                <c:pt idx="44">
                  <c:v>3.5693951871201195</c:v>
                </c:pt>
                <c:pt idx="45">
                  <c:v>3.4489183645229113</c:v>
                </c:pt>
                <c:pt idx="46">
                  <c:v>3.7785970166999334</c:v>
                </c:pt>
                <c:pt idx="47">
                  <c:v>3.797910756133783</c:v>
                </c:pt>
                <c:pt idx="48">
                  <c:v>3.3039185199557282</c:v>
                </c:pt>
                <c:pt idx="49">
                  <c:v>3.3292996527205125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'Kerosene (Adjusted)'!$T$6</c:f>
              <c:strCache>
                <c:ptCount val="1"/>
                <c:pt idx="0">
                  <c:v>Ispahan, Kerosene, Imports, in s/case</c:v>
                </c:pt>
              </c:strCache>
            </c:strRef>
          </c:tx>
          <c:spPr>
            <a:ln w="158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(Adjusted)'!$T$7:$T$107</c:f>
              <c:numCache>
                <c:formatCode>0.0000</c:formatCode>
                <c:ptCount val="66"/>
                <c:pt idx="35">
                  <c:v>15.84</c:v>
                </c:pt>
                <c:pt idx="50">
                  <c:v>11.695442619445172</c:v>
                </c:pt>
                <c:pt idx="51">
                  <c:v>15.671634074782558</c:v>
                </c:pt>
                <c:pt idx="52">
                  <c:v>13.59935188307576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'Kerosene (Adjusted)'!$U$6</c:f>
              <c:strCache>
                <c:ptCount val="1"/>
                <c:pt idx="0">
                  <c:v>Yezd, Kerosene,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(Adjusted)'!$U$7:$U$107</c:f>
              <c:numCache>
                <c:formatCode>0.0000</c:formatCode>
                <c:ptCount val="66"/>
                <c:pt idx="45" formatCode="_(* #,##0.0000_);_(* \(#,##0.0000\);_(* &quot;-&quot;??_);_(@_)">
                  <c:v>13.825964419157277</c:v>
                </c:pt>
                <c:pt idx="46" formatCode="_(* #,##0.0000_);_(* \(#,##0.0000\);_(* &quot;-&quot;??_);_(@_)">
                  <c:v>11.45429228552428</c:v>
                </c:pt>
                <c:pt idx="52" formatCode="_(* #,##0.0000_);_(* \(#,##0.0000\);_(* &quot;-&quot;??_);_(@_)">
                  <c:v>20.107890109890111</c:v>
                </c:pt>
              </c:numCache>
            </c:numRef>
          </c:val>
          <c:smooth val="0"/>
        </c:ser>
        <c:ser>
          <c:idx val="7"/>
          <c:order val="5"/>
          <c:tx>
            <c:strRef>
              <c:f>'Kerosene (Adjusted)'!$V$6</c:f>
              <c:strCache>
                <c:ptCount val="1"/>
                <c:pt idx="0">
                  <c:v>Khorasan, Petroleum, Imports,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(Adjusted)'!$V$7:$V$107</c:f>
              <c:numCache>
                <c:formatCode>0.0000</c:formatCode>
                <c:ptCount val="66"/>
                <c:pt idx="42">
                  <c:v>6.6450304876344122</c:v>
                </c:pt>
                <c:pt idx="43">
                  <c:v>6.4748816275510066</c:v>
                </c:pt>
                <c:pt idx="44">
                  <c:v>5.7991481773189157</c:v>
                </c:pt>
                <c:pt idx="45">
                  <c:v>6.1928611437780283</c:v>
                </c:pt>
                <c:pt idx="46">
                  <c:v>6.0706724399100711</c:v>
                </c:pt>
                <c:pt idx="47">
                  <c:v>6.3611664416746372</c:v>
                </c:pt>
                <c:pt idx="48">
                  <c:v>6.4662315994025237</c:v>
                </c:pt>
                <c:pt idx="49">
                  <c:v>6.1917586376433604</c:v>
                </c:pt>
                <c:pt idx="50">
                  <c:v>5.7854272926969719</c:v>
                </c:pt>
                <c:pt idx="51">
                  <c:v>6.7993401341443844</c:v>
                </c:pt>
                <c:pt idx="52">
                  <c:v>7.081123283721122</c:v>
                </c:pt>
              </c:numCache>
            </c:numRef>
          </c:val>
          <c:smooth val="0"/>
        </c:ser>
        <c:ser>
          <c:idx val="8"/>
          <c:order val="6"/>
          <c:tx>
            <c:strRef>
              <c:f>'Kerosene (Adjusted)'!$W$6</c:f>
              <c:strCache>
                <c:ptCount val="1"/>
                <c:pt idx="0">
                  <c:v>Khorasan, Petroleum, Exports,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(Adjusted)'!$W$7:$W$107</c:f>
              <c:numCache>
                <c:formatCode>0.0000</c:formatCode>
                <c:ptCount val="66"/>
                <c:pt idx="42">
                  <c:v>7.3749922490718376</c:v>
                </c:pt>
                <c:pt idx="43">
                  <c:v>7.888553618687256</c:v>
                </c:pt>
                <c:pt idx="44">
                  <c:v>7.0389219893572212</c:v>
                </c:pt>
                <c:pt idx="45">
                  <c:v>9.2743574355127212</c:v>
                </c:pt>
                <c:pt idx="46">
                  <c:v>11.307953206806287</c:v>
                </c:pt>
                <c:pt idx="47">
                  <c:v>7.1454455050489507</c:v>
                </c:pt>
                <c:pt idx="48">
                  <c:v>7.9715208127071557</c:v>
                </c:pt>
                <c:pt idx="49">
                  <c:v>8.6229465449804454</c:v>
                </c:pt>
                <c:pt idx="50">
                  <c:v>6.522485207100595</c:v>
                </c:pt>
                <c:pt idx="51">
                  <c:v>8.140061538461536</c:v>
                </c:pt>
                <c:pt idx="52">
                  <c:v>18.633546872379643</c:v>
                </c:pt>
              </c:numCache>
            </c:numRef>
          </c:val>
          <c:smooth val="0"/>
        </c:ser>
        <c:ser>
          <c:idx val="12"/>
          <c:order val="9"/>
          <c:tx>
            <c:strRef>
              <c:f>'Kerosene (Adjusted)'!$AA$6</c:f>
              <c:strCache>
                <c:ptCount val="1"/>
                <c:pt idx="0">
                  <c:v>Kerman, Kerosene,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(Adjusted)'!$AA$7:$AA$107</c:f>
              <c:numCache>
                <c:formatCode>0.0000</c:formatCode>
                <c:ptCount val="66"/>
                <c:pt idx="45">
                  <c:v>10.000000000000009</c:v>
                </c:pt>
                <c:pt idx="46">
                  <c:v>10.000000000000009</c:v>
                </c:pt>
                <c:pt idx="47">
                  <c:v>8.64</c:v>
                </c:pt>
                <c:pt idx="48">
                  <c:v>19.999999999999979</c:v>
                </c:pt>
                <c:pt idx="49">
                  <c:v>18.037636363636398</c:v>
                </c:pt>
                <c:pt idx="50">
                  <c:v>13.227599999999978</c:v>
                </c:pt>
                <c:pt idx="51">
                  <c:v>12.626345454545492</c:v>
                </c:pt>
                <c:pt idx="52">
                  <c:v>30.062727272727301</c:v>
                </c:pt>
              </c:numCache>
            </c:numRef>
          </c:val>
          <c:smooth val="0"/>
        </c:ser>
        <c:ser>
          <c:idx val="13"/>
          <c:order val="10"/>
          <c:tx>
            <c:strRef>
              <c:f>'Kerosene (Adjusted)'!$AB$6</c:f>
              <c:strCache>
                <c:ptCount val="1"/>
                <c:pt idx="0">
                  <c:v>Kerman, Petroleum, Imports,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(Adjusted)'!$AB$7:$AB$107</c:f>
              <c:numCache>
                <c:formatCode>0.0000</c:formatCode>
                <c:ptCount val="66"/>
                <c:pt idx="34">
                  <c:v>7.5999999999999961</c:v>
                </c:pt>
                <c:pt idx="49">
                  <c:v>19.999999999999979</c:v>
                </c:pt>
                <c:pt idx="50">
                  <c:v>14.999999999999995</c:v>
                </c:pt>
              </c:numCache>
            </c:numRef>
          </c:val>
          <c:smooth val="0"/>
        </c:ser>
        <c:ser>
          <c:idx val="15"/>
          <c:order val="12"/>
          <c:tx>
            <c:strRef>
              <c:f>'Kerosene (Adjusted)'!$AD$6</c:f>
              <c:strCache>
                <c:ptCount val="1"/>
                <c:pt idx="0">
                  <c:v>Resht &amp; Mazandaran, Petroleum &amp; Kerosene, Imports,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(Adjusted)'!$AD$7:$AD$107</c:f>
              <c:numCache>
                <c:formatCode>0.0000</c:formatCode>
                <c:ptCount val="66"/>
                <c:pt idx="15">
                  <c:v>4.9194486209837942</c:v>
                </c:pt>
                <c:pt idx="31">
                  <c:v>1.211419458345919</c:v>
                </c:pt>
                <c:pt idx="33">
                  <c:v>2.3771488607967965</c:v>
                </c:pt>
                <c:pt idx="46">
                  <c:v>2.4914722963707838</c:v>
                </c:pt>
                <c:pt idx="47">
                  <c:v>2.7506424318205474</c:v>
                </c:pt>
                <c:pt idx="48">
                  <c:v>3.0188158733834105</c:v>
                </c:pt>
                <c:pt idx="49">
                  <c:v>2.0326919253867954</c:v>
                </c:pt>
                <c:pt idx="50">
                  <c:v>1.62657751196286</c:v>
                </c:pt>
              </c:numCache>
            </c:numRef>
          </c:val>
          <c:smooth val="0"/>
        </c:ser>
        <c:ser>
          <c:idx val="20"/>
          <c:order val="16"/>
          <c:tx>
            <c:strRef>
              <c:f>'Kerosene (Adjusted)'!$AI$6</c:f>
              <c:strCache>
                <c:ptCount val="1"/>
                <c:pt idx="0">
                  <c:v>Astara, Naphtha Oil,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(Adjusted)'!$AI$7:$AI$107</c:f>
              <c:numCache>
                <c:formatCode>0.0000</c:formatCode>
                <c:ptCount val="66"/>
                <c:pt idx="48">
                  <c:v>1.7946050290536015</c:v>
                </c:pt>
                <c:pt idx="49">
                  <c:v>1.7201196868512425</c:v>
                </c:pt>
                <c:pt idx="50">
                  <c:v>1.3765262319245117</c:v>
                </c:pt>
              </c:numCache>
            </c:numRef>
          </c:val>
          <c:smooth val="0"/>
        </c:ser>
        <c:ser>
          <c:idx val="21"/>
          <c:order val="17"/>
          <c:tx>
            <c:strRef>
              <c:f>'Kerosene (Adjusted)'!$AJ$6</c:f>
              <c:strCache>
                <c:ptCount val="1"/>
                <c:pt idx="0">
                  <c:v>Baku, Kerosene, , in s/case</c:v>
                </c:pt>
              </c:strCache>
            </c:strRef>
          </c:tx>
          <c:spPr>
            <a:ln w="158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(Adjusted)'!$AJ$7:$AJ$107</c:f>
              <c:numCache>
                <c:formatCode>0.0000</c:formatCode>
                <c:ptCount val="66"/>
                <c:pt idx="30" formatCode="_(* #,##0.0000_);_(* \(#,##0.0000\);_(* &quot;-&quot;??_);_(@_)">
                  <c:v>0.87833900578508928</c:v>
                </c:pt>
                <c:pt idx="31" formatCode="_(* #,##0.0000_);_(* \(#,##0.0000\);_(* &quot;-&quot;??_);_(@_)">
                  <c:v>0.41741726036616195</c:v>
                </c:pt>
                <c:pt idx="32" formatCode="_(* #,##0.0000_);_(* \(#,##0.0000\);_(* &quot;-&quot;??_);_(@_)">
                  <c:v>0.26915878159574202</c:v>
                </c:pt>
                <c:pt idx="33" formatCode="_(* #,##0.0000_);_(* \(#,##0.0000\);_(* &quot;-&quot;??_);_(@_)">
                  <c:v>0.25210351062057229</c:v>
                </c:pt>
                <c:pt idx="34" formatCode="_(* #,##0.0000_);_(* \(#,##0.0000\);_(* &quot;-&quot;??_);_(@_)">
                  <c:v>0.22041029616624844</c:v>
                </c:pt>
                <c:pt idx="35" formatCode="_(* #,##0.0000_);_(* \(#,##0.0000\);_(* &quot;-&quot;??_);_(@_)">
                  <c:v>0.54756050779707344</c:v>
                </c:pt>
                <c:pt idx="36" formatCode="_(* #,##0.0000_);_(* \(#,##0.0000\);_(* &quot;-&quot;??_);_(@_)">
                  <c:v>0.51840569671693737</c:v>
                </c:pt>
                <c:pt idx="37" formatCode="_(* #,##0.0000_);_(* \(#,##0.0000\);_(* &quot;-&quot;??_);_(@_)">
                  <c:v>0.46878196493379126</c:v>
                </c:pt>
                <c:pt idx="38" formatCode="_(* #,##0.0000_);_(* \(#,##0.0000\);_(* &quot;-&quot;??_);_(@_)">
                  <c:v>0.54621328853426221</c:v>
                </c:pt>
                <c:pt idx="39" formatCode="_(* #,##0.0000_);_(* \(#,##0.0000\);_(* &quot;-&quot;??_);_(@_)">
                  <c:v>0.91744430887267558</c:v>
                </c:pt>
                <c:pt idx="40" formatCode="_(* #,##0.0000_);_(* \(#,##0.0000\);_(* &quot;-&quot;??_);_(@_)">
                  <c:v>0.88221412124504495</c:v>
                </c:pt>
                <c:pt idx="41" formatCode="_(* #,##0.0000_);_(* \(#,##0.0000\);_(* &quot;-&quot;??_);_(@_)">
                  <c:v>0.35166147881473275</c:v>
                </c:pt>
                <c:pt idx="42" formatCode="_(* #,##0.0000_);_(* \(#,##0.0000\);_(* &quot;-&quot;??_);_(@_)">
                  <c:v>0.32341309813697594</c:v>
                </c:pt>
                <c:pt idx="43" formatCode="_(* #,##0.0000_);_(* \(#,##0.0000\);_(* &quot;-&quot;??_);_(@_)">
                  <c:v>0.49285177890479098</c:v>
                </c:pt>
                <c:pt idx="44" formatCode="_(* #,##0.0000_);_(* \(#,##0.0000\);_(* &quot;-&quot;??_);_(@_)">
                  <c:v>0.79591079186421043</c:v>
                </c:pt>
                <c:pt idx="45" formatCode="_(* #,##0.0000_);_(* \(#,##0.0000\);_(* &quot;-&quot;??_);_(@_)">
                  <c:v>0.85189311728375205</c:v>
                </c:pt>
                <c:pt idx="46" formatCode="_(* #,##0.0000_);_(* \(#,##0.0000\);_(* &quot;-&quot;??_);_(@_)">
                  <c:v>1.0938172433029425</c:v>
                </c:pt>
                <c:pt idx="47" formatCode="_(* #,##0.0000_);_(* \(#,##0.0000\);_(* &quot;-&quot;??_);_(@_)">
                  <c:v>1.3679300463831459</c:v>
                </c:pt>
                <c:pt idx="48" formatCode="_(* #,##0.0000_);_(* \(#,##0.0000\);_(* &quot;-&quot;??_);_(@_)">
                  <c:v>1.0618357870644426</c:v>
                </c:pt>
                <c:pt idx="49" formatCode="_(* #,##0.0000_);_(* \(#,##0.0000\);_(* &quot;-&quot;??_);_(@_)">
                  <c:v>1.1073154608231122</c:v>
                </c:pt>
                <c:pt idx="50" formatCode="_(* #,##0.0000_);_(* \(#,##0.0000\);_(* &quot;-&quot;??_);_(@_)">
                  <c:v>0.74018576711775508</c:v>
                </c:pt>
                <c:pt idx="51" formatCode="_(* #,##0.0000_);_(* \(#,##0.0000\);_(* &quot;-&quot;??_);_(@_)">
                  <c:v>1.1204900060273351</c:v>
                </c:pt>
                <c:pt idx="52" formatCode="_(* #,##0.0000_);_(* \(#,##0.0000\);_(* &quot;-&quot;??_);_(@_)">
                  <c:v>1.6280624019200589</c:v>
                </c:pt>
                <c:pt idx="53" formatCode="_(* #,##0.0000_);_(* \(#,##0.0000\);_(* &quot;-&quot;??_);_(@_)">
                  <c:v>2.2073665920367449</c:v>
                </c:pt>
                <c:pt idx="54" formatCode="_(* #,##0.0000_);_(* \(#,##0.0000\);_(* &quot;-&quot;??_);_(@_)">
                  <c:v>1.8591272024468575</c:v>
                </c:pt>
              </c:numCache>
            </c:numRef>
          </c:val>
          <c:smooth val="0"/>
        </c:ser>
        <c:ser>
          <c:idx val="22"/>
          <c:order val="18"/>
          <c:tx>
            <c:strRef>
              <c:f>'Kerosene (Adjusted)'!$AK$6</c:f>
              <c:strCache>
                <c:ptCount val="1"/>
                <c:pt idx="0">
                  <c:v>Saratov, Kerosene, , in s/case</c:v>
                </c:pt>
              </c:strCache>
            </c:strRef>
          </c:tx>
          <c:spPr>
            <a:ln w="158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(Adjusted)'!$AK$7:$AK$107</c:f>
              <c:numCache>
                <c:formatCode>0.0000</c:formatCode>
                <c:ptCount val="66"/>
                <c:pt idx="30" formatCode="_(* #,##0.0000_);_(* \(#,##0.0000\);_(* &quot;-&quot;??_);_(@_)">
                  <c:v>4.9093634284702823</c:v>
                </c:pt>
                <c:pt idx="31" formatCode="_(* #,##0.0000_);_(* \(#,##0.0000\);_(* &quot;-&quot;??_);_(@_)">
                  <c:v>4.0647525451190321</c:v>
                </c:pt>
                <c:pt idx="32" formatCode="_(* #,##0.0000_);_(* \(#,##0.0000\);_(* &quot;-&quot;??_);_(@_)">
                  <c:v>3.4880028409530408</c:v>
                </c:pt>
                <c:pt idx="33" formatCode="_(* #,##0.0000_);_(* \(#,##0.0000\);_(* &quot;-&quot;??_);_(@_)">
                  <c:v>4.1635276754003607</c:v>
                </c:pt>
                <c:pt idx="34" formatCode="_(* #,##0.0000_);_(* \(#,##0.0000\);_(* &quot;-&quot;??_);_(@_)">
                  <c:v>4.2743853863668901</c:v>
                </c:pt>
                <c:pt idx="35" formatCode="_(* #,##0.0000_);_(* \(#,##0.0000\);_(* &quot;-&quot;??_);_(@_)">
                  <c:v>4.5459339999843369</c:v>
                </c:pt>
                <c:pt idx="36" formatCode="_(* #,##0.0000_);_(* \(#,##0.0000\);_(* &quot;-&quot;??_);_(@_)">
                  <c:v>4.6110822497453912</c:v>
                </c:pt>
                <c:pt idx="37" formatCode="_(* #,##0.0000_);_(* \(#,##0.0000\);_(* &quot;-&quot;??_);_(@_)">
                  <c:v>4.4612416996199133</c:v>
                </c:pt>
                <c:pt idx="38" formatCode="_(* #,##0.0000_);_(* \(#,##0.0000\);_(* &quot;-&quot;??_);_(@_)">
                  <c:v>4.4360322075961145</c:v>
                </c:pt>
                <c:pt idx="39" formatCode="_(* #,##0.0000_);_(* \(#,##0.0000\);_(* &quot;-&quot;??_);_(@_)">
                  <c:v>4.6106456543771479</c:v>
                </c:pt>
                <c:pt idx="40" formatCode="_(* #,##0.0000_);_(* \(#,##0.0000\);_(* &quot;-&quot;??_);_(@_)">
                  <c:v>5.2347306928743587</c:v>
                </c:pt>
                <c:pt idx="41" formatCode="_(* #,##0.0000_);_(* \(#,##0.0000\);_(* &quot;-&quot;??_);_(@_)">
                  <c:v>4.9545195015231238</c:v>
                </c:pt>
                <c:pt idx="42" formatCode="_(* #,##0.0000_);_(* \(#,##0.0000\);_(* &quot;-&quot;??_);_(@_)">
                  <c:v>4.5044041138113764</c:v>
                </c:pt>
                <c:pt idx="43" formatCode="_(* #,##0.0000_);_(* \(#,##0.0000\);_(* &quot;-&quot;??_);_(@_)">
                  <c:v>4.4904273189103181</c:v>
                </c:pt>
                <c:pt idx="44" formatCode="_(* #,##0.0000_);_(* \(#,##0.0000\);_(* &quot;-&quot;??_);_(@_)">
                  <c:v>4.8066769391015063</c:v>
                </c:pt>
                <c:pt idx="45" formatCode="_(* #,##0.0000_);_(* \(#,##0.0000\);_(* &quot;-&quot;??_);_(@_)">
                  <c:v>5.0841292433327112</c:v>
                </c:pt>
                <c:pt idx="46" formatCode="_(* #,##0.0000_);_(* \(#,##0.0000\);_(* &quot;-&quot;??_);_(@_)">
                  <c:v>4.6582846235768658</c:v>
                </c:pt>
                <c:pt idx="47" formatCode="_(* #,##0.0000_);_(* \(#,##0.0000\);_(* &quot;-&quot;??_);_(@_)">
                  <c:v>5.663307026762717</c:v>
                </c:pt>
                <c:pt idx="48" formatCode="_(* #,##0.0000_);_(* \(#,##0.0000\);_(* &quot;-&quot;??_);_(@_)">
                  <c:v>5.56788074526155</c:v>
                </c:pt>
                <c:pt idx="49" formatCode="_(* #,##0.0000_);_(* \(#,##0.0000\);_(* &quot;-&quot;??_);_(@_)">
                  <c:v>5.7713438329119811</c:v>
                </c:pt>
                <c:pt idx="50" formatCode="_(* #,##0.0000_);_(* \(#,##0.0000\);_(* &quot;-&quot;??_);_(@_)">
                  <c:v>5.0176803581456255</c:v>
                </c:pt>
                <c:pt idx="51" formatCode="_(* #,##0.0000_);_(* \(#,##0.0000\);_(* &quot;-&quot;??_);_(@_)">
                  <c:v>5.3282042244656491</c:v>
                </c:pt>
                <c:pt idx="52" formatCode="_(* #,##0.0000_);_(* \(#,##0.0000\);_(* &quot;-&quot;??_);_(@_)">
                  <c:v>6.1208884533725305</c:v>
                </c:pt>
                <c:pt idx="53" formatCode="_(* #,##0.0000_);_(* \(#,##0.0000\);_(* &quot;-&quot;??_);_(@_)">
                  <c:v>6.7270274134077548</c:v>
                </c:pt>
                <c:pt idx="54" formatCode="_(* #,##0.0000_);_(* \(#,##0.0000\);_(* &quot;-&quot;??_);_(@_)">
                  <c:v>6.4196166865283972</c:v>
                </c:pt>
              </c:numCache>
            </c:numRef>
          </c:val>
          <c:smooth val="0"/>
        </c:ser>
        <c:ser>
          <c:idx val="23"/>
          <c:order val="19"/>
          <c:tx>
            <c:strRef>
              <c:f>'Kerosene (Adjusted)'!$AL$6</c:f>
              <c:strCache>
                <c:ptCount val="1"/>
                <c:pt idx="0">
                  <c:v>Bahrain, Petroleum, Imports, in s/case</c:v>
                </c:pt>
              </c:strCache>
            </c:strRef>
          </c:tx>
          <c:spPr>
            <a:ln w="158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(Adjusted)'!$AL$7:$AL$107</c:f>
              <c:numCache>
                <c:formatCode>0.0000</c:formatCode>
                <c:ptCount val="66"/>
                <c:pt idx="31">
                  <c:v>10.015616485757993</c:v>
                </c:pt>
                <c:pt idx="32">
                  <c:v>8.3842318278736254</c:v>
                </c:pt>
                <c:pt idx="33">
                  <c:v>8.3827456061288945</c:v>
                </c:pt>
                <c:pt idx="34">
                  <c:v>7.186977253401361</c:v>
                </c:pt>
                <c:pt idx="35">
                  <c:v>6.888969145802653</c:v>
                </c:pt>
              </c:numCache>
            </c:numRef>
          </c:val>
          <c:smooth val="0"/>
        </c:ser>
        <c:ser>
          <c:idx val="24"/>
          <c:order val="20"/>
          <c:tx>
            <c:strRef>
              <c:f>'Kerosene (Adjusted)'!$AM$6</c:f>
              <c:strCache>
                <c:ptCount val="1"/>
                <c:pt idx="0">
                  <c:v>Bahrain, Kerosene,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(Adjusted)'!$AM$7:$AM$107</c:f>
              <c:numCache>
                <c:formatCode>0.0000</c:formatCode>
                <c:ptCount val="66"/>
                <c:pt idx="36">
                  <c:v>4.7061538461538381</c:v>
                </c:pt>
                <c:pt idx="37">
                  <c:v>4.6760784313725541</c:v>
                </c:pt>
                <c:pt idx="39">
                  <c:v>5.3346405228758105</c:v>
                </c:pt>
                <c:pt idx="40">
                  <c:v>6.3338461538461557</c:v>
                </c:pt>
                <c:pt idx="41">
                  <c:v>5.1253333333333382</c:v>
                </c:pt>
                <c:pt idx="42">
                  <c:v>5.3341253341253276</c:v>
                </c:pt>
                <c:pt idx="43">
                  <c:v>6.0005800464037202</c:v>
                </c:pt>
                <c:pt idx="44">
                  <c:v>5.7783826137160261</c:v>
                </c:pt>
                <c:pt idx="45">
                  <c:v>5.3205378627034614</c:v>
                </c:pt>
                <c:pt idx="46">
                  <c:v>5.3333333333333277</c:v>
                </c:pt>
                <c:pt idx="47">
                  <c:v>5.3333333333333277</c:v>
                </c:pt>
                <c:pt idx="50">
                  <c:v>5.3522408963585519</c:v>
                </c:pt>
                <c:pt idx="51">
                  <c:v>5.2506818181818096</c:v>
                </c:pt>
                <c:pt idx="52">
                  <c:v>5.6598113207547183</c:v>
                </c:pt>
                <c:pt idx="53">
                  <c:v>5.9999999999999938</c:v>
                </c:pt>
              </c:numCache>
            </c:numRef>
          </c:val>
          <c:smooth val="0"/>
        </c:ser>
        <c:ser>
          <c:idx val="25"/>
          <c:order val="21"/>
          <c:tx>
            <c:strRef>
              <c:f>'Kerosene (Adjusted)'!$AN$6</c:f>
              <c:strCache>
                <c:ptCount val="1"/>
                <c:pt idx="0">
                  <c:v>Bahrain, Kerosene, Exports,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(Adjusted)'!$AN$7:$AN$107</c:f>
              <c:numCache>
                <c:formatCode>0.0000</c:formatCode>
                <c:ptCount val="66"/>
                <c:pt idx="38">
                  <c:v>4.3725714285714297</c:v>
                </c:pt>
                <c:pt idx="39">
                  <c:v>5.3864695484492939</c:v>
                </c:pt>
                <c:pt idx="40">
                  <c:v>6.9975062344139571</c:v>
                </c:pt>
                <c:pt idx="41">
                  <c:v>4.6494845360824675</c:v>
                </c:pt>
                <c:pt idx="42">
                  <c:v>4.6666666666666625</c:v>
                </c:pt>
                <c:pt idx="43">
                  <c:v>6.001214820813936</c:v>
                </c:pt>
                <c:pt idx="44">
                  <c:v>5.9982920580700263</c:v>
                </c:pt>
                <c:pt idx="45">
                  <c:v>6.16439187139824</c:v>
                </c:pt>
                <c:pt idx="46">
                  <c:v>5.6668968692449386</c:v>
                </c:pt>
                <c:pt idx="47">
                  <c:v>5.3333333333333277</c:v>
                </c:pt>
                <c:pt idx="48">
                  <c:v>5.3333333333333277</c:v>
                </c:pt>
                <c:pt idx="49">
                  <c:v>5.3333333333333277</c:v>
                </c:pt>
                <c:pt idx="50">
                  <c:v>5.3308752183194219</c:v>
                </c:pt>
                <c:pt idx="51">
                  <c:v>6.0002862595419781</c:v>
                </c:pt>
                <c:pt idx="52">
                  <c:v>5.9999999999999938</c:v>
                </c:pt>
                <c:pt idx="53">
                  <c:v>6.7506382978723449</c:v>
                </c:pt>
              </c:numCache>
            </c:numRef>
          </c:val>
          <c:smooth val="0"/>
        </c:ser>
        <c:ser>
          <c:idx val="26"/>
          <c:order val="22"/>
          <c:tx>
            <c:strRef>
              <c:f>'Kerosene (Adjusted)'!$AO$6</c:f>
              <c:strCache>
                <c:ptCount val="1"/>
                <c:pt idx="0">
                  <c:v>Muscat, Kerosene / Oil, of all kinds, Imports, in s/case</c:v>
                </c:pt>
              </c:strCache>
            </c:strRef>
          </c:tx>
          <c:spPr>
            <a:ln w="158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(Adjusted)'!$AO$7:$AO$107</c:f>
              <c:numCache>
                <c:formatCode>0.0000</c:formatCode>
                <c:ptCount val="66"/>
                <c:pt idx="14">
                  <c:v>11.85253378378378</c:v>
                </c:pt>
                <c:pt idx="15">
                  <c:v>11.56034913530895</c:v>
                </c:pt>
                <c:pt idx="16">
                  <c:v>14.295874974653106</c:v>
                </c:pt>
                <c:pt idx="17">
                  <c:v>14.854836910865851</c:v>
                </c:pt>
                <c:pt idx="18">
                  <c:v>9.7125410817131037</c:v>
                </c:pt>
                <c:pt idx="19">
                  <c:v>7.01145435721401</c:v>
                </c:pt>
                <c:pt idx="20">
                  <c:v>7.157988750914801</c:v>
                </c:pt>
                <c:pt idx="21">
                  <c:v>8.1946360584861484</c:v>
                </c:pt>
                <c:pt idx="22">
                  <c:v>6.4611745940956684</c:v>
                </c:pt>
                <c:pt idx="23">
                  <c:v>4.9424381019037442</c:v>
                </c:pt>
                <c:pt idx="24">
                  <c:v>4.1765217399639001</c:v>
                </c:pt>
                <c:pt idx="25">
                  <c:v>8.4787294397724366</c:v>
                </c:pt>
                <c:pt idx="26">
                  <c:v>8.6464424507908326</c:v>
                </c:pt>
                <c:pt idx="27">
                  <c:v>5.4498788780742178</c:v>
                </c:pt>
                <c:pt idx="28">
                  <c:v>5.8098164885142305</c:v>
                </c:pt>
                <c:pt idx="29">
                  <c:v>5.8022052816571925</c:v>
                </c:pt>
                <c:pt idx="30">
                  <c:v>5.9312072120351944</c:v>
                </c:pt>
                <c:pt idx="31">
                  <c:v>5.3429562349729203</c:v>
                </c:pt>
                <c:pt idx="32">
                  <c:v>4.6681790794009377</c:v>
                </c:pt>
                <c:pt idx="33">
                  <c:v>4.041989986062978</c:v>
                </c:pt>
                <c:pt idx="34">
                  <c:v>11.76360802120449</c:v>
                </c:pt>
                <c:pt idx="35">
                  <c:v>12.119311071521677</c:v>
                </c:pt>
                <c:pt idx="36">
                  <c:v>12.525828843312773</c:v>
                </c:pt>
                <c:pt idx="37">
                  <c:v>13.445575301990088</c:v>
                </c:pt>
                <c:pt idx="38">
                  <c:v>13.68821559702789</c:v>
                </c:pt>
                <c:pt idx="39">
                  <c:v>10.547644876370153</c:v>
                </c:pt>
                <c:pt idx="40">
                  <c:v>8.6321508103762916</c:v>
                </c:pt>
                <c:pt idx="41">
                  <c:v>16.864626895209128</c:v>
                </c:pt>
                <c:pt idx="42">
                  <c:v>18.332544509769058</c:v>
                </c:pt>
                <c:pt idx="43">
                  <c:v>15.716640004471783</c:v>
                </c:pt>
                <c:pt idx="44">
                  <c:v>16.101914867037451</c:v>
                </c:pt>
                <c:pt idx="45">
                  <c:v>10.446428571428575</c:v>
                </c:pt>
                <c:pt idx="46">
                  <c:v>8.2225000000000072</c:v>
                </c:pt>
                <c:pt idx="47">
                  <c:v>8.3035443037974659</c:v>
                </c:pt>
                <c:pt idx="48">
                  <c:v>14.472770511296069</c:v>
                </c:pt>
                <c:pt idx="49">
                  <c:v>14.864977000090187</c:v>
                </c:pt>
                <c:pt idx="50">
                  <c:v>6.1868041237113482</c:v>
                </c:pt>
                <c:pt idx="51">
                  <c:v>5.0630992378923239</c:v>
                </c:pt>
              </c:numCache>
            </c:numRef>
          </c:val>
          <c:smooth val="0"/>
        </c:ser>
        <c:ser>
          <c:idx val="27"/>
          <c:order val="23"/>
          <c:tx>
            <c:strRef>
              <c:f>'Kerosene (Adjusted)'!$AP$6</c:f>
              <c:strCache>
                <c:ptCount val="1"/>
                <c:pt idx="0">
                  <c:v>Muscat, Kerosene, Exports, in s/case</c:v>
                </c:pt>
              </c:strCache>
            </c:strRef>
          </c:tx>
          <c:spPr>
            <a:ln w="158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(Adjusted)'!$AP$7:$AP$107</c:f>
              <c:numCache>
                <c:formatCode>0.0000</c:formatCode>
                <c:ptCount val="66"/>
                <c:pt idx="15">
                  <c:v>11.56034913530895</c:v>
                </c:pt>
                <c:pt idx="19">
                  <c:v>6.944678601431022</c:v>
                </c:pt>
                <c:pt idx="20">
                  <c:v>7.080184525361382</c:v>
                </c:pt>
                <c:pt idx="21">
                  <c:v>8.7549530539381735</c:v>
                </c:pt>
                <c:pt idx="22">
                  <c:v>6.1210566575417875</c:v>
                </c:pt>
                <c:pt idx="23">
                  <c:v>5.3909475935103721</c:v>
                </c:pt>
                <c:pt idx="24">
                  <c:v>4.1159924393847298</c:v>
                </c:pt>
                <c:pt idx="25">
                  <c:v>5.4837553590568078</c:v>
                </c:pt>
                <c:pt idx="26">
                  <c:v>5.0635375398095217</c:v>
                </c:pt>
                <c:pt idx="27">
                  <c:v>5.2984933536832557</c:v>
                </c:pt>
                <c:pt idx="28">
                  <c:v>5.8098164885142305</c:v>
                </c:pt>
                <c:pt idx="29">
                  <c:v>5.784409127777292</c:v>
                </c:pt>
                <c:pt idx="30">
                  <c:v>6.4704078676747443</c:v>
                </c:pt>
                <c:pt idx="31">
                  <c:v>6.1062356971119067</c:v>
                </c:pt>
                <c:pt idx="32">
                  <c:v>5.049712946467368</c:v>
                </c:pt>
                <c:pt idx="33">
                  <c:v>4.0538855575833121</c:v>
                </c:pt>
                <c:pt idx="34">
                  <c:v>3.5944357842569339</c:v>
                </c:pt>
              </c:numCache>
            </c:numRef>
          </c:val>
          <c:smooth val="0"/>
        </c:ser>
        <c:ser>
          <c:idx val="30"/>
          <c:order val="26"/>
          <c:tx>
            <c:strRef>
              <c:f>'Kerosene (Adjusted)'!$AT$6</c:f>
              <c:strCache>
                <c:ptCount val="1"/>
                <c:pt idx="0">
                  <c:v>Shiraz, Kerosene, Imports, in s/case</c:v>
                </c:pt>
              </c:strCache>
            </c:strRef>
          </c:tx>
          <c:spPr>
            <a:ln w="158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(Adjusted)'!$AT$7:$AT$107</c:f>
              <c:numCache>
                <c:formatCode>General</c:formatCode>
                <c:ptCount val="66"/>
                <c:pt idx="27" formatCode="0.0000">
                  <c:v>10.674856674856674</c:v>
                </c:pt>
                <c:pt idx="28" formatCode="0.0000">
                  <c:v>10.068796068796061</c:v>
                </c:pt>
                <c:pt idx="29" formatCode="0.0000">
                  <c:v>9.3857493857493779</c:v>
                </c:pt>
                <c:pt idx="30" formatCode="0.0000">
                  <c:v>14.171990171990167</c:v>
                </c:pt>
                <c:pt idx="31" formatCode="0.0000">
                  <c:v>7.8132678132678119</c:v>
                </c:pt>
                <c:pt idx="32" formatCode="0.0000">
                  <c:v>16.69282185444872</c:v>
                </c:pt>
                <c:pt idx="33" formatCode="0.0000">
                  <c:v>10.990000000000007</c:v>
                </c:pt>
                <c:pt idx="34" formatCode="0.0000">
                  <c:v>11.109999999999996</c:v>
                </c:pt>
                <c:pt idx="35" formatCode="0.0000">
                  <c:v>11.113333333333326</c:v>
                </c:pt>
                <c:pt idx="36" formatCode="0.0000">
                  <c:v>10.98</c:v>
                </c:pt>
                <c:pt idx="37" formatCode="0.0000">
                  <c:v>10.400463588588588</c:v>
                </c:pt>
                <c:pt idx="38" formatCode="0.0000">
                  <c:v>9.406477288831752</c:v>
                </c:pt>
                <c:pt idx="39" formatCode="0.0000">
                  <c:v>9.7938744040604337</c:v>
                </c:pt>
                <c:pt idx="40" formatCode="0.0000">
                  <c:v>10.953423217264627</c:v>
                </c:pt>
                <c:pt idx="41" formatCode="0.0000">
                  <c:v>10.536170212765962</c:v>
                </c:pt>
              </c:numCache>
            </c:numRef>
          </c:val>
          <c:smooth val="0"/>
        </c:ser>
        <c:ser>
          <c:idx val="31"/>
          <c:order val="27"/>
          <c:tx>
            <c:strRef>
              <c:f>'Kerosene (Adjusted)'!$AU$6</c:f>
              <c:strCache>
                <c:ptCount val="1"/>
                <c:pt idx="0">
                  <c:v>Calcutta, Kerosene, Imports, in s/case</c:v>
                </c:pt>
              </c:strCache>
            </c:strRef>
          </c:tx>
          <c:spPr>
            <a:ln w="158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cat>
            <c:numRef>
              <c:f>'Kerosene (Adjusted)'!$A$7:$A$107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cat>
          <c:val>
            <c:numRef>
              <c:f>'Kerosene (Adjusted)'!$AU$7:$AU$107</c:f>
              <c:numCache>
                <c:formatCode>General</c:formatCode>
                <c:ptCount val="66"/>
                <c:pt idx="28" formatCode="_(* #,##0.0000_);_(* \(#,##0.0000\);_(* &quot;-&quot;??_);_(@_)">
                  <c:v>11.7734375</c:v>
                </c:pt>
                <c:pt idx="29" formatCode="_(* #,##0.0000_);_(* \(#,##0.0000\);_(* &quot;-&quot;??_);_(@_)">
                  <c:v>4.984375</c:v>
                </c:pt>
                <c:pt idx="30" formatCode="_(* #,##0.0000_);_(* \(#,##0.0000\);_(* &quot;-&quot;??_);_(@_)">
                  <c:v>4.828125</c:v>
                </c:pt>
                <c:pt idx="31" formatCode="_(* #,##0.0000_);_(* \(#,##0.0000\);_(* &quot;-&quot;??_);_(@_)">
                  <c:v>4.405598958333333</c:v>
                </c:pt>
                <c:pt idx="32" formatCode="_(* #,##0.0000_);_(* \(#,##0.0000\);_(* &quot;-&quot;??_);_(@_)">
                  <c:v>3.984375</c:v>
                </c:pt>
                <c:pt idx="33" formatCode="_(* #,##0.0000_);_(* \(#,##0.0000\);_(* &quot;-&quot;??_);_(@_)">
                  <c:v>3.171875</c:v>
                </c:pt>
                <c:pt idx="34" formatCode="_(* #,##0.0000_);_(* \(#,##0.0000\);_(* &quot;-&quot;??_);_(@_)">
                  <c:v>3.013020833333333</c:v>
                </c:pt>
                <c:pt idx="35" formatCode="_(* #,##0.0000_);_(* \(#,##0.0000\);_(* &quot;-&quot;??_);_(@_)">
                  <c:v>3.3046875</c:v>
                </c:pt>
                <c:pt idx="36" formatCode="_(* #,##0.0000_);_(* \(#,##0.0000\);_(* &quot;-&quot;??_);_(@_)">
                  <c:v>5.4375</c:v>
                </c:pt>
                <c:pt idx="37" formatCode="_(* #,##0.0000_);_(* \(#,##0.0000\);_(* &quot;-&quot;??_);_(@_)">
                  <c:v>5.0859375</c:v>
                </c:pt>
                <c:pt idx="38" formatCode="_(* #,##0.0000_);_(* \(#,##0.0000\);_(* &quot;-&quot;??_);_(@_)">
                  <c:v>4.333333333333333</c:v>
                </c:pt>
                <c:pt idx="39" formatCode="_(* #,##0.0000_);_(* \(#,##0.0000\);_(* &quot;-&quot;??_);_(@_)">
                  <c:v>4.7916666666666661</c:v>
                </c:pt>
                <c:pt idx="40" formatCode="_(* #,##0.0000_);_(* \(#,##0.0000\);_(* &quot;-&quot;??_);_(@_)">
                  <c:v>6.2291666666666661</c:v>
                </c:pt>
                <c:pt idx="41" formatCode="_(* #,##0.0000_);_(* \(#,##0.0000\);_(* &quot;-&quot;??_);_(@_)">
                  <c:v>5.833333333333333</c:v>
                </c:pt>
                <c:pt idx="42" formatCode="_(* #,##0.0000_);_(* \(#,##0.0000\);_(* &quot;-&quot;??_);_(@_)">
                  <c:v>4.833333333333333</c:v>
                </c:pt>
                <c:pt idx="43" formatCode="_(* #,##0.0000_);_(* \(#,##0.0000\);_(* &quot;-&quot;??_);_(@_)">
                  <c:v>5.333333333333333</c:v>
                </c:pt>
                <c:pt idx="44" formatCode="_(* #,##0.0000_);_(* \(#,##0.0000\);_(* &quot;-&quot;??_);_(@_)">
                  <c:v>5.333333333333333</c:v>
                </c:pt>
                <c:pt idx="45" formatCode="_(* #,##0.0000_);_(* \(#,##0.0000\);_(* &quot;-&quot;??_);_(@_)">
                  <c:v>5.333333333333333</c:v>
                </c:pt>
                <c:pt idx="46" formatCode="_(* #,##0.0000_);_(* \(#,##0.0000\);_(* &quot;-&quot;??_);_(@_)">
                  <c:v>5.833333333333333</c:v>
                </c:pt>
                <c:pt idx="47" formatCode="_(* #,##0.0000_);_(* \(#,##0.0000\);_(* &quot;-&quot;??_);_(@_)">
                  <c:v>5.875</c:v>
                </c:pt>
                <c:pt idx="48" formatCode="_(* #,##0.0000_);_(* \(#,##0.0000\);_(* &quot;-&quot;??_);_(@_)">
                  <c:v>6.0416666666666661</c:v>
                </c:pt>
                <c:pt idx="49" formatCode="_(* #,##0.0000_);_(* \(#,##0.0000\);_(* &quot;-&quot;??_);_(@_)">
                  <c:v>6.208333333333333</c:v>
                </c:pt>
                <c:pt idx="50" formatCode="_(* #,##0.0000_);_(* \(#,##0.0000\);_(* &quot;-&quot;??_);_(@_)">
                  <c:v>6.333333333333333</c:v>
                </c:pt>
                <c:pt idx="51" formatCode="_(* #,##0.0000_);_(* \(#,##0.0000\);_(* &quot;-&quot;??_);_(@_)">
                  <c:v>6.4166666666666661</c:v>
                </c:pt>
                <c:pt idx="52" formatCode="_(* #,##0.0000_);_(* \(#,##0.0000\);_(* &quot;-&quot;??_);_(@_)">
                  <c:v>6.333333333333333</c:v>
                </c:pt>
                <c:pt idx="53" formatCode="_(* #,##0.0000_);_(* \(#,##0.0000\);_(* &quot;-&quot;??_);_(@_)">
                  <c:v>6.333333333333333</c:v>
                </c:pt>
                <c:pt idx="54" formatCode="_(* #,##0.0000_);_(* \(#,##0.0000\);_(* &quot;-&quot;??_);_(@_)">
                  <c:v>6.6666666666666661</c:v>
                </c:pt>
                <c:pt idx="55" formatCode="_(* #,##0.0000_);_(* \(#,##0.0000\);_(* &quot;-&quot;??_);_(@_)">
                  <c:v>6.6666666666666661</c:v>
                </c:pt>
                <c:pt idx="56" formatCode="_(* #,##0.0000_);_(* \(#,##0.0000\);_(* &quot;-&quot;??_);_(@_)">
                  <c:v>6.6666666666666661</c:v>
                </c:pt>
                <c:pt idx="57" formatCode="_(* #,##0.0000_);_(* \(#,##0.0000\);_(* &quot;-&quot;??_);_(@_)">
                  <c:v>8.75</c:v>
                </c:pt>
                <c:pt idx="58" formatCode="_(* #,##0.0000_);_(* \(#,##0.0000\);_(* &quot;-&quot;??_);_(@_)">
                  <c:v>10.5</c:v>
                </c:pt>
                <c:pt idx="59" formatCode="_(* #,##0.0000_);_(* \(#,##0.0000\);_(* &quot;-&quot;??_);_(@_)">
                  <c:v>14.166666666666666</c:v>
                </c:pt>
                <c:pt idx="60" formatCode="_(* #,##0.0000_);_(* \(#,##0.0000\);_(* &quot;-&quot;??_);_(@_)">
                  <c:v>14.333333333333332</c:v>
                </c:pt>
                <c:pt idx="61" formatCode="_(* #,##0.0000_);_(* \(#,##0.0000\);_(* &quot;-&quot;??_);_(@_)">
                  <c:v>14.333333333333332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734896"/>
        <c:axId val="704735456"/>
        <c:extLst>
          <c:ext xmlns:c15="http://schemas.microsoft.com/office/drawing/2012/chart" uri="{02D57815-91ED-43cb-92C2-25804820EDAC}">
            <c15:filteredLineSeries>
              <c15:ser>
                <c:idx val="9"/>
                <c:order val="7"/>
                <c:tx>
                  <c:strRef>
                    <c:extLst>
                      <c:ext uri="{02D57815-91ED-43cb-92C2-25804820EDAC}">
                        <c15:formulaRef>
                          <c15:sqref>'Kerosene (Adjusted)'!$X$6</c15:sqref>
                        </c15:formulaRef>
                      </c:ext>
                    </c:extLst>
                    <c:strCache>
                      <c:ptCount val="1"/>
                      <c:pt idx="0">
                        <c:v>Kermanshah, Kerosene, Imports,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'Kerosene (Adjusted)'!$X$7:$X$107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44">
                        <c:v>11.448106349096445</c:v>
                      </c:pt>
                      <c:pt idx="45">
                        <c:v>7.3475634289145804</c:v>
                      </c:pt>
                      <c:pt idx="50">
                        <c:v>11.810357142857145</c:v>
                      </c:pt>
                      <c:pt idx="51">
                        <c:v>13.139022321428573</c:v>
                      </c:pt>
                      <c:pt idx="52">
                        <c:v>12.323850931677077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0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(Adjusted)'!$Y$6</c15:sqref>
                        </c15:formulaRef>
                      </c:ext>
                    </c:extLst>
                    <c:strCache>
                      <c:ptCount val="1"/>
                      <c:pt idx="0">
                        <c:v>Kermanshah, Naphtha Oil, Imports,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(Adjusted)'!$Y$7:$Y$107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40">
                        <c:v>7.8269822485207081</c:v>
                      </c:pt>
                      <c:pt idx="43">
                        <c:v>7.0071255070366361</c:v>
                      </c:pt>
                      <c:pt idx="44">
                        <c:v>6.7524686710429327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4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(Adjusted)'!$AC$6</c15:sqref>
                        </c15:formulaRef>
                      </c:ext>
                    </c:extLst>
                    <c:strCache>
                      <c:ptCount val="1"/>
                      <c:pt idx="0">
                        <c:v>Bam, Kerosene, Imports,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(Adjusted)'!$AC$7:$AC$107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52">
                        <c:v>23.454790970469826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7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(Adjusted)'!$AF$6</c15:sqref>
                        </c15:formulaRef>
                      </c:ext>
                    </c:extLst>
                    <c:strCache>
                      <c:ptCount val="1"/>
                      <c:pt idx="0">
                        <c:v>Bender Gez &amp; Astarabad and Ghilan &amp; Tunekabun, Naphtha Oil, Imports,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(Adjusted)'!$AF$7:$AF$107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46">
                        <c:v>1.6332166262269099</c:v>
                      </c:pt>
                      <c:pt idx="47">
                        <c:v>1.4547527416271371</c:v>
                      </c:pt>
                      <c:pt idx="48">
                        <c:v>1.5694862725207874</c:v>
                      </c:pt>
                      <c:pt idx="49">
                        <c:v>1.6822282287071169</c:v>
                      </c:pt>
                      <c:pt idx="50">
                        <c:v>1.4921791640387254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8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(Adjusted)'!$AG$6</c15:sqref>
                        </c15:formulaRef>
                      </c:ext>
                    </c:extLst>
                    <c:strCache>
                      <c:ptCount val="1"/>
                      <c:pt idx="0">
                        <c:v>Bender Gez &amp; Astarabad, Petroleum, Imports,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(Adjusted)'!$AG$7:$AG$107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31" formatCode="_(* #,##0.0000_);_(* \(#,##0.0000\);_(* &quot;-&quot;??_);_(@_)">
                        <c:v>8.9874193333333281</c:v>
                      </c:pt>
                      <c:pt idx="32" formatCode="_(* #,##0.0000_);_(* \(#,##0.0000\);_(* &quot;-&quot;??_);_(@_)">
                        <c:v>9.6663230769230815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9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(Adjusted)'!$AH$6</c15:sqref>
                        </c15:formulaRef>
                      </c:ext>
                    </c:extLst>
                    <c:strCache>
                      <c:ptCount val="1"/>
                      <c:pt idx="0">
                        <c:v>Bender Gez &amp; Astarabad, Naphtha Oil, Exports,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(Adjusted)'!$AH$7:$AH$107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46">
                        <c:v>4.5747628458498104</c:v>
                      </c:pt>
                      <c:pt idx="47">
                        <c:v>3.621258600194512</c:v>
                      </c:pt>
                      <c:pt idx="48">
                        <c:v>3.7774255729278279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8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(Adjusted)'!$AR$6</c15:sqref>
                        </c15:formulaRef>
                      </c:ext>
                    </c:extLst>
                    <c:strCache>
                      <c:ptCount val="1"/>
                      <c:pt idx="0">
                        <c:v>Lingah, Kerosene, Imports,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5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5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(Adjusted)'!$AR$7:$AR$107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27">
                        <c:v>7.3080960523744345</c:v>
                      </c:pt>
                      <c:pt idx="29">
                        <c:v>6.4602956613016156</c:v>
                      </c:pt>
                      <c:pt idx="30">
                        <c:v>7.2679120879120838</c:v>
                      </c:pt>
                      <c:pt idx="31">
                        <c:v>5.2638505254495964</c:v>
                      </c:pt>
                      <c:pt idx="32">
                        <c:v>7.8420771428571445</c:v>
                      </c:pt>
                      <c:pt idx="33">
                        <c:v>7.1998611185983847</c:v>
                      </c:pt>
                      <c:pt idx="34">
                        <c:v>6.6782201298701249</c:v>
                      </c:pt>
                      <c:pt idx="35">
                        <c:v>7.0168926242236065</c:v>
                      </c:pt>
                      <c:pt idx="36">
                        <c:v>4.8632426190476226</c:v>
                      </c:pt>
                      <c:pt idx="37">
                        <c:v>4.4288839285714294</c:v>
                      </c:pt>
                      <c:pt idx="38">
                        <c:v>2.9531141904761857</c:v>
                      </c:pt>
                      <c:pt idx="39">
                        <c:v>3.1497785468226609</c:v>
                      </c:pt>
                      <c:pt idx="40">
                        <c:v>3.9374887117346926</c:v>
                      </c:pt>
                      <c:pt idx="41">
                        <c:v>4.3315548080728128</c:v>
                      </c:pt>
                      <c:pt idx="46">
                        <c:v>8.4055694980695019</c:v>
                      </c:pt>
                      <c:pt idx="47">
                        <c:v>5.4175591593579409</c:v>
                      </c:pt>
                      <c:pt idx="48">
                        <c:v>3.4296382176686699</c:v>
                      </c:pt>
                      <c:pt idx="49">
                        <c:v>5.2835481423613784</c:v>
                      </c:pt>
                      <c:pt idx="50">
                        <c:v>5.4196705858135772</c:v>
                      </c:pt>
                      <c:pt idx="51">
                        <c:v>4.7626574439678437</c:v>
                      </c:pt>
                      <c:pt idx="52">
                        <c:v>5.2566698346230236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9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(Adjusted)'!$AS$6</c15:sqref>
                        </c15:formulaRef>
                      </c:ext>
                    </c:extLst>
                    <c:strCache>
                      <c:ptCount val="1"/>
                      <c:pt idx="0">
                        <c:v>Lingah, Kerosene, Exports, in s/case</c:v>
                      </c:pt>
                    </c:strCache>
                  </c:strRef>
                </c:tx>
                <c:spPr>
                  <a:ln w="15875" cap="rnd">
                    <a:solidFill>
                      <a:schemeClr val="accent6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3"/>
                  <c:spPr>
                    <a:solidFill>
                      <a:schemeClr val="accent6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6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(Adjusted)'!$A$7:$A$107</c15:sqref>
                        </c15:formulaRef>
                      </c:ext>
                    </c:extLst>
                    <c:numCache>
                      <c:formatCode>General</c:formatCode>
                      <c:ptCount val="66"/>
                      <c:pt idx="0">
                        <c:v>1860</c:v>
                      </c:pt>
                      <c:pt idx="1">
                        <c:v>1861</c:v>
                      </c:pt>
                      <c:pt idx="2">
                        <c:v>1862</c:v>
                      </c:pt>
                      <c:pt idx="3">
                        <c:v>1863</c:v>
                      </c:pt>
                      <c:pt idx="4">
                        <c:v>1864</c:v>
                      </c:pt>
                      <c:pt idx="5">
                        <c:v>1865</c:v>
                      </c:pt>
                      <c:pt idx="6">
                        <c:v>1866</c:v>
                      </c:pt>
                      <c:pt idx="7">
                        <c:v>1867</c:v>
                      </c:pt>
                      <c:pt idx="8">
                        <c:v>1868</c:v>
                      </c:pt>
                      <c:pt idx="9">
                        <c:v>1869</c:v>
                      </c:pt>
                      <c:pt idx="10">
                        <c:v>1870</c:v>
                      </c:pt>
                      <c:pt idx="11">
                        <c:v>1871</c:v>
                      </c:pt>
                      <c:pt idx="12">
                        <c:v>1872</c:v>
                      </c:pt>
                      <c:pt idx="13">
                        <c:v>1873</c:v>
                      </c:pt>
                      <c:pt idx="14">
                        <c:v>1874</c:v>
                      </c:pt>
                      <c:pt idx="15">
                        <c:v>1875</c:v>
                      </c:pt>
                      <c:pt idx="16">
                        <c:v>1876</c:v>
                      </c:pt>
                      <c:pt idx="17">
                        <c:v>1877</c:v>
                      </c:pt>
                      <c:pt idx="18">
                        <c:v>1878</c:v>
                      </c:pt>
                      <c:pt idx="19">
                        <c:v>1879</c:v>
                      </c:pt>
                      <c:pt idx="20">
                        <c:v>1880</c:v>
                      </c:pt>
                      <c:pt idx="21">
                        <c:v>1881</c:v>
                      </c:pt>
                      <c:pt idx="22">
                        <c:v>1882</c:v>
                      </c:pt>
                      <c:pt idx="23">
                        <c:v>1883</c:v>
                      </c:pt>
                      <c:pt idx="24">
                        <c:v>1884</c:v>
                      </c:pt>
                      <c:pt idx="25">
                        <c:v>1885</c:v>
                      </c:pt>
                      <c:pt idx="26">
                        <c:v>1886</c:v>
                      </c:pt>
                      <c:pt idx="27">
                        <c:v>1887</c:v>
                      </c:pt>
                      <c:pt idx="28">
                        <c:v>1888</c:v>
                      </c:pt>
                      <c:pt idx="29">
                        <c:v>1889</c:v>
                      </c:pt>
                      <c:pt idx="30">
                        <c:v>1890</c:v>
                      </c:pt>
                      <c:pt idx="31">
                        <c:v>1891</c:v>
                      </c:pt>
                      <c:pt idx="32">
                        <c:v>1892</c:v>
                      </c:pt>
                      <c:pt idx="33">
                        <c:v>1893</c:v>
                      </c:pt>
                      <c:pt idx="34">
                        <c:v>1894</c:v>
                      </c:pt>
                      <c:pt idx="35">
                        <c:v>1895</c:v>
                      </c:pt>
                      <c:pt idx="36">
                        <c:v>1896</c:v>
                      </c:pt>
                      <c:pt idx="37">
                        <c:v>1897</c:v>
                      </c:pt>
                      <c:pt idx="38">
                        <c:v>1898</c:v>
                      </c:pt>
                      <c:pt idx="39">
                        <c:v>1899</c:v>
                      </c:pt>
                      <c:pt idx="40">
                        <c:v>1900</c:v>
                      </c:pt>
                      <c:pt idx="41">
                        <c:v>1901</c:v>
                      </c:pt>
                      <c:pt idx="42">
                        <c:v>1902</c:v>
                      </c:pt>
                      <c:pt idx="43">
                        <c:v>1903</c:v>
                      </c:pt>
                      <c:pt idx="44">
                        <c:v>1904</c:v>
                      </c:pt>
                      <c:pt idx="45">
                        <c:v>1905</c:v>
                      </c:pt>
                      <c:pt idx="46">
                        <c:v>1906</c:v>
                      </c:pt>
                      <c:pt idx="47">
                        <c:v>1907</c:v>
                      </c:pt>
                      <c:pt idx="48">
                        <c:v>1908</c:v>
                      </c:pt>
                      <c:pt idx="49">
                        <c:v>1909</c:v>
                      </c:pt>
                      <c:pt idx="50">
                        <c:v>1910</c:v>
                      </c:pt>
                      <c:pt idx="51">
                        <c:v>1911</c:v>
                      </c:pt>
                      <c:pt idx="52">
                        <c:v>1912</c:v>
                      </c:pt>
                      <c:pt idx="53">
                        <c:v>1913</c:v>
                      </c:pt>
                      <c:pt idx="54">
                        <c:v>1914</c:v>
                      </c:pt>
                      <c:pt idx="55">
                        <c:v>1915</c:v>
                      </c:pt>
                      <c:pt idx="56">
                        <c:v>1916</c:v>
                      </c:pt>
                      <c:pt idx="57">
                        <c:v>1917</c:v>
                      </c:pt>
                      <c:pt idx="58">
                        <c:v>1918</c:v>
                      </c:pt>
                      <c:pt idx="59">
                        <c:v>1919</c:v>
                      </c:pt>
                      <c:pt idx="60">
                        <c:v>1920</c:v>
                      </c:pt>
                      <c:pt idx="61">
                        <c:v>1921</c:v>
                      </c:pt>
                      <c:pt idx="62">
                        <c:v>1922</c:v>
                      </c:pt>
                      <c:pt idx="63">
                        <c:v>1923</c:v>
                      </c:pt>
                      <c:pt idx="64">
                        <c:v>1924</c:v>
                      </c:pt>
                      <c:pt idx="65">
                        <c:v>1925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'Kerosene (Adjusted)'!$AS$7:$AS$107</c15:sqref>
                        </c15:formulaRef>
                      </c:ext>
                    </c:extLst>
                    <c:numCache>
                      <c:formatCode>0.0000</c:formatCode>
                      <c:ptCount val="66"/>
                      <c:pt idx="27">
                        <c:v>7.3223552826339127</c:v>
                      </c:pt>
                      <c:pt idx="29">
                        <c:v>6.460527809523807</c:v>
                      </c:pt>
                      <c:pt idx="30">
                        <c:v>7.5098124285714336</c:v>
                      </c:pt>
                      <c:pt idx="31">
                        <c:v>7.4281858208955232</c:v>
                      </c:pt>
                      <c:pt idx="32">
                        <c:v>7.0400500232666321</c:v>
                      </c:pt>
                      <c:pt idx="33">
                        <c:v>7.1231216517857154</c:v>
                      </c:pt>
                      <c:pt idx="34">
                        <c:v>7.6740761405011773</c:v>
                      </c:pt>
                      <c:pt idx="35">
                        <c:v>7.0731561512811538</c:v>
                      </c:pt>
                      <c:pt idx="36">
                        <c:v>7.227938571428572</c:v>
                      </c:pt>
                      <c:pt idx="37">
                        <c:v>4.4351241061496891</c:v>
                      </c:pt>
                      <c:pt idx="38">
                        <c:v>2.9525892857142861</c:v>
                      </c:pt>
                      <c:pt idx="39">
                        <c:v>3.1462791428571437</c:v>
                      </c:pt>
                      <c:pt idx="40">
                        <c:v>4.3265274999999965</c:v>
                      </c:pt>
                      <c:pt idx="41">
                        <c:v>3.6397373376623361</c:v>
                      </c:pt>
                      <c:pt idx="47">
                        <c:v>15.292898351648297</c:v>
                      </c:pt>
                      <c:pt idx="49">
                        <c:v>5.3412008426966304</c:v>
                      </c:pt>
                      <c:pt idx="50">
                        <c:v>5.1104035281676641</c:v>
                      </c:pt>
                      <c:pt idx="51">
                        <c:v>4.4132934896135527</c:v>
                      </c:pt>
                      <c:pt idx="52">
                        <c:v>5.5847425249169493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70473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35456"/>
        <c:crosses val="autoZero"/>
        <c:auto val="1"/>
        <c:lblAlgn val="ctr"/>
        <c:lblOffset val="100"/>
        <c:noMultiLvlLbl val="0"/>
      </c:catAx>
      <c:valAx>
        <c:axId val="704735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73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37116132363054"/>
          <c:y val="8.6177602203317244E-2"/>
          <c:w val="0.28464830150889392"/>
          <c:h val="0.8394433799400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Petroleum,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(All)'!$I$7:$I$107</c:f>
              <c:numCache>
                <c:formatCode>0.0000</c:formatCode>
                <c:ptCount val="66"/>
                <c:pt idx="41">
                  <c:v>5.0010370299462403</c:v>
                </c:pt>
                <c:pt idx="42">
                  <c:v>4.5001907668828602</c:v>
                </c:pt>
                <c:pt idx="43">
                  <c:v>5.0004688232536401</c:v>
                </c:pt>
                <c:pt idx="44">
                  <c:v>5</c:v>
                </c:pt>
                <c:pt idx="45">
                  <c:v>5.4999913630788804</c:v>
                </c:pt>
                <c:pt idx="46">
                  <c:v>6.5</c:v>
                </c:pt>
                <c:pt idx="47">
                  <c:v>5.9998564284176004</c:v>
                </c:pt>
                <c:pt idx="48">
                  <c:v>5.9999188777313597</c:v>
                </c:pt>
                <c:pt idx="49">
                  <c:v>4.9999521425768396</c:v>
                </c:pt>
                <c:pt idx="50">
                  <c:v>5</c:v>
                </c:pt>
                <c:pt idx="51">
                  <c:v>5.4999001398042804</c:v>
                </c:pt>
                <c:pt idx="52">
                  <c:v>5.5</c:v>
                </c:pt>
                <c:pt idx="53">
                  <c:v>5.4999849700904804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(All)'!$I$7:$I$107</c:f>
              <c:numCache>
                <c:formatCode>0.0000</c:formatCode>
                <c:ptCount val="66"/>
                <c:pt idx="41">
                  <c:v>5.0010370299462403</c:v>
                </c:pt>
                <c:pt idx="42">
                  <c:v>4.5001907668828602</c:v>
                </c:pt>
                <c:pt idx="43">
                  <c:v>5.0004688232536401</c:v>
                </c:pt>
                <c:pt idx="44">
                  <c:v>5</c:v>
                </c:pt>
                <c:pt idx="45">
                  <c:v>5.4999913630788804</c:v>
                </c:pt>
                <c:pt idx="46">
                  <c:v>6.5</c:v>
                </c:pt>
                <c:pt idx="47">
                  <c:v>5.9998564284176004</c:v>
                </c:pt>
                <c:pt idx="48">
                  <c:v>5.9999188777313597</c:v>
                </c:pt>
                <c:pt idx="49">
                  <c:v>4.9999521425768396</c:v>
                </c:pt>
                <c:pt idx="50">
                  <c:v>5</c:v>
                </c:pt>
                <c:pt idx="51">
                  <c:v>5.4999001398042804</c:v>
                </c:pt>
                <c:pt idx="52">
                  <c:v>5.5</c:v>
                </c:pt>
                <c:pt idx="53">
                  <c:v>5.4999849700904804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37088"/>
        <c:axId val="605701248"/>
      </c:scatterChart>
      <c:valAx>
        <c:axId val="605737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01248"/>
        <c:crosses val="autoZero"/>
        <c:crossBetween val="midCat"/>
        <c:majorUnit val="5"/>
      </c:valAx>
      <c:valAx>
        <c:axId val="605701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37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Mosul, Petroleum,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(All)'!$L$7:$L$107</c:f>
              <c:numCache>
                <c:formatCode>0.0000</c:formatCode>
                <c:ptCount val="66"/>
                <c:pt idx="24">
                  <c:v>12.72727272727272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(All)'!$L$7:$L$107</c:f>
              <c:numCache>
                <c:formatCode>0.0000</c:formatCode>
                <c:ptCount val="66"/>
                <c:pt idx="24">
                  <c:v>12.72727272727272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32048"/>
        <c:axId val="605692848"/>
      </c:scatterChart>
      <c:valAx>
        <c:axId val="6057320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692848"/>
        <c:crosses val="autoZero"/>
        <c:crossBetween val="midCat"/>
        <c:majorUnit val="5"/>
      </c:valAx>
      <c:valAx>
        <c:axId val="605692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320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Exports, in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(All)'!$M$7:$M$107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(All)'!$M$7:$M$107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497792"/>
        <c:axId val="303512912"/>
      </c:scatterChart>
      <c:valAx>
        <c:axId val="30349779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512912"/>
        <c:crosses val="autoZero"/>
        <c:crossBetween val="midCat"/>
        <c:majorUnit val="5"/>
      </c:valAx>
      <c:valAx>
        <c:axId val="303512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4977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Mosul, Bazaar (Local), in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(All)'!$N$7:$N$107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(All)'!$N$7:$N$107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508432"/>
        <c:axId val="303492192"/>
      </c:scatterChart>
      <c:valAx>
        <c:axId val="3035084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492192"/>
        <c:crosses val="autoZero"/>
        <c:crossBetween val="midCat"/>
        <c:majorUnit val="5"/>
      </c:valAx>
      <c:valAx>
        <c:axId val="30349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5084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Petroleum,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(All)'!$V$7:$V$107</c:f>
              <c:numCache>
                <c:formatCode>0.0000</c:formatCode>
                <c:ptCount val="66"/>
                <c:pt idx="22">
                  <c:v>8.4</c:v>
                </c:pt>
                <c:pt idx="24">
                  <c:v>7.2003804692454034</c:v>
                </c:pt>
                <c:pt idx="25">
                  <c:v>6.8118987061815774</c:v>
                </c:pt>
                <c:pt idx="26">
                  <c:v>8.3312977789840321</c:v>
                </c:pt>
                <c:pt idx="27">
                  <c:v>8.7265423962844419</c:v>
                </c:pt>
                <c:pt idx="28">
                  <c:v>8.186700767263428</c:v>
                </c:pt>
                <c:pt idx="29">
                  <c:v>6.0427777777777782</c:v>
                </c:pt>
                <c:pt idx="30">
                  <c:v>6.4832558139534875</c:v>
                </c:pt>
                <c:pt idx="31">
                  <c:v>6.4747619047619045</c:v>
                </c:pt>
                <c:pt idx="32">
                  <c:v>5.7553333333333336</c:v>
                </c:pt>
                <c:pt idx="33">
                  <c:v>6.4285714285714288</c:v>
                </c:pt>
                <c:pt idx="34">
                  <c:v>5.5692307692307699</c:v>
                </c:pt>
                <c:pt idx="38">
                  <c:v>4.5714285714285712</c:v>
                </c:pt>
                <c:pt idx="41">
                  <c:v>4.7301333333333337</c:v>
                </c:pt>
                <c:pt idx="42">
                  <c:v>5.0081300813008136</c:v>
                </c:pt>
                <c:pt idx="43">
                  <c:v>6.0121584964154229</c:v>
                </c:pt>
                <c:pt idx="44">
                  <c:v>5.8271604938271606</c:v>
                </c:pt>
                <c:pt idx="46">
                  <c:v>6.1363636363636367</c:v>
                </c:pt>
                <c:pt idx="48">
                  <c:v>6</c:v>
                </c:pt>
                <c:pt idx="49">
                  <c:v>6.25</c:v>
                </c:pt>
                <c:pt idx="50">
                  <c:v>6.25</c:v>
                </c:pt>
                <c:pt idx="51">
                  <c:v>6.6666666666666661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(All)'!$V$7:$V$107</c:f>
              <c:numCache>
                <c:formatCode>0.0000</c:formatCode>
                <c:ptCount val="66"/>
                <c:pt idx="22">
                  <c:v>8.4</c:v>
                </c:pt>
                <c:pt idx="24">
                  <c:v>7.2003804692454034</c:v>
                </c:pt>
                <c:pt idx="25">
                  <c:v>6.8118987061815774</c:v>
                </c:pt>
                <c:pt idx="26">
                  <c:v>8.3312977789840321</c:v>
                </c:pt>
                <c:pt idx="27">
                  <c:v>8.7265423962844419</c:v>
                </c:pt>
                <c:pt idx="28">
                  <c:v>8.186700767263428</c:v>
                </c:pt>
                <c:pt idx="29">
                  <c:v>6.0427777777777782</c:v>
                </c:pt>
                <c:pt idx="30">
                  <c:v>6.4832558139534875</c:v>
                </c:pt>
                <c:pt idx="31">
                  <c:v>6.4747619047619045</c:v>
                </c:pt>
                <c:pt idx="32">
                  <c:v>5.7553333333333336</c:v>
                </c:pt>
                <c:pt idx="33">
                  <c:v>6.4285714285714288</c:v>
                </c:pt>
                <c:pt idx="34">
                  <c:v>5.5692307692307699</c:v>
                </c:pt>
                <c:pt idx="38">
                  <c:v>4.5714285714285712</c:v>
                </c:pt>
                <c:pt idx="41">
                  <c:v>4.7301333333333337</c:v>
                </c:pt>
                <c:pt idx="42">
                  <c:v>5.0081300813008136</c:v>
                </c:pt>
                <c:pt idx="43">
                  <c:v>6.0121584964154229</c:v>
                </c:pt>
                <c:pt idx="44">
                  <c:v>5.8271604938271606</c:v>
                </c:pt>
                <c:pt idx="46">
                  <c:v>6.1363636363636367</c:v>
                </c:pt>
                <c:pt idx="48">
                  <c:v>6</c:v>
                </c:pt>
                <c:pt idx="49">
                  <c:v>6.25</c:v>
                </c:pt>
                <c:pt idx="50">
                  <c:v>6.25</c:v>
                </c:pt>
                <c:pt idx="51">
                  <c:v>6.6666666666666661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510672"/>
        <c:axId val="303501152"/>
      </c:scatterChart>
      <c:valAx>
        <c:axId val="3035106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501152"/>
        <c:crosses val="autoZero"/>
        <c:crossBetween val="midCat"/>
        <c:majorUnit val="5"/>
      </c:valAx>
      <c:valAx>
        <c:axId val="303501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5106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Damascus, Exports,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(All)'!$W$7:$W$107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(All)'!$W$7:$W$107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488272"/>
        <c:axId val="303502832"/>
      </c:scatterChart>
      <c:valAx>
        <c:axId val="3034882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502832"/>
        <c:crosses val="autoZero"/>
        <c:crossBetween val="midCat"/>
        <c:majorUnit val="5"/>
      </c:valAx>
      <c:valAx>
        <c:axId val="30350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4882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Damascus,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(All)'!$X$7:$X$107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(All)'!$X$7:$X$107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502272"/>
        <c:axId val="303516832"/>
      </c:scatterChart>
      <c:valAx>
        <c:axId val="30350227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516832"/>
        <c:crosses val="autoZero"/>
        <c:crossBetween val="midCat"/>
        <c:majorUnit val="5"/>
      </c:valAx>
      <c:valAx>
        <c:axId val="30351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50227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Beirut, Petroleum, Imports (from US),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(All)'!$Y$7:$Y$107</c:f>
              <c:numCache>
                <c:formatCode>0.0000</c:formatCode>
                <c:ptCount val="66"/>
                <c:pt idx="11">
                  <c:v>15.873015873015872</c:v>
                </c:pt>
                <c:pt idx="12">
                  <c:v>13.888888888888889</c:v>
                </c:pt>
                <c:pt idx="13">
                  <c:v>12.831683168316832</c:v>
                </c:pt>
                <c:pt idx="14">
                  <c:v>9.6031746031746028</c:v>
                </c:pt>
                <c:pt idx="16">
                  <c:v>10</c:v>
                </c:pt>
                <c:pt idx="17">
                  <c:v>12.48</c:v>
                </c:pt>
                <c:pt idx="18">
                  <c:v>10</c:v>
                </c:pt>
                <c:pt idx="19">
                  <c:v>6.3636363636363633</c:v>
                </c:pt>
                <c:pt idx="20">
                  <c:v>8.178438661710036</c:v>
                </c:pt>
                <c:pt idx="21">
                  <c:v>6.7316116377901274</c:v>
                </c:pt>
                <c:pt idx="22">
                  <c:v>6.6665573770491804</c:v>
                </c:pt>
                <c:pt idx="27">
                  <c:v>9.4999999999999982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(All)'!$Y$7:$Y$107</c:f>
              <c:numCache>
                <c:formatCode>0.0000</c:formatCode>
                <c:ptCount val="66"/>
                <c:pt idx="11">
                  <c:v>15.873015873015872</c:v>
                </c:pt>
                <c:pt idx="12">
                  <c:v>13.888888888888889</c:v>
                </c:pt>
                <c:pt idx="13">
                  <c:v>12.831683168316832</c:v>
                </c:pt>
                <c:pt idx="14">
                  <c:v>9.6031746031746028</c:v>
                </c:pt>
                <c:pt idx="16">
                  <c:v>10</c:v>
                </c:pt>
                <c:pt idx="17">
                  <c:v>12.48</c:v>
                </c:pt>
                <c:pt idx="18">
                  <c:v>10</c:v>
                </c:pt>
                <c:pt idx="19">
                  <c:v>6.3636363636363633</c:v>
                </c:pt>
                <c:pt idx="20">
                  <c:v>8.178438661710036</c:v>
                </c:pt>
                <c:pt idx="21">
                  <c:v>6.7316116377901274</c:v>
                </c:pt>
                <c:pt idx="22">
                  <c:v>6.6665573770491804</c:v>
                </c:pt>
                <c:pt idx="27">
                  <c:v>9.4999999999999982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497232"/>
        <c:axId val="303506192"/>
      </c:scatterChart>
      <c:valAx>
        <c:axId val="30349723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506192"/>
        <c:crosses val="autoZero"/>
        <c:crossBetween val="midCat"/>
        <c:majorUnit val="5"/>
      </c:valAx>
      <c:valAx>
        <c:axId val="30350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49723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Bazaar (Local), in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(All)'!$AA$7:$AA$107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(All)'!$AA$7:$AA$107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493312"/>
        <c:axId val="303505632"/>
      </c:scatterChart>
      <c:valAx>
        <c:axId val="3034933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505632"/>
        <c:crosses val="autoZero"/>
        <c:crossBetween val="midCat"/>
        <c:majorUnit val="5"/>
      </c:valAx>
      <c:valAx>
        <c:axId val="30350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4933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UK, Kerosene,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(All)'!$C$7:$C$107</c:f>
              <c:numCache>
                <c:formatCode>0.0000</c:formatCode>
                <c:ptCount val="66"/>
                <c:pt idx="1">
                  <c:v>10.018929559159444</c:v>
                </c:pt>
                <c:pt idx="2">
                  <c:v>9.6422185287786295</c:v>
                </c:pt>
                <c:pt idx="3">
                  <c:v>12.061193129257505</c:v>
                </c:pt>
                <c:pt idx="4">
                  <c:v>12.941404949141138</c:v>
                </c:pt>
                <c:pt idx="5">
                  <c:v>17.647435897435898</c:v>
                </c:pt>
                <c:pt idx="6">
                  <c:v>12.483974358974359</c:v>
                </c:pt>
                <c:pt idx="7">
                  <c:v>8.592948717948719</c:v>
                </c:pt>
                <c:pt idx="8">
                  <c:v>9.0352564102564106</c:v>
                </c:pt>
                <c:pt idx="9">
                  <c:v>10.378205128205128</c:v>
                </c:pt>
                <c:pt idx="10">
                  <c:v>10.320512820512821</c:v>
                </c:pt>
                <c:pt idx="11">
                  <c:v>9.4775641025641022</c:v>
                </c:pt>
                <c:pt idx="12">
                  <c:v>9.121794871794874</c:v>
                </c:pt>
                <c:pt idx="13">
                  <c:v>8.9615384615384617</c:v>
                </c:pt>
                <c:pt idx="14">
                  <c:v>7.2532051282051286</c:v>
                </c:pt>
                <c:pt idx="15">
                  <c:v>5.2115384615384608</c:v>
                </c:pt>
                <c:pt idx="16">
                  <c:v>6.9871794871794881</c:v>
                </c:pt>
                <c:pt idx="17">
                  <c:v>6.2628205128205119</c:v>
                </c:pt>
                <c:pt idx="18">
                  <c:v>5.1634615384615383</c:v>
                </c:pt>
                <c:pt idx="19">
                  <c:v>4.6442307692307692</c:v>
                </c:pt>
                <c:pt idx="20">
                  <c:v>4.2403846153846159</c:v>
                </c:pt>
                <c:pt idx="21">
                  <c:v>3.9166666666666661</c:v>
                </c:pt>
                <c:pt idx="22">
                  <c:v>4.4358974358974361</c:v>
                </c:pt>
                <c:pt idx="23">
                  <c:v>4.7371794871794872</c:v>
                </c:pt>
                <c:pt idx="24">
                  <c:v>4.9679487179487181</c:v>
                </c:pt>
                <c:pt idx="25">
                  <c:v>4.7692307692307701</c:v>
                </c:pt>
                <c:pt idx="26">
                  <c:v>4.5128205128205128</c:v>
                </c:pt>
                <c:pt idx="27">
                  <c:v>4.1794871794871797</c:v>
                </c:pt>
                <c:pt idx="28">
                  <c:v>4.1794871794871797</c:v>
                </c:pt>
                <c:pt idx="29">
                  <c:v>3.8717948717948723</c:v>
                </c:pt>
                <c:pt idx="30">
                  <c:v>3.5128205128205132</c:v>
                </c:pt>
                <c:pt idx="31">
                  <c:v>3.1602564102564101</c:v>
                </c:pt>
                <c:pt idx="32">
                  <c:v>2.891025641025641</c:v>
                </c:pt>
                <c:pt idx="33">
                  <c:v>2.525641025641026</c:v>
                </c:pt>
                <c:pt idx="34">
                  <c:v>2.3461538461538463</c:v>
                </c:pt>
                <c:pt idx="35">
                  <c:v>2.9230769230769234</c:v>
                </c:pt>
                <c:pt idx="36">
                  <c:v>3.025641025641026</c:v>
                </c:pt>
                <c:pt idx="37">
                  <c:v>2.7628205128205128</c:v>
                </c:pt>
                <c:pt idx="38">
                  <c:v>2.6217948717948718</c:v>
                </c:pt>
                <c:pt idx="39">
                  <c:v>2.6987179487179489</c:v>
                </c:pt>
                <c:pt idx="40">
                  <c:v>3.1217948717948718</c:v>
                </c:pt>
                <c:pt idx="41">
                  <c:v>2.7884615384615383</c:v>
                </c:pt>
                <c:pt idx="42">
                  <c:v>2.5192307692307696</c:v>
                </c:pt>
                <c:pt idx="43">
                  <c:v>2.6666666666666665</c:v>
                </c:pt>
                <c:pt idx="44">
                  <c:v>2.865384615384615</c:v>
                </c:pt>
                <c:pt idx="45">
                  <c:v>2.6025641025641026</c:v>
                </c:pt>
                <c:pt idx="46">
                  <c:v>2.7115384615384617</c:v>
                </c:pt>
                <c:pt idx="47">
                  <c:v>2.6089743589743595</c:v>
                </c:pt>
                <c:pt idx="48">
                  <c:v>2.6474358974358974</c:v>
                </c:pt>
                <c:pt idx="49">
                  <c:v>2.4038461538461542</c:v>
                </c:pt>
                <c:pt idx="50">
                  <c:v>2.0512820512820515</c:v>
                </c:pt>
                <c:pt idx="51">
                  <c:v>1.846153846153846</c:v>
                </c:pt>
                <c:pt idx="52">
                  <c:v>2.2179487179487181</c:v>
                </c:pt>
                <c:pt idx="53">
                  <c:v>2.6217948717948718</c:v>
                </c:pt>
                <c:pt idx="54">
                  <c:v>2.5641025641025643</c:v>
                </c:pt>
                <c:pt idx="55">
                  <c:v>2.7371794871794872</c:v>
                </c:pt>
                <c:pt idx="56">
                  <c:v>3.7115384615384617</c:v>
                </c:pt>
                <c:pt idx="57">
                  <c:v>6.1025641025641031</c:v>
                </c:pt>
                <c:pt idx="58">
                  <c:v>8.8333333333333339</c:v>
                </c:pt>
                <c:pt idx="59">
                  <c:v>6.1923076923076925</c:v>
                </c:pt>
                <c:pt idx="60">
                  <c:v>11.262820512820513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063696"/>
        <c:axId val="564020016"/>
      </c:scatterChart>
      <c:valAx>
        <c:axId val="564063696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4020016"/>
        <c:crosses val="autoZero"/>
        <c:crossBetween val="midCat"/>
        <c:majorUnit val="5"/>
      </c:valAx>
      <c:valAx>
        <c:axId val="56402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64063696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Beirut, Petroleum, Imports (from Russia), in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(All)'!$Z$7:$Z$107</c:f>
              <c:numCache>
                <c:formatCode>0.0000</c:formatCode>
                <c:ptCount val="66"/>
                <c:pt idx="27">
                  <c:v>4.25</c:v>
                </c:pt>
                <c:pt idx="28">
                  <c:v>4.833333333333333</c:v>
                </c:pt>
                <c:pt idx="36">
                  <c:v>3.4230163620182101</c:v>
                </c:pt>
                <c:pt idx="37">
                  <c:v>3.06</c:v>
                </c:pt>
                <c:pt idx="38">
                  <c:v>3.0636363636363635</c:v>
                </c:pt>
                <c:pt idx="39">
                  <c:v>2.916666666666667</c:v>
                </c:pt>
                <c:pt idx="40">
                  <c:v>7.2000000000000011</c:v>
                </c:pt>
                <c:pt idx="41">
                  <c:v>6.166666666666667</c:v>
                </c:pt>
                <c:pt idx="42">
                  <c:v>4.3333333333333339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(All)'!$Z$7:$Z$107</c:f>
              <c:numCache>
                <c:formatCode>0.0000</c:formatCode>
                <c:ptCount val="66"/>
                <c:pt idx="27">
                  <c:v>4.25</c:v>
                </c:pt>
                <c:pt idx="28">
                  <c:v>4.833333333333333</c:v>
                </c:pt>
                <c:pt idx="36">
                  <c:v>3.4230163620182101</c:v>
                </c:pt>
                <c:pt idx="37">
                  <c:v>3.06</c:v>
                </c:pt>
                <c:pt idx="38">
                  <c:v>3.0636363636363635</c:v>
                </c:pt>
                <c:pt idx="39">
                  <c:v>2.916666666666667</c:v>
                </c:pt>
                <c:pt idx="40">
                  <c:v>7.2000000000000011</c:v>
                </c:pt>
                <c:pt idx="41">
                  <c:v>6.166666666666667</c:v>
                </c:pt>
                <c:pt idx="42">
                  <c:v>4.3333333333333339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3498912"/>
        <c:axId val="303487152"/>
      </c:scatterChart>
      <c:valAx>
        <c:axId val="303498912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487152"/>
        <c:crosses val="autoZero"/>
        <c:crossBetween val="midCat"/>
        <c:majorUnit val="5"/>
      </c:valAx>
      <c:valAx>
        <c:axId val="30348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349891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Istanbul (Anatolia),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(All)'!$AB$7:$AB$107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(All)'!$AB$7:$AB$107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649728"/>
        <c:axId val="361654768"/>
      </c:scatterChart>
      <c:valAx>
        <c:axId val="361649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54768"/>
        <c:crosses val="autoZero"/>
        <c:crossBetween val="midCat"/>
        <c:majorUnit val="5"/>
      </c:valAx>
      <c:valAx>
        <c:axId val="36165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49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Istanbul (Rumeli),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(All)'!$AE$7:$AE$107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(All)'!$AE$7:$AE$107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642448"/>
        <c:axId val="361651968"/>
      </c:scatterChart>
      <c:valAx>
        <c:axId val="361642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51968"/>
        <c:crosses val="autoZero"/>
        <c:crossBetween val="midCat"/>
        <c:majorUnit val="5"/>
      </c:valAx>
      <c:valAx>
        <c:axId val="36165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42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Exports,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(All)'!$AC$7:$AC$107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(All)'!$AC$7:$AC$107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632368"/>
        <c:axId val="361641888"/>
      </c:scatterChart>
      <c:valAx>
        <c:axId val="3616323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41888"/>
        <c:crosses val="autoZero"/>
        <c:crossBetween val="midCat"/>
        <c:majorUnit val="5"/>
      </c:valAx>
      <c:valAx>
        <c:axId val="361641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323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(Anatolia), Bazaar (Local),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(All)'!$AD$7:$AD$107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(All)'!$AD$7:$AD$107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646928"/>
        <c:axId val="361659808"/>
      </c:scatterChart>
      <c:valAx>
        <c:axId val="3616469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59808"/>
        <c:crosses val="autoZero"/>
        <c:crossBetween val="midCat"/>
        <c:majorUnit val="5"/>
      </c:valAx>
      <c:valAx>
        <c:axId val="36165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469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Exports, in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(All)'!$AF$7:$AF$107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(All)'!$AF$7:$AF$107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659248"/>
        <c:axId val="361655888"/>
      </c:scatterChart>
      <c:valAx>
        <c:axId val="361659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55888"/>
        <c:crosses val="autoZero"/>
        <c:crossBetween val="midCat"/>
        <c:majorUnit val="5"/>
      </c:valAx>
      <c:valAx>
        <c:axId val="36165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59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Istanbul (Rumeli), Bazaar (Local), in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(All)'!$AG$7:$AG$107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(All)'!$AG$7:$AG$107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635728"/>
        <c:axId val="361639648"/>
      </c:scatterChart>
      <c:valAx>
        <c:axId val="3616357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39648"/>
        <c:crosses val="autoZero"/>
        <c:crossBetween val="midCat"/>
        <c:majorUnit val="5"/>
      </c:valAx>
      <c:valAx>
        <c:axId val="361639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357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Exports,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(All)'!$AI$7:$AI$107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(All)'!$AI$7:$AI$107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92208"/>
        <c:axId val="338370928"/>
      </c:scatterChart>
      <c:valAx>
        <c:axId val="338392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70928"/>
        <c:crosses val="autoZero"/>
        <c:crossBetween val="midCat"/>
        <c:majorUnit val="5"/>
      </c:valAx>
      <c:valAx>
        <c:axId val="338370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92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Imports,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(All)'!$AH$7:$AH$107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(All)'!$AH$7:$AH$107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94448"/>
        <c:axId val="338397248"/>
      </c:scatterChart>
      <c:valAx>
        <c:axId val="338394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97248"/>
        <c:crosses val="autoZero"/>
        <c:crossBetween val="midCat"/>
        <c:majorUnit val="5"/>
      </c:valAx>
      <c:valAx>
        <c:axId val="338397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94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Turkey, Bazaar (Local),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(All)'!$AJ$7:$AJ$107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(All)'!$AJ$7:$AJ$107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95008"/>
        <c:axId val="338388288"/>
      </c:scatterChart>
      <c:valAx>
        <c:axId val="338395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88288"/>
        <c:crosses val="autoZero"/>
        <c:crossBetween val="midCat"/>
        <c:majorUnit val="5"/>
      </c:valAx>
      <c:valAx>
        <c:axId val="33838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95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Baghdad, Kerosene,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4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(All)'!$G$7:$G$107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5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(All)'!$G$7:$G$107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6"/>
          <c:order val="2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(All)'!$G$7:$G$107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7"/>
          <c:order val="3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(All)'!$G$7:$G$107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2"/>
          <c:order val="4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(All)'!$G$7:$G$107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3"/>
          <c:order val="5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(All)'!$G$7:$G$107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1"/>
          <c:order val="6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(All)'!$G$7:$G$107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7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(All)'!$G$7:$G$107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15808"/>
        <c:axId val="605691168"/>
      </c:scatterChart>
      <c:valAx>
        <c:axId val="605715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691168"/>
        <c:crosses val="autoZero"/>
        <c:crossBetween val="midCat"/>
        <c:majorUnit val="5"/>
      </c:valAx>
      <c:valAx>
        <c:axId val="60569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15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Imports,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91648"/>
        <c:axId val="338388848"/>
      </c:scatterChart>
      <c:valAx>
        <c:axId val="3383916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88848"/>
        <c:crosses val="autoZero"/>
        <c:crossBetween val="midCat"/>
        <c:majorUnit val="5"/>
      </c:valAx>
      <c:valAx>
        <c:axId val="33838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916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Petroleum, Imports,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(All)'!$AK$7:$AK$107</c:f>
              <c:numCache>
                <c:formatCode>0.0000</c:formatCode>
                <c:ptCount val="66"/>
                <c:pt idx="38">
                  <c:v>3.8333333333333339</c:v>
                </c:pt>
                <c:pt idx="39">
                  <c:v>4.5882352941176521</c:v>
                </c:pt>
                <c:pt idx="40">
                  <c:v>4.1696969696969761</c:v>
                </c:pt>
                <c:pt idx="47">
                  <c:v>5.0672665019438341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(All)'!$AK$7:$AK$107</c:f>
              <c:numCache>
                <c:formatCode>0.0000</c:formatCode>
                <c:ptCount val="66"/>
                <c:pt idx="38">
                  <c:v>3.8333333333333339</c:v>
                </c:pt>
                <c:pt idx="39">
                  <c:v>4.5882352941176521</c:v>
                </c:pt>
                <c:pt idx="40">
                  <c:v>4.1696969696969761</c:v>
                </c:pt>
                <c:pt idx="47">
                  <c:v>5.0672665019438341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91088"/>
        <c:axId val="338381568"/>
      </c:scatterChart>
      <c:valAx>
        <c:axId val="3383910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81568"/>
        <c:crosses val="autoZero"/>
        <c:crossBetween val="midCat"/>
        <c:majorUnit val="5"/>
      </c:valAx>
      <c:valAx>
        <c:axId val="338381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910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Constantinople, Naphtha &amp; other mineral oils, Imports, 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(All)'!$AL$7:$AL$107</c:f>
              <c:numCache>
                <c:formatCode>0.0000</c:formatCode>
                <c:ptCount val="66"/>
                <c:pt idx="47">
                  <c:v>8.3544266256590429</c:v>
                </c:pt>
                <c:pt idx="50">
                  <c:v>7.1922046703296818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(All)'!$AL$7:$AL$107</c:f>
              <c:numCache>
                <c:formatCode>0.0000</c:formatCode>
                <c:ptCount val="66"/>
                <c:pt idx="47">
                  <c:v>8.3544266256590429</c:v>
                </c:pt>
                <c:pt idx="50">
                  <c:v>7.1922046703296818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96128"/>
        <c:axId val="338398928"/>
      </c:scatterChart>
      <c:valAx>
        <c:axId val="3383961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98928"/>
        <c:crosses val="autoZero"/>
        <c:crossBetween val="midCat"/>
        <c:majorUnit val="5"/>
      </c:valAx>
      <c:valAx>
        <c:axId val="33839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383961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Trebizond (Anatolia), Petroleum, Imports,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(All)'!$AM$7:$AM$107</c:f>
              <c:numCache>
                <c:formatCode>0.0000</c:formatCode>
                <c:ptCount val="66"/>
                <c:pt idx="9">
                  <c:v>15</c:v>
                </c:pt>
                <c:pt idx="10">
                  <c:v>14.995433789954337</c:v>
                </c:pt>
                <c:pt idx="11">
                  <c:v>15.001618646811266</c:v>
                </c:pt>
                <c:pt idx="12">
                  <c:v>15</c:v>
                </c:pt>
                <c:pt idx="13">
                  <c:v>15.000721604849186</c:v>
                </c:pt>
                <c:pt idx="14">
                  <c:v>13.99920519274076</c:v>
                </c:pt>
                <c:pt idx="15">
                  <c:v>12.998674618952951</c:v>
                </c:pt>
                <c:pt idx="17">
                  <c:v>12.999251310207139</c:v>
                </c:pt>
                <c:pt idx="18">
                  <c:v>12.5</c:v>
                </c:pt>
                <c:pt idx="19">
                  <c:v>12.5</c:v>
                </c:pt>
                <c:pt idx="20">
                  <c:v>12.500223473674801</c:v>
                </c:pt>
                <c:pt idx="21">
                  <c:v>7.13170731707317</c:v>
                </c:pt>
                <c:pt idx="23">
                  <c:v>3.2719087084851921</c:v>
                </c:pt>
                <c:pt idx="24">
                  <c:v>2.9526105998720538</c:v>
                </c:pt>
                <c:pt idx="25">
                  <c:v>4.1280921624388656</c:v>
                </c:pt>
                <c:pt idx="26">
                  <c:v>4.1301986066772125</c:v>
                </c:pt>
                <c:pt idx="27">
                  <c:v>3.5421817985582607</c:v>
                </c:pt>
                <c:pt idx="28">
                  <c:v>3.5679365568728532</c:v>
                </c:pt>
                <c:pt idx="29">
                  <c:v>3.5407563732872118</c:v>
                </c:pt>
                <c:pt idx="30">
                  <c:v>3.5446081030319099</c:v>
                </c:pt>
                <c:pt idx="31">
                  <c:v>3.5438201728382857</c:v>
                </c:pt>
                <c:pt idx="32">
                  <c:v>3.5431327198464642</c:v>
                </c:pt>
                <c:pt idx="33">
                  <c:v>3.5431327198464642</c:v>
                </c:pt>
                <c:pt idx="34">
                  <c:v>3.6928904909062577</c:v>
                </c:pt>
                <c:pt idx="35">
                  <c:v>4.7107177661776358</c:v>
                </c:pt>
                <c:pt idx="36">
                  <c:v>4.2514522997507935</c:v>
                </c:pt>
                <c:pt idx="37">
                  <c:v>2.798137167845705</c:v>
                </c:pt>
                <c:pt idx="38">
                  <c:v>2.8350659124837825</c:v>
                </c:pt>
                <c:pt idx="39">
                  <c:v>2.843299886867483</c:v>
                </c:pt>
                <c:pt idx="40">
                  <c:v>2.836688243756984</c:v>
                </c:pt>
                <c:pt idx="41">
                  <c:v>2.3620884798976425</c:v>
                </c:pt>
                <c:pt idx="42">
                  <c:v>2.3605960061319116</c:v>
                </c:pt>
                <c:pt idx="43">
                  <c:v>2.4122123733702723</c:v>
                </c:pt>
                <c:pt idx="44">
                  <c:v>3.5693951871201195</c:v>
                </c:pt>
                <c:pt idx="45">
                  <c:v>3.4489183645229113</c:v>
                </c:pt>
                <c:pt idx="46">
                  <c:v>3.7785970166999334</c:v>
                </c:pt>
                <c:pt idx="47">
                  <c:v>3.797910756133783</c:v>
                </c:pt>
                <c:pt idx="48">
                  <c:v>3.3039185199557282</c:v>
                </c:pt>
                <c:pt idx="49">
                  <c:v>3.3292996527205125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(All)'!$AM$7:$AM$107</c:f>
              <c:numCache>
                <c:formatCode>0.0000</c:formatCode>
                <c:ptCount val="66"/>
                <c:pt idx="9">
                  <c:v>15</c:v>
                </c:pt>
                <c:pt idx="10">
                  <c:v>14.995433789954337</c:v>
                </c:pt>
                <c:pt idx="11">
                  <c:v>15.001618646811266</c:v>
                </c:pt>
                <c:pt idx="12">
                  <c:v>15</c:v>
                </c:pt>
                <c:pt idx="13">
                  <c:v>15.000721604849186</c:v>
                </c:pt>
                <c:pt idx="14">
                  <c:v>13.99920519274076</c:v>
                </c:pt>
                <c:pt idx="15">
                  <c:v>12.998674618952951</c:v>
                </c:pt>
                <c:pt idx="17">
                  <c:v>12.999251310207139</c:v>
                </c:pt>
                <c:pt idx="18">
                  <c:v>12.5</c:v>
                </c:pt>
                <c:pt idx="19">
                  <c:v>12.5</c:v>
                </c:pt>
                <c:pt idx="20">
                  <c:v>12.500223473674801</c:v>
                </c:pt>
                <c:pt idx="21">
                  <c:v>7.13170731707317</c:v>
                </c:pt>
                <c:pt idx="23">
                  <c:v>3.2719087084851921</c:v>
                </c:pt>
                <c:pt idx="24">
                  <c:v>2.9526105998720538</c:v>
                </c:pt>
                <c:pt idx="25">
                  <c:v>4.1280921624388656</c:v>
                </c:pt>
                <c:pt idx="26">
                  <c:v>4.1301986066772125</c:v>
                </c:pt>
                <c:pt idx="27">
                  <c:v>3.5421817985582607</c:v>
                </c:pt>
                <c:pt idx="28">
                  <c:v>3.5679365568728532</c:v>
                </c:pt>
                <c:pt idx="29">
                  <c:v>3.5407563732872118</c:v>
                </c:pt>
                <c:pt idx="30">
                  <c:v>3.5446081030319099</c:v>
                </c:pt>
                <c:pt idx="31">
                  <c:v>3.5438201728382857</c:v>
                </c:pt>
                <c:pt idx="32">
                  <c:v>3.5431327198464642</c:v>
                </c:pt>
                <c:pt idx="33">
                  <c:v>3.5431327198464642</c:v>
                </c:pt>
                <c:pt idx="34">
                  <c:v>3.6928904909062577</c:v>
                </c:pt>
                <c:pt idx="35">
                  <c:v>4.7107177661776358</c:v>
                </c:pt>
                <c:pt idx="36">
                  <c:v>4.2514522997507935</c:v>
                </c:pt>
                <c:pt idx="37">
                  <c:v>2.798137167845705</c:v>
                </c:pt>
                <c:pt idx="38">
                  <c:v>2.8350659124837825</c:v>
                </c:pt>
                <c:pt idx="39">
                  <c:v>2.843299886867483</c:v>
                </c:pt>
                <c:pt idx="40">
                  <c:v>2.836688243756984</c:v>
                </c:pt>
                <c:pt idx="41">
                  <c:v>2.3620884798976425</c:v>
                </c:pt>
                <c:pt idx="42">
                  <c:v>2.3605960061319116</c:v>
                </c:pt>
                <c:pt idx="43">
                  <c:v>2.4122123733702723</c:v>
                </c:pt>
                <c:pt idx="44">
                  <c:v>3.5693951871201195</c:v>
                </c:pt>
                <c:pt idx="45">
                  <c:v>3.4489183645229113</c:v>
                </c:pt>
                <c:pt idx="46">
                  <c:v>3.7785970166999334</c:v>
                </c:pt>
                <c:pt idx="47">
                  <c:v>3.797910756133783</c:v>
                </c:pt>
                <c:pt idx="48">
                  <c:v>3.3039185199557282</c:v>
                </c:pt>
                <c:pt idx="49">
                  <c:v>3.3292996527205125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913968"/>
        <c:axId val="304905568"/>
      </c:scatterChart>
      <c:valAx>
        <c:axId val="30491396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4905568"/>
        <c:crosses val="autoZero"/>
        <c:crossBetween val="midCat"/>
        <c:majorUnit val="5"/>
      </c:valAx>
      <c:valAx>
        <c:axId val="30490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491396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Exports, in s/case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(All)'!$AN$7:$AN$107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(All)'!$AO$7:$AO$107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907248"/>
        <c:axId val="304910608"/>
      </c:scatterChart>
      <c:valAx>
        <c:axId val="304907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4910608"/>
        <c:crosses val="autoZero"/>
        <c:crossBetween val="midCat"/>
        <c:majorUnit val="5"/>
      </c:valAx>
      <c:valAx>
        <c:axId val="304910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4907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(Anatolia), Bazaar (Local), in s/case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(All)'!$AO$7:$AO$107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(All)'!$AO$7:$AO$107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905008"/>
        <c:axId val="304913408"/>
      </c:scatterChart>
      <c:valAx>
        <c:axId val="304905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4913408"/>
        <c:crosses val="autoZero"/>
        <c:crossBetween val="midCat"/>
        <c:majorUnit val="5"/>
      </c:valAx>
      <c:valAx>
        <c:axId val="30491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4905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Imports, in s/case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(All)'!$AP$7:$AP$107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(All)'!$AP$7:$AP$107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906688"/>
        <c:axId val="304908368"/>
      </c:scatterChart>
      <c:valAx>
        <c:axId val="30490668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4908368"/>
        <c:crosses val="autoZero"/>
        <c:crossBetween val="midCat"/>
        <c:majorUnit val="5"/>
      </c:valAx>
      <c:valAx>
        <c:axId val="30490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490668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Exports, in s/case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(All)'!$AQ$7:$AQ$107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(All)'!$AQ$7:$AQ$107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619760"/>
        <c:axId val="361622560"/>
      </c:scatterChart>
      <c:valAx>
        <c:axId val="3616197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22560"/>
        <c:crosses val="autoZero"/>
        <c:crossBetween val="midCat"/>
        <c:majorUnit val="5"/>
      </c:valAx>
      <c:valAx>
        <c:axId val="36162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197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Trebizond (Persia), Bazaar (Local), in s/case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(All)'!$AR$7:$AR$107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(All)'!$AR$7:$AR$107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627040"/>
        <c:axId val="361604080"/>
      </c:scatterChart>
      <c:valAx>
        <c:axId val="3616270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04080"/>
        <c:crosses val="autoZero"/>
        <c:crossBetween val="midCat"/>
        <c:majorUnit val="5"/>
      </c:valAx>
      <c:valAx>
        <c:axId val="36160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270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Petroleum, Imports,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(All)'!$AS$7:$AS$107</c:f>
              <c:numCache>
                <c:formatCode>0.0000</c:formatCode>
                <c:ptCount val="66"/>
                <c:pt idx="9">
                  <c:v>15.421686746987952</c:v>
                </c:pt>
                <c:pt idx="11">
                  <c:v>14</c:v>
                </c:pt>
                <c:pt idx="12">
                  <c:v>20</c:v>
                </c:pt>
                <c:pt idx="14">
                  <c:v>10</c:v>
                </c:pt>
                <c:pt idx="15">
                  <c:v>10.21875</c:v>
                </c:pt>
                <c:pt idx="16">
                  <c:v>14.944535394773489</c:v>
                </c:pt>
                <c:pt idx="17">
                  <c:v>10.39999598427845</c:v>
                </c:pt>
                <c:pt idx="18">
                  <c:v>9.5999757285235372</c:v>
                </c:pt>
                <c:pt idx="19">
                  <c:v>6.3998846659818707</c:v>
                </c:pt>
                <c:pt idx="20">
                  <c:v>8</c:v>
                </c:pt>
                <c:pt idx="21">
                  <c:v>6.4</c:v>
                </c:pt>
                <c:pt idx="22">
                  <c:v>6.9999597688047306</c:v>
                </c:pt>
                <c:pt idx="23">
                  <c:v>5.9999888658163858</c:v>
                </c:pt>
                <c:pt idx="24">
                  <c:v>6.064284167208144</c:v>
                </c:pt>
                <c:pt idx="25">
                  <c:v>6.3685797145691829</c:v>
                </c:pt>
                <c:pt idx="26">
                  <c:v>4.6322893692104099</c:v>
                </c:pt>
                <c:pt idx="28">
                  <c:v>6.4</c:v>
                </c:pt>
                <c:pt idx="30">
                  <c:v>4.8187571624732861</c:v>
                </c:pt>
                <c:pt idx="34">
                  <c:v>3.76</c:v>
                </c:pt>
                <c:pt idx="45">
                  <c:v>5.1727922503380466</c:v>
                </c:pt>
                <c:pt idx="46">
                  <c:v>4.208851002632243</c:v>
                </c:pt>
                <c:pt idx="47">
                  <c:v>4.6685884020234081</c:v>
                </c:pt>
                <c:pt idx="48">
                  <c:v>13.694701066217155</c:v>
                </c:pt>
                <c:pt idx="50">
                  <c:v>3.4123059173358286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(All)'!$AS$7:$AS$107</c:f>
              <c:numCache>
                <c:formatCode>0.0000</c:formatCode>
                <c:ptCount val="66"/>
                <c:pt idx="9">
                  <c:v>15.421686746987952</c:v>
                </c:pt>
                <c:pt idx="11">
                  <c:v>14</c:v>
                </c:pt>
                <c:pt idx="12">
                  <c:v>20</c:v>
                </c:pt>
                <c:pt idx="14">
                  <c:v>10</c:v>
                </c:pt>
                <c:pt idx="15">
                  <c:v>10.21875</c:v>
                </c:pt>
                <c:pt idx="16">
                  <c:v>14.944535394773489</c:v>
                </c:pt>
                <c:pt idx="17">
                  <c:v>10.39999598427845</c:v>
                </c:pt>
                <c:pt idx="18">
                  <c:v>9.5999757285235372</c:v>
                </c:pt>
                <c:pt idx="19">
                  <c:v>6.3998846659818707</c:v>
                </c:pt>
                <c:pt idx="20">
                  <c:v>8</c:v>
                </c:pt>
                <c:pt idx="21">
                  <c:v>6.4</c:v>
                </c:pt>
                <c:pt idx="22">
                  <c:v>6.9999597688047306</c:v>
                </c:pt>
                <c:pt idx="23">
                  <c:v>5.9999888658163858</c:v>
                </c:pt>
                <c:pt idx="24">
                  <c:v>6.064284167208144</c:v>
                </c:pt>
                <c:pt idx="25">
                  <c:v>6.3685797145691829</c:v>
                </c:pt>
                <c:pt idx="26">
                  <c:v>4.6322893692104099</c:v>
                </c:pt>
                <c:pt idx="28">
                  <c:v>6.4</c:v>
                </c:pt>
                <c:pt idx="30">
                  <c:v>4.8187571624732861</c:v>
                </c:pt>
                <c:pt idx="34">
                  <c:v>3.76</c:v>
                </c:pt>
                <c:pt idx="45">
                  <c:v>5.1727922503380466</c:v>
                </c:pt>
                <c:pt idx="46">
                  <c:v>4.208851002632243</c:v>
                </c:pt>
                <c:pt idx="47">
                  <c:v>4.6685884020234081</c:v>
                </c:pt>
                <c:pt idx="48">
                  <c:v>13.694701066217155</c:v>
                </c:pt>
                <c:pt idx="50">
                  <c:v>3.4123059173358286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622000"/>
        <c:axId val="361619200"/>
      </c:scatterChart>
      <c:valAx>
        <c:axId val="3616220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19200"/>
        <c:crosses val="autoZero"/>
        <c:crossBetween val="midCat"/>
        <c:majorUnit val="5"/>
      </c:valAx>
      <c:valAx>
        <c:axId val="36161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220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Baghdad, Naphtha white, Imports, in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(All)'!$H$7:$H$107</c:f>
              <c:numCache>
                <c:formatCode>0.0000</c:formatCode>
                <c:ptCount val="66"/>
                <c:pt idx="9">
                  <c:v>47.521365902340719</c:v>
                </c:pt>
                <c:pt idx="10">
                  <c:v>10.973307404786555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(All)'!$H$7:$H$107</c:f>
              <c:numCache>
                <c:formatCode>0.0000</c:formatCode>
                <c:ptCount val="66"/>
                <c:pt idx="9">
                  <c:v>47.521365902340719</c:v>
                </c:pt>
                <c:pt idx="10">
                  <c:v>10.973307404786555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24208"/>
        <c:axId val="605687808"/>
      </c:scatterChart>
      <c:valAx>
        <c:axId val="6057242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687808"/>
        <c:crosses val="autoZero"/>
        <c:crossBetween val="midCat"/>
        <c:majorUnit val="5"/>
      </c:valAx>
      <c:valAx>
        <c:axId val="60568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242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Exports,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(All)'!$AW$7:$AW$107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(All)'!$AW$7:$AW$107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1600720"/>
        <c:axId val="361627600"/>
      </c:scatterChart>
      <c:valAx>
        <c:axId val="3616007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27600"/>
        <c:crosses val="autoZero"/>
        <c:crossBetween val="midCat"/>
        <c:majorUnit val="5"/>
      </c:valAx>
      <c:valAx>
        <c:axId val="36162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616007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</a:t>
            </a:r>
            <a:r>
              <a:rPr lang="en-US" sz="1800" b="1" i="0" u="none" strike="noStrike" baseline="0">
                <a:effectLst/>
              </a:rPr>
              <a:t>Kerosene,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Bazaar (Local),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(All)'!$BA$7:$BA$107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(All)'!$BA$7:$BA$107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34864"/>
        <c:axId val="621935424"/>
      </c:scatterChart>
      <c:valAx>
        <c:axId val="6219348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35424"/>
        <c:crosses val="autoZero"/>
        <c:crossBetween val="midCat"/>
        <c:majorUnit val="5"/>
      </c:valAx>
      <c:valAx>
        <c:axId val="62193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34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Izmir, Exports,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(All)'!$AT$7:$AT$107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(All)'!$AT$7:$AT$107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38224"/>
        <c:axId val="621938784"/>
      </c:scatterChart>
      <c:valAx>
        <c:axId val="621938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38784"/>
        <c:crosses val="autoZero"/>
        <c:crossBetween val="midCat"/>
        <c:majorUnit val="5"/>
      </c:valAx>
      <c:valAx>
        <c:axId val="62193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38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Ixmir, Bazaar (Local),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(All)'!$AU$7:$AU$107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(All)'!$AU$7:$AU$107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41584"/>
        <c:axId val="621942144"/>
      </c:scatterChart>
      <c:valAx>
        <c:axId val="621941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42144"/>
        <c:crosses val="autoZero"/>
        <c:crossBetween val="midCat"/>
        <c:majorUnit val="5"/>
      </c:valAx>
      <c:valAx>
        <c:axId val="62194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41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Petroleum,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(All)'!$AV$7:$AV$107</c:f>
              <c:numCache>
                <c:formatCode>0.0000</c:formatCode>
                <c:ptCount val="66"/>
                <c:pt idx="18">
                  <c:v>7.4090352940888797</c:v>
                </c:pt>
                <c:pt idx="19">
                  <c:v>6.7488242282789814</c:v>
                </c:pt>
                <c:pt idx="20">
                  <c:v>6.7488242282789814</c:v>
                </c:pt>
                <c:pt idx="21">
                  <c:v>6.5173138449178971</c:v>
                </c:pt>
                <c:pt idx="22">
                  <c:v>5.5025924815797369</c:v>
                </c:pt>
                <c:pt idx="23">
                  <c:v>5.5025924815797378</c:v>
                </c:pt>
                <c:pt idx="27">
                  <c:v>4.6079133758790771</c:v>
                </c:pt>
                <c:pt idx="28">
                  <c:v>4.7891706555695128</c:v>
                </c:pt>
                <c:pt idx="29">
                  <c:v>4.0320032947676054</c:v>
                </c:pt>
                <c:pt idx="30">
                  <c:v>3.8304137511853642</c:v>
                </c:pt>
                <c:pt idx="31">
                  <c:v>4.2244352570467703</c:v>
                </c:pt>
                <c:pt idx="32">
                  <c:v>2.9736743459028845</c:v>
                </c:pt>
                <c:pt idx="33">
                  <c:v>2.6625344754422859</c:v>
                </c:pt>
                <c:pt idx="34">
                  <c:v>2.9526105998720511</c:v>
                </c:pt>
                <c:pt idx="35">
                  <c:v>3.2478716598592556</c:v>
                </c:pt>
                <c:pt idx="36">
                  <c:v>3.2887398314593512</c:v>
                </c:pt>
                <c:pt idx="37">
                  <c:v>2.9526105998720511</c:v>
                </c:pt>
                <c:pt idx="38">
                  <c:v>2.9463417875580977</c:v>
                </c:pt>
                <c:pt idx="39">
                  <c:v>4.2193576045275325</c:v>
                </c:pt>
                <c:pt idx="40">
                  <c:v>4.1336548398208723</c:v>
                </c:pt>
                <c:pt idx="41">
                  <c:v>3.3054669167418793</c:v>
                </c:pt>
                <c:pt idx="42">
                  <c:v>2.9526105998720511</c:v>
                </c:pt>
                <c:pt idx="43">
                  <c:v>2.9526105998720511</c:v>
                </c:pt>
                <c:pt idx="44">
                  <c:v>3.6907632498400638</c:v>
                </c:pt>
                <c:pt idx="45">
                  <c:v>4.059718764243061</c:v>
                </c:pt>
                <c:pt idx="46">
                  <c:v>3.6898680853361006</c:v>
                </c:pt>
                <c:pt idx="47">
                  <c:v>3.5629446091529617</c:v>
                </c:pt>
                <c:pt idx="48">
                  <c:v>3.6912780903980194</c:v>
                </c:pt>
                <c:pt idx="49">
                  <c:v>3.5701395335244719</c:v>
                </c:pt>
                <c:pt idx="50">
                  <c:v>3.6906749012284576</c:v>
                </c:pt>
                <c:pt idx="51">
                  <c:v>3.6541612003154342</c:v>
                </c:pt>
                <c:pt idx="52">
                  <c:v>4.3872786037369318</c:v>
                </c:pt>
                <c:pt idx="53">
                  <c:v>4.2905552504921936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(All)'!$AV$7:$AV$107</c:f>
              <c:numCache>
                <c:formatCode>0.0000</c:formatCode>
                <c:ptCount val="66"/>
                <c:pt idx="18">
                  <c:v>7.4090352940888797</c:v>
                </c:pt>
                <c:pt idx="19">
                  <c:v>6.7488242282789814</c:v>
                </c:pt>
                <c:pt idx="20">
                  <c:v>6.7488242282789814</c:v>
                </c:pt>
                <c:pt idx="21">
                  <c:v>6.5173138449178971</c:v>
                </c:pt>
                <c:pt idx="22">
                  <c:v>5.5025924815797369</c:v>
                </c:pt>
                <c:pt idx="23">
                  <c:v>5.5025924815797378</c:v>
                </c:pt>
                <c:pt idx="27">
                  <c:v>4.6079133758790771</c:v>
                </c:pt>
                <c:pt idx="28">
                  <c:v>4.7891706555695128</c:v>
                </c:pt>
                <c:pt idx="29">
                  <c:v>4.0320032947676054</c:v>
                </c:pt>
                <c:pt idx="30">
                  <c:v>3.8304137511853642</c:v>
                </c:pt>
                <c:pt idx="31">
                  <c:v>4.2244352570467703</c:v>
                </c:pt>
                <c:pt idx="32">
                  <c:v>2.9736743459028845</c:v>
                </c:pt>
                <c:pt idx="33">
                  <c:v>2.6625344754422859</c:v>
                </c:pt>
                <c:pt idx="34">
                  <c:v>2.9526105998720511</c:v>
                </c:pt>
                <c:pt idx="35">
                  <c:v>3.2478716598592556</c:v>
                </c:pt>
                <c:pt idx="36">
                  <c:v>3.2887398314593512</c:v>
                </c:pt>
                <c:pt idx="37">
                  <c:v>2.9526105998720511</c:v>
                </c:pt>
                <c:pt idx="38">
                  <c:v>2.9463417875580977</c:v>
                </c:pt>
                <c:pt idx="39">
                  <c:v>4.2193576045275325</c:v>
                </c:pt>
                <c:pt idx="40">
                  <c:v>4.1336548398208723</c:v>
                </c:pt>
                <c:pt idx="41">
                  <c:v>3.3054669167418793</c:v>
                </c:pt>
                <c:pt idx="42">
                  <c:v>2.9526105998720511</c:v>
                </c:pt>
                <c:pt idx="43">
                  <c:v>2.9526105998720511</c:v>
                </c:pt>
                <c:pt idx="44">
                  <c:v>3.6907632498400638</c:v>
                </c:pt>
                <c:pt idx="45">
                  <c:v>4.059718764243061</c:v>
                </c:pt>
                <c:pt idx="46">
                  <c:v>3.6898680853361006</c:v>
                </c:pt>
                <c:pt idx="47">
                  <c:v>3.5629446091529617</c:v>
                </c:pt>
                <c:pt idx="48">
                  <c:v>3.6912780903980194</c:v>
                </c:pt>
                <c:pt idx="49">
                  <c:v>3.5701395335244719</c:v>
                </c:pt>
                <c:pt idx="50">
                  <c:v>3.6906749012284576</c:v>
                </c:pt>
                <c:pt idx="51">
                  <c:v>3.6541612003154342</c:v>
                </c:pt>
                <c:pt idx="52">
                  <c:v>4.3872786037369318</c:v>
                </c:pt>
                <c:pt idx="53">
                  <c:v>4.2905552504921936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44944"/>
        <c:axId val="621945504"/>
      </c:scatterChart>
      <c:valAx>
        <c:axId val="6219449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45504"/>
        <c:crosses val="autoZero"/>
        <c:crossBetween val="midCat"/>
        <c:majorUnit val="5"/>
      </c:valAx>
      <c:valAx>
        <c:axId val="62194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449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Alexandretta, Bazaar (Local),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(All)'!$AX$7:$AX$107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(All)'!$AX$7:$AX$107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48304"/>
        <c:axId val="621948864"/>
      </c:scatterChart>
      <c:valAx>
        <c:axId val="6219483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48864"/>
        <c:crosses val="autoZero"/>
        <c:crossBetween val="midCat"/>
        <c:majorUnit val="5"/>
      </c:valAx>
      <c:valAx>
        <c:axId val="621948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483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</a:t>
            </a:r>
            <a:r>
              <a:rPr lang="en-US" sz="1800" b="1" i="0" u="none" strike="noStrike" baseline="0">
                <a:effectLst/>
              </a:rPr>
              <a:t>Kerosene,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Exports,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(All)'!$AZ$7:$AZ$107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(All)'!$AZ$7:$AZ$107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51664"/>
        <c:axId val="621952224"/>
      </c:scatterChart>
      <c:valAx>
        <c:axId val="6219516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52224"/>
        <c:crosses val="autoZero"/>
        <c:crossBetween val="midCat"/>
        <c:majorUnit val="5"/>
      </c:valAx>
      <c:valAx>
        <c:axId val="62195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516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Ispahan, Kerosene,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(All)'!$AY$7:$AY$107</c:f>
              <c:numCache>
                <c:formatCode>0.0000</c:formatCode>
                <c:ptCount val="66"/>
                <c:pt idx="35">
                  <c:v>15.84</c:v>
                </c:pt>
                <c:pt idx="50">
                  <c:v>11.695442619445172</c:v>
                </c:pt>
                <c:pt idx="51">
                  <c:v>15.671634074782558</c:v>
                </c:pt>
                <c:pt idx="52">
                  <c:v>13.59935188307576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(All)'!$AY$7:$AY$107</c:f>
              <c:numCache>
                <c:formatCode>0.0000</c:formatCode>
                <c:ptCount val="66"/>
                <c:pt idx="35">
                  <c:v>15.84</c:v>
                </c:pt>
                <c:pt idx="50">
                  <c:v>11.695442619445172</c:v>
                </c:pt>
                <c:pt idx="51">
                  <c:v>15.671634074782558</c:v>
                </c:pt>
                <c:pt idx="52">
                  <c:v>13.59935188307576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55024"/>
        <c:axId val="621955584"/>
      </c:scatterChart>
      <c:valAx>
        <c:axId val="6219550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55584"/>
        <c:crosses val="autoZero"/>
        <c:crossBetween val="midCat"/>
        <c:majorUnit val="5"/>
      </c:valAx>
      <c:valAx>
        <c:axId val="62195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550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Yezd, </a:t>
            </a:r>
            <a:r>
              <a:rPr lang="en-US" sz="1800" b="1" i="0" u="none" strike="noStrike" baseline="0">
                <a:effectLst/>
              </a:rPr>
              <a:t>Kerosene,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(All)'!$BB$7:$BB$107</c:f>
              <c:numCache>
                <c:formatCode>0.0000</c:formatCode>
                <c:ptCount val="66"/>
                <c:pt idx="45" formatCode="_(* #,##0.0000_);_(* \(#,##0.0000\);_(* &quot;-&quot;??_);_(@_)">
                  <c:v>13.825964419157277</c:v>
                </c:pt>
                <c:pt idx="46" formatCode="_(* #,##0.0000_);_(* \(#,##0.0000\);_(* &quot;-&quot;??_);_(@_)">
                  <c:v>11.45429228552428</c:v>
                </c:pt>
                <c:pt idx="52" formatCode="_(* #,##0.0000_);_(* \(#,##0.0000\);_(* &quot;-&quot;??_);_(@_)">
                  <c:v>20.107890109890111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(All)'!$BB$7:$BB$107</c:f>
              <c:numCache>
                <c:formatCode>0.0000</c:formatCode>
                <c:ptCount val="66"/>
                <c:pt idx="45" formatCode="_(* #,##0.0000_);_(* \(#,##0.0000\);_(* &quot;-&quot;??_);_(@_)">
                  <c:v>13.825964419157277</c:v>
                </c:pt>
                <c:pt idx="46" formatCode="_(* #,##0.0000_);_(* \(#,##0.0000\);_(* &quot;-&quot;??_);_(@_)">
                  <c:v>11.45429228552428</c:v>
                </c:pt>
                <c:pt idx="52" formatCode="_(* #,##0.0000_);_(* \(#,##0.0000\);_(* &quot;-&quot;??_);_(@_)">
                  <c:v>20.107890109890111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58384"/>
        <c:axId val="621958944"/>
      </c:scatterChart>
      <c:valAx>
        <c:axId val="6219583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58944"/>
        <c:crosses val="autoZero"/>
        <c:crossBetween val="midCat"/>
        <c:majorUnit val="5"/>
      </c:valAx>
      <c:valAx>
        <c:axId val="62195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583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Exports, in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(All)'!$BC$7:$BC$107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(All)'!$BC$7:$BC$107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61744"/>
        <c:axId val="621962304"/>
      </c:scatterChart>
      <c:valAx>
        <c:axId val="6219617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62304"/>
        <c:crosses val="autoZero"/>
        <c:crossBetween val="midCat"/>
        <c:majorUnit val="5"/>
      </c:valAx>
      <c:valAx>
        <c:axId val="62196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617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Basrah, Kerosene,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(All)'!$J$7:$J$107</c:f>
              <c:numCache>
                <c:formatCode>0.0000</c:formatCode>
                <c:ptCount val="66"/>
                <c:pt idx="27">
                  <c:v>6.4754496840058398</c:v>
                </c:pt>
                <c:pt idx="28">
                  <c:v>6.3333333333333393</c:v>
                </c:pt>
                <c:pt idx="29">
                  <c:v>6.05</c:v>
                </c:pt>
                <c:pt idx="30">
                  <c:v>6.3864725723415603</c:v>
                </c:pt>
                <c:pt idx="31">
                  <c:v>6.8875708273965399</c:v>
                </c:pt>
                <c:pt idx="32">
                  <c:v>4.9999137826979201</c:v>
                </c:pt>
                <c:pt idx="33">
                  <c:v>4.9998672366639205</c:v>
                </c:pt>
                <c:pt idx="34">
                  <c:v>5.0071648312005799</c:v>
                </c:pt>
                <c:pt idx="35">
                  <c:v>5</c:v>
                </c:pt>
                <c:pt idx="36">
                  <c:v>4.9259608452110202</c:v>
                </c:pt>
                <c:pt idx="37">
                  <c:v>4.9999473844826401</c:v>
                </c:pt>
                <c:pt idx="38">
                  <c:v>4.0427161334241006</c:v>
                </c:pt>
                <c:pt idx="39">
                  <c:v>5.5001542587274797</c:v>
                </c:pt>
                <c:pt idx="40">
                  <c:v>5.9998160834981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(All)'!$J$7:$J$107</c:f>
              <c:numCache>
                <c:formatCode>0.0000</c:formatCode>
                <c:ptCount val="66"/>
                <c:pt idx="27">
                  <c:v>6.4754496840058398</c:v>
                </c:pt>
                <c:pt idx="28">
                  <c:v>6.3333333333333393</c:v>
                </c:pt>
                <c:pt idx="29">
                  <c:v>6.05</c:v>
                </c:pt>
                <c:pt idx="30">
                  <c:v>6.3864725723415603</c:v>
                </c:pt>
                <c:pt idx="31">
                  <c:v>6.8875708273965399</c:v>
                </c:pt>
                <c:pt idx="32">
                  <c:v>4.9999137826979201</c:v>
                </c:pt>
                <c:pt idx="33">
                  <c:v>4.9998672366639205</c:v>
                </c:pt>
                <c:pt idx="34">
                  <c:v>5.0071648312005799</c:v>
                </c:pt>
                <c:pt idx="35">
                  <c:v>5</c:v>
                </c:pt>
                <c:pt idx="36">
                  <c:v>4.9259608452110202</c:v>
                </c:pt>
                <c:pt idx="37">
                  <c:v>4.9999473844826401</c:v>
                </c:pt>
                <c:pt idx="38">
                  <c:v>4.0427161334241006</c:v>
                </c:pt>
                <c:pt idx="39">
                  <c:v>5.5001542587274797</c:v>
                </c:pt>
                <c:pt idx="40">
                  <c:v>5.9998160834981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25328"/>
        <c:axId val="605713568"/>
      </c:scatterChart>
      <c:valAx>
        <c:axId val="60572532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13568"/>
        <c:crosses val="autoZero"/>
        <c:crossBetween val="midCat"/>
        <c:majorUnit val="5"/>
      </c:valAx>
      <c:valAx>
        <c:axId val="60571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2532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Yezd, Bazaar (Local), in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(All)'!$BD$7:$BD$107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(All)'!$BD$7:$BD$107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65104"/>
        <c:axId val="621965664"/>
      </c:scatterChart>
      <c:valAx>
        <c:axId val="6219651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65664"/>
        <c:crosses val="autoZero"/>
        <c:crossBetween val="midCat"/>
        <c:majorUnit val="5"/>
      </c:valAx>
      <c:valAx>
        <c:axId val="62196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651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Petroleum,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(All)'!$BE$7:$BE$107</c:f>
              <c:numCache>
                <c:formatCode>0.0000</c:formatCode>
                <c:ptCount val="66"/>
                <c:pt idx="42">
                  <c:v>6.6450304876344122</c:v>
                </c:pt>
                <c:pt idx="43">
                  <c:v>6.4748816275510066</c:v>
                </c:pt>
                <c:pt idx="44">
                  <c:v>5.7991481773189157</c:v>
                </c:pt>
                <c:pt idx="45">
                  <c:v>6.1928611437780283</c:v>
                </c:pt>
                <c:pt idx="46">
                  <c:v>6.0706724399100711</c:v>
                </c:pt>
                <c:pt idx="47">
                  <c:v>6.3611664416746372</c:v>
                </c:pt>
                <c:pt idx="48">
                  <c:v>6.4662315994025237</c:v>
                </c:pt>
                <c:pt idx="49">
                  <c:v>6.1917586376433604</c:v>
                </c:pt>
                <c:pt idx="50">
                  <c:v>5.7854272926969719</c:v>
                </c:pt>
                <c:pt idx="51">
                  <c:v>6.7993401341443844</c:v>
                </c:pt>
                <c:pt idx="52">
                  <c:v>7.081123283721122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(All)'!$BE$7:$BE$107</c:f>
              <c:numCache>
                <c:formatCode>0.0000</c:formatCode>
                <c:ptCount val="66"/>
                <c:pt idx="42">
                  <c:v>6.6450304876344122</c:v>
                </c:pt>
                <c:pt idx="43">
                  <c:v>6.4748816275510066</c:v>
                </c:pt>
                <c:pt idx="44">
                  <c:v>5.7991481773189157</c:v>
                </c:pt>
                <c:pt idx="45">
                  <c:v>6.1928611437780283</c:v>
                </c:pt>
                <c:pt idx="46">
                  <c:v>6.0706724399100711</c:v>
                </c:pt>
                <c:pt idx="47">
                  <c:v>6.3611664416746372</c:v>
                </c:pt>
                <c:pt idx="48">
                  <c:v>6.4662315994025237</c:v>
                </c:pt>
                <c:pt idx="49">
                  <c:v>6.1917586376433604</c:v>
                </c:pt>
                <c:pt idx="50">
                  <c:v>5.7854272926969719</c:v>
                </c:pt>
                <c:pt idx="51">
                  <c:v>6.7993401341443844</c:v>
                </c:pt>
                <c:pt idx="52">
                  <c:v>7.081123283721122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68464"/>
        <c:axId val="621969024"/>
      </c:scatterChart>
      <c:valAx>
        <c:axId val="6219684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69024"/>
        <c:crosses val="autoZero"/>
        <c:crossBetween val="midCat"/>
        <c:majorUnit val="5"/>
      </c:valAx>
      <c:valAx>
        <c:axId val="621969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684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Petroleum, Exports,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(All)'!$BF$7:$BF$107</c:f>
              <c:numCache>
                <c:formatCode>0.0000</c:formatCode>
                <c:ptCount val="66"/>
                <c:pt idx="42">
                  <c:v>7.3749922490718376</c:v>
                </c:pt>
                <c:pt idx="43">
                  <c:v>7.888553618687256</c:v>
                </c:pt>
                <c:pt idx="44">
                  <c:v>7.0389219893572212</c:v>
                </c:pt>
                <c:pt idx="45">
                  <c:v>9.2743574355127212</c:v>
                </c:pt>
                <c:pt idx="46">
                  <c:v>11.307953206806287</c:v>
                </c:pt>
                <c:pt idx="47">
                  <c:v>7.1454455050489507</c:v>
                </c:pt>
                <c:pt idx="48">
                  <c:v>7.9715208127071557</c:v>
                </c:pt>
                <c:pt idx="49">
                  <c:v>8.6229465449804454</c:v>
                </c:pt>
                <c:pt idx="50">
                  <c:v>6.522485207100595</c:v>
                </c:pt>
                <c:pt idx="51">
                  <c:v>8.140061538461536</c:v>
                </c:pt>
                <c:pt idx="52">
                  <c:v>18.633546872379643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(All)'!$BF$7:$BF$107</c:f>
              <c:numCache>
                <c:formatCode>0.0000</c:formatCode>
                <c:ptCount val="66"/>
                <c:pt idx="42">
                  <c:v>7.3749922490718376</c:v>
                </c:pt>
                <c:pt idx="43">
                  <c:v>7.888553618687256</c:v>
                </c:pt>
                <c:pt idx="44">
                  <c:v>7.0389219893572212</c:v>
                </c:pt>
                <c:pt idx="45">
                  <c:v>9.2743574355127212</c:v>
                </c:pt>
                <c:pt idx="46">
                  <c:v>11.307953206806287</c:v>
                </c:pt>
                <c:pt idx="47">
                  <c:v>7.1454455050489507</c:v>
                </c:pt>
                <c:pt idx="48">
                  <c:v>7.9715208127071557</c:v>
                </c:pt>
                <c:pt idx="49">
                  <c:v>8.6229465449804454</c:v>
                </c:pt>
                <c:pt idx="50">
                  <c:v>6.522485207100595</c:v>
                </c:pt>
                <c:pt idx="51">
                  <c:v>8.140061538461536</c:v>
                </c:pt>
                <c:pt idx="52">
                  <c:v>18.633546872379643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71824"/>
        <c:axId val="621972384"/>
      </c:scatterChart>
      <c:valAx>
        <c:axId val="6219718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72384"/>
        <c:crosses val="autoZero"/>
        <c:crossBetween val="midCat"/>
        <c:majorUnit val="5"/>
      </c:valAx>
      <c:valAx>
        <c:axId val="62197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718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Khorasan, Bazaar (Local),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(All)'!$BG$7:$BG$107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(All)'!$BG$7:$BG$107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75184"/>
        <c:axId val="621975744"/>
      </c:scatterChart>
      <c:valAx>
        <c:axId val="6219751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75744"/>
        <c:crosses val="autoZero"/>
        <c:crossBetween val="midCat"/>
        <c:majorUnit val="5"/>
      </c:valAx>
      <c:valAx>
        <c:axId val="62197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751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Kermanshah, Kerosene, Imports, in s/case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(All)'!$BH$7:$BH$107</c:f>
              <c:numCache>
                <c:formatCode>0.0000</c:formatCode>
                <c:ptCount val="66"/>
                <c:pt idx="44">
                  <c:v>11.448106349096445</c:v>
                </c:pt>
                <c:pt idx="45">
                  <c:v>7.3475634289145804</c:v>
                </c:pt>
                <c:pt idx="50">
                  <c:v>11.810357142857145</c:v>
                </c:pt>
                <c:pt idx="51">
                  <c:v>13.139022321428573</c:v>
                </c:pt>
                <c:pt idx="52">
                  <c:v>12.323850931677077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(All)'!$BH$7:$BH$107</c:f>
              <c:numCache>
                <c:formatCode>0.0000</c:formatCode>
                <c:ptCount val="66"/>
                <c:pt idx="44">
                  <c:v>11.448106349096445</c:v>
                </c:pt>
                <c:pt idx="45">
                  <c:v>7.3475634289145804</c:v>
                </c:pt>
                <c:pt idx="50">
                  <c:v>11.810357142857145</c:v>
                </c:pt>
                <c:pt idx="51">
                  <c:v>13.139022321428573</c:v>
                </c:pt>
                <c:pt idx="52">
                  <c:v>12.323850931677077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78544"/>
        <c:axId val="621979104"/>
      </c:scatterChart>
      <c:valAx>
        <c:axId val="621978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79104"/>
        <c:crosses val="autoZero"/>
        <c:crossBetween val="midCat"/>
        <c:majorUnit val="5"/>
      </c:valAx>
      <c:valAx>
        <c:axId val="62197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78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</a:t>
            </a:r>
            <a:r>
              <a:rPr lang="en-US" sz="1800" b="1" i="0" u="none" strike="noStrike" baseline="0">
                <a:effectLst/>
              </a:rPr>
              <a:t> Naphtha oil,</a:t>
            </a:r>
            <a:r>
              <a:rPr lang="en-US" sz="1800" b="1" i="0" baseline="0">
                <a:effectLst/>
              </a:rPr>
              <a:t> Imports, in s/case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(All)'!$BI$7:$BI$107</c:f>
              <c:numCache>
                <c:formatCode>0.0000</c:formatCode>
                <c:ptCount val="66"/>
                <c:pt idx="40">
                  <c:v>7.8269822485207081</c:v>
                </c:pt>
                <c:pt idx="43">
                  <c:v>7.0071255070366361</c:v>
                </c:pt>
                <c:pt idx="44">
                  <c:v>6.7524686710429327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(All)'!$BI$7:$BI$107</c:f>
              <c:numCache>
                <c:formatCode>0.0000</c:formatCode>
                <c:ptCount val="66"/>
                <c:pt idx="40">
                  <c:v>7.8269822485207081</c:v>
                </c:pt>
                <c:pt idx="43">
                  <c:v>7.0071255070366361</c:v>
                </c:pt>
                <c:pt idx="44">
                  <c:v>6.7524686710429327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81904"/>
        <c:axId val="621982464"/>
      </c:scatterChart>
      <c:valAx>
        <c:axId val="6219819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82464"/>
        <c:crosses val="autoZero"/>
        <c:crossBetween val="midCat"/>
        <c:majorUnit val="5"/>
      </c:valAx>
      <c:valAx>
        <c:axId val="62198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819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Kermanshah, Naphtha oil, Bazaar (Local), in s/case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(All)'!$BJ$7:$BJ$107</c:f>
              <c:numCache>
                <c:formatCode>0.0000</c:formatCode>
                <c:ptCount val="66"/>
                <c:pt idx="42">
                  <c:v>8.4792307692307709</c:v>
                </c:pt>
                <c:pt idx="44">
                  <c:v>9.234805788271137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(All)'!$BJ$7:$BJ$107</c:f>
              <c:numCache>
                <c:formatCode>0.0000</c:formatCode>
                <c:ptCount val="66"/>
                <c:pt idx="42">
                  <c:v>8.4792307692307709</c:v>
                </c:pt>
                <c:pt idx="44">
                  <c:v>9.234805788271137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85264"/>
        <c:axId val="621985824"/>
      </c:scatterChart>
      <c:valAx>
        <c:axId val="6219852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85824"/>
        <c:crosses val="autoZero"/>
        <c:crossBetween val="midCat"/>
        <c:majorUnit val="5"/>
      </c:valAx>
      <c:valAx>
        <c:axId val="62198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852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Kerosene, Imports,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(All)'!$BK$7:$BK$107</c:f>
              <c:numCache>
                <c:formatCode>0.0000</c:formatCode>
                <c:ptCount val="66"/>
                <c:pt idx="45">
                  <c:v>10.000000000000009</c:v>
                </c:pt>
                <c:pt idx="46">
                  <c:v>10.000000000000009</c:v>
                </c:pt>
                <c:pt idx="47">
                  <c:v>8.64</c:v>
                </c:pt>
                <c:pt idx="48">
                  <c:v>19.999999999999979</c:v>
                </c:pt>
                <c:pt idx="49">
                  <c:v>18.037636363636398</c:v>
                </c:pt>
                <c:pt idx="50">
                  <c:v>13.227599999999978</c:v>
                </c:pt>
                <c:pt idx="51">
                  <c:v>12.626345454545492</c:v>
                </c:pt>
                <c:pt idx="52">
                  <c:v>30.062727272727301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(All)'!$BK$7:$BK$107</c:f>
              <c:numCache>
                <c:formatCode>0.0000</c:formatCode>
                <c:ptCount val="66"/>
                <c:pt idx="45">
                  <c:v>10.000000000000009</c:v>
                </c:pt>
                <c:pt idx="46">
                  <c:v>10.000000000000009</c:v>
                </c:pt>
                <c:pt idx="47">
                  <c:v>8.64</c:v>
                </c:pt>
                <c:pt idx="48">
                  <c:v>19.999999999999979</c:v>
                </c:pt>
                <c:pt idx="49">
                  <c:v>18.037636363636398</c:v>
                </c:pt>
                <c:pt idx="50">
                  <c:v>13.227599999999978</c:v>
                </c:pt>
                <c:pt idx="51">
                  <c:v>12.626345454545492</c:v>
                </c:pt>
                <c:pt idx="52">
                  <c:v>30.062727272727301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88624"/>
        <c:axId val="621989184"/>
      </c:scatterChart>
      <c:valAx>
        <c:axId val="6219886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89184"/>
        <c:crosses val="autoZero"/>
        <c:crossBetween val="midCat"/>
        <c:majorUnit val="5"/>
      </c:valAx>
      <c:valAx>
        <c:axId val="62198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886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Kerman, Petroleum, Imports,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(All)'!$BL$7:$BL$107</c:f>
              <c:numCache>
                <c:formatCode>0.0000</c:formatCode>
                <c:ptCount val="66"/>
                <c:pt idx="34">
                  <c:v>7.5999999999999961</c:v>
                </c:pt>
                <c:pt idx="49">
                  <c:v>19.999999999999979</c:v>
                </c:pt>
                <c:pt idx="50">
                  <c:v>14.999999999999995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(All)'!$BL$7:$BL$107</c:f>
              <c:numCache>
                <c:formatCode>0.0000</c:formatCode>
                <c:ptCount val="66"/>
                <c:pt idx="34">
                  <c:v>7.5999999999999961</c:v>
                </c:pt>
                <c:pt idx="49">
                  <c:v>19.999999999999979</c:v>
                </c:pt>
                <c:pt idx="50">
                  <c:v>14.999999999999995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91984"/>
        <c:axId val="621992544"/>
      </c:scatterChart>
      <c:valAx>
        <c:axId val="6219919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92544"/>
        <c:crosses val="autoZero"/>
        <c:crossBetween val="midCat"/>
        <c:majorUnit val="5"/>
      </c:valAx>
      <c:valAx>
        <c:axId val="621992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919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Kerman,</a:t>
            </a:r>
            <a:r>
              <a:rPr lang="en-US" sz="1800" b="1" i="0" u="none" strike="noStrike" baseline="0">
                <a:effectLst/>
              </a:rPr>
              <a:t> Kerosene,</a:t>
            </a:r>
            <a:r>
              <a:rPr lang="en-US" sz="1800" b="1" i="0" baseline="0">
                <a:effectLst/>
              </a:rPr>
              <a:t> Bazaar (Local), in s/case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(All)'!$BM$7:$BM$107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(All)'!$BM$7:$BM$107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95344"/>
        <c:axId val="621995904"/>
      </c:scatterChart>
      <c:valAx>
        <c:axId val="6219953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95904"/>
        <c:crosses val="autoZero"/>
        <c:crossBetween val="midCat"/>
        <c:majorUnit val="5"/>
      </c:valAx>
      <c:valAx>
        <c:axId val="62199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953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baseline="0">
                <a:effectLst/>
              </a:rPr>
              <a:t>Basrah, Petroleum, Bazaar (Local), in s/case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(All)'!$K$7:$K$107</c:f>
              <c:numCache>
                <c:formatCode>0.0000</c:formatCode>
                <c:ptCount val="66"/>
                <c:pt idx="49">
                  <c:v>4.1666666666666599</c:v>
                </c:pt>
                <c:pt idx="52">
                  <c:v>5.3746414228342001</c:v>
                </c:pt>
                <c:pt idx="53">
                  <c:v>12.893982808022926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(All)'!$K$7:$K$107</c:f>
              <c:numCache>
                <c:formatCode>0.0000</c:formatCode>
                <c:ptCount val="66"/>
                <c:pt idx="49">
                  <c:v>4.1666666666666599</c:v>
                </c:pt>
                <c:pt idx="52">
                  <c:v>5.3746414228342001</c:v>
                </c:pt>
                <c:pt idx="53">
                  <c:v>12.893982808022926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40448"/>
        <c:axId val="605746608"/>
      </c:scatterChart>
      <c:valAx>
        <c:axId val="6057404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46608"/>
        <c:crosses val="autoZero"/>
        <c:crossBetween val="midCat"/>
        <c:majorUnit val="5"/>
      </c:valAx>
      <c:valAx>
        <c:axId val="60574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404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Bam, Kerosene,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(All)'!$BN$7:$BN$107</c:f>
              <c:numCache>
                <c:formatCode>0.0000</c:formatCode>
                <c:ptCount val="66"/>
                <c:pt idx="52">
                  <c:v>23.454790970469826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(All)'!$BN$7:$BN$107</c:f>
              <c:numCache>
                <c:formatCode>0.0000</c:formatCode>
                <c:ptCount val="66"/>
                <c:pt idx="52">
                  <c:v>23.454790970469826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998704"/>
        <c:axId val="621999264"/>
      </c:scatterChart>
      <c:valAx>
        <c:axId val="6219987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99264"/>
        <c:crosses val="autoZero"/>
        <c:crossBetween val="midCat"/>
        <c:majorUnit val="5"/>
      </c:valAx>
      <c:valAx>
        <c:axId val="621999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19987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Exports, 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(All)'!$BO$7:$BO$107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(All)'!$BO$7:$BO$107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02064"/>
        <c:axId val="622002624"/>
      </c:scatterChart>
      <c:valAx>
        <c:axId val="6220020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02624"/>
        <c:crosses val="autoZero"/>
        <c:crossBetween val="midCat"/>
        <c:majorUnit val="5"/>
      </c:valAx>
      <c:valAx>
        <c:axId val="62200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020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Bam,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(All)'!$BP$7:$BP$107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(All)'!$BP$7:$BP$107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05424"/>
        <c:axId val="622005984"/>
      </c:scatterChart>
      <c:valAx>
        <c:axId val="6220054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05984"/>
        <c:crosses val="autoZero"/>
        <c:crossBetween val="midCat"/>
        <c:majorUnit val="5"/>
      </c:valAx>
      <c:valAx>
        <c:axId val="62200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054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08784"/>
        <c:axId val="622009344"/>
      </c:scatterChart>
      <c:valAx>
        <c:axId val="6220087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09344"/>
        <c:crosses val="autoZero"/>
        <c:crossBetween val="midCat"/>
        <c:majorUnit val="5"/>
      </c:valAx>
      <c:valAx>
        <c:axId val="622009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087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Petroleum,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(All)'!$BQ$7:$BQ$107</c:f>
              <c:numCache>
                <c:formatCode>0.0000</c:formatCode>
                <c:ptCount val="66"/>
                <c:pt idx="15">
                  <c:v>4.9194486209837942</c:v>
                </c:pt>
                <c:pt idx="31">
                  <c:v>1.211419458345919</c:v>
                </c:pt>
                <c:pt idx="33">
                  <c:v>2.3771488607967965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(All)'!$BQ$7:$BQ$107</c:f>
              <c:numCache>
                <c:formatCode>0.0000</c:formatCode>
                <c:ptCount val="66"/>
                <c:pt idx="15">
                  <c:v>4.9194486209837942</c:v>
                </c:pt>
                <c:pt idx="31">
                  <c:v>1.211419458345919</c:v>
                </c:pt>
                <c:pt idx="33">
                  <c:v>2.3771488607967965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12144"/>
        <c:axId val="622012704"/>
      </c:scatterChart>
      <c:valAx>
        <c:axId val="6220121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12704"/>
        <c:crosses val="autoZero"/>
        <c:crossBetween val="midCat"/>
        <c:majorUnit val="5"/>
      </c:valAx>
      <c:valAx>
        <c:axId val="622012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121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Resht, </a:t>
            </a:r>
            <a:r>
              <a:rPr lang="en-US" sz="1800" b="1" i="0" u="none" strike="noStrike" baseline="0">
                <a:effectLst/>
              </a:rPr>
              <a:t>Petroleum,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Bazaar (Local),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(All)'!$BR$7:$BR$107</c:f>
              <c:numCache>
                <c:formatCode>0.0000</c:formatCode>
                <c:ptCount val="66"/>
                <c:pt idx="14">
                  <c:v>5.1872941176470597</c:v>
                </c:pt>
                <c:pt idx="30">
                  <c:v>5.6645972222222269</c:v>
                </c:pt>
                <c:pt idx="31">
                  <c:v>5.5115000000000052</c:v>
                </c:pt>
                <c:pt idx="32">
                  <c:v>5.8942430555555578</c:v>
                </c:pt>
                <c:pt idx="33">
                  <c:v>4.9756597222222174</c:v>
                </c:pt>
                <c:pt idx="37">
                  <c:v>3.7114478114478091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(All)'!$BR$7:$BR$107</c:f>
              <c:numCache>
                <c:formatCode>0.0000</c:formatCode>
                <c:ptCount val="66"/>
                <c:pt idx="14">
                  <c:v>5.1872941176470597</c:v>
                </c:pt>
                <c:pt idx="30">
                  <c:v>5.6645972222222269</c:v>
                </c:pt>
                <c:pt idx="31">
                  <c:v>5.5115000000000052</c:v>
                </c:pt>
                <c:pt idx="32">
                  <c:v>5.8942430555555578</c:v>
                </c:pt>
                <c:pt idx="33">
                  <c:v>4.9756597222222174</c:v>
                </c:pt>
                <c:pt idx="37">
                  <c:v>3.7114478114478091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15504"/>
        <c:axId val="622016064"/>
      </c:scatterChart>
      <c:valAx>
        <c:axId val="6220155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16064"/>
        <c:crosses val="autoZero"/>
        <c:crossBetween val="midCat"/>
        <c:majorUnit val="5"/>
      </c:valAx>
      <c:valAx>
        <c:axId val="6220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155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Mazandaran, Kerosene,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(All)'!$BS$7:$BS$107</c:f>
              <c:numCache>
                <c:formatCode>0.0000</c:formatCode>
                <c:ptCount val="66"/>
                <c:pt idx="46">
                  <c:v>2.4914722963707838</c:v>
                </c:pt>
                <c:pt idx="47">
                  <c:v>2.7506424318205474</c:v>
                </c:pt>
                <c:pt idx="48">
                  <c:v>3.0188158733834105</c:v>
                </c:pt>
                <c:pt idx="49">
                  <c:v>2.0326919253867954</c:v>
                </c:pt>
                <c:pt idx="50">
                  <c:v>1.62657751196286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(All)'!$BS$7:$BS$107</c:f>
              <c:numCache>
                <c:formatCode>0.0000</c:formatCode>
                <c:ptCount val="66"/>
                <c:pt idx="46">
                  <c:v>2.4914722963707838</c:v>
                </c:pt>
                <c:pt idx="47">
                  <c:v>2.7506424318205474</c:v>
                </c:pt>
                <c:pt idx="48">
                  <c:v>3.0188158733834105</c:v>
                </c:pt>
                <c:pt idx="49">
                  <c:v>2.0326919253867954</c:v>
                </c:pt>
                <c:pt idx="50">
                  <c:v>1.62657751196286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18864"/>
        <c:axId val="622019424"/>
      </c:scatterChart>
      <c:valAx>
        <c:axId val="6220188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19424"/>
        <c:crosses val="autoZero"/>
        <c:crossBetween val="midCat"/>
        <c:majorUnit val="5"/>
      </c:valAx>
      <c:valAx>
        <c:axId val="62201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188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Exports,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(All)'!$BT$7:$BT$107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(All)'!$BT$7:$BT$107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22224"/>
        <c:axId val="622022784"/>
      </c:scatterChart>
      <c:valAx>
        <c:axId val="6220222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22784"/>
        <c:crosses val="autoZero"/>
        <c:crossBetween val="midCat"/>
        <c:majorUnit val="5"/>
      </c:valAx>
      <c:valAx>
        <c:axId val="62202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222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Mazandaran,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(All)'!$BU$7:$BU$107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(All)'!$BU$7:$BU$107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25584"/>
        <c:axId val="622026144"/>
      </c:scatterChart>
      <c:valAx>
        <c:axId val="6220255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26144"/>
        <c:crosses val="autoZero"/>
        <c:crossBetween val="midCat"/>
        <c:majorUnit val="5"/>
      </c:valAx>
      <c:valAx>
        <c:axId val="62202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255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Ghilan &amp; Tunekabun, Naphtha oil,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(All)'!$BV$7:$BV$107</c:f>
              <c:numCache>
                <c:formatCode>0.0000</c:formatCode>
                <c:ptCount val="66"/>
                <c:pt idx="46">
                  <c:v>1.5284192165325285</c:v>
                </c:pt>
                <c:pt idx="47">
                  <c:v>1.6693159391168357</c:v>
                </c:pt>
                <c:pt idx="48">
                  <c:v>1.5567493820123139</c:v>
                </c:pt>
                <c:pt idx="49">
                  <c:v>1.4066515512474003</c:v>
                </c:pt>
                <c:pt idx="50">
                  <c:v>1.0662318852116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(All)'!$BV$7:$BV$107</c:f>
              <c:numCache>
                <c:formatCode>0.0000</c:formatCode>
                <c:ptCount val="66"/>
                <c:pt idx="46">
                  <c:v>1.5284192165325285</c:v>
                </c:pt>
                <c:pt idx="47">
                  <c:v>1.6693159391168357</c:v>
                </c:pt>
                <c:pt idx="48">
                  <c:v>1.5567493820123139</c:v>
                </c:pt>
                <c:pt idx="49">
                  <c:v>1.4066515512474003</c:v>
                </c:pt>
                <c:pt idx="50">
                  <c:v>1.0662318852116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28944"/>
        <c:axId val="622029504"/>
      </c:scatterChart>
      <c:valAx>
        <c:axId val="6220289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29504"/>
        <c:crosses val="autoZero"/>
        <c:crossBetween val="midCat"/>
        <c:majorUnit val="5"/>
      </c:valAx>
      <c:valAx>
        <c:axId val="62202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289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(All)'!$R$7:$R$107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(All)'!$R$7:$R$107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85008"/>
        <c:axId val="605745488"/>
      </c:scatterChart>
      <c:valAx>
        <c:axId val="6056850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45488"/>
        <c:crosses val="autoZero"/>
        <c:crossBetween val="midCat"/>
        <c:majorUnit val="5"/>
      </c:valAx>
      <c:valAx>
        <c:axId val="605745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6850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Exports,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(All)'!$BW$7:$BW$107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(All)'!$BW$7:$BW$107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32304"/>
        <c:axId val="622032864"/>
      </c:scatterChart>
      <c:valAx>
        <c:axId val="6220323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32864"/>
        <c:crosses val="autoZero"/>
        <c:crossBetween val="midCat"/>
        <c:majorUnit val="5"/>
      </c:valAx>
      <c:valAx>
        <c:axId val="62203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323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Ghilan &amp; Tunekabun,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(All)'!$BX$7:$BX$107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(All)'!$BX$7:$BX$107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35664"/>
        <c:axId val="622036224"/>
      </c:scatterChart>
      <c:valAx>
        <c:axId val="6220356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36224"/>
        <c:crosses val="autoZero"/>
        <c:crossBetween val="midCat"/>
        <c:majorUnit val="5"/>
      </c:valAx>
      <c:valAx>
        <c:axId val="62203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356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Bender Gez &amp; Astarabad, Naphtha Oil / Petroleum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(All)'!$BY$7:$BY$107</c:f>
              <c:numCache>
                <c:formatCode>0.0000</c:formatCode>
                <c:ptCount val="66"/>
                <c:pt idx="31" formatCode="_(* #,##0.0000_);_(* \(#,##0.0000\);_(* &quot;-&quot;??_);_(@_)">
                  <c:v>8.9874193333333281</c:v>
                </c:pt>
                <c:pt idx="32" formatCode="_(* #,##0.0000_);_(* \(#,##0.0000\);_(* &quot;-&quot;??_);_(@_)">
                  <c:v>9.6663230769230815</c:v>
                </c:pt>
                <c:pt idx="46">
                  <c:v>1.7380140359212914</c:v>
                </c:pt>
                <c:pt idx="47">
                  <c:v>1.2401895441374384</c:v>
                </c:pt>
                <c:pt idx="48">
                  <c:v>1.5822231630292609</c:v>
                </c:pt>
                <c:pt idx="49">
                  <c:v>1.9578049061668334</c:v>
                </c:pt>
                <c:pt idx="50">
                  <c:v>1.9181264428658509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(All)'!$BY$7:$BY$107</c:f>
              <c:numCache>
                <c:formatCode>0.0000</c:formatCode>
                <c:ptCount val="66"/>
                <c:pt idx="31" formatCode="_(* #,##0.0000_);_(* \(#,##0.0000\);_(* &quot;-&quot;??_);_(@_)">
                  <c:v>8.9874193333333281</c:v>
                </c:pt>
                <c:pt idx="32" formatCode="_(* #,##0.0000_);_(* \(#,##0.0000\);_(* &quot;-&quot;??_);_(@_)">
                  <c:v>9.6663230769230815</c:v>
                </c:pt>
                <c:pt idx="46">
                  <c:v>1.7380140359212914</c:v>
                </c:pt>
                <c:pt idx="47">
                  <c:v>1.2401895441374384</c:v>
                </c:pt>
                <c:pt idx="48">
                  <c:v>1.5822231630292609</c:v>
                </c:pt>
                <c:pt idx="49">
                  <c:v>1.9578049061668334</c:v>
                </c:pt>
                <c:pt idx="50">
                  <c:v>1.9181264428658509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39024"/>
        <c:axId val="622039584"/>
      </c:scatterChart>
      <c:valAx>
        <c:axId val="6220390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39584"/>
        <c:crosses val="autoZero"/>
        <c:crossBetween val="midCat"/>
        <c:majorUnit val="5"/>
      </c:valAx>
      <c:valAx>
        <c:axId val="62203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390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Naphtha oil, Imports,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(All)'!$BZ$7:$BZ$107</c:f>
              <c:numCache>
                <c:formatCode>0.0000</c:formatCode>
                <c:ptCount val="66"/>
                <c:pt idx="46">
                  <c:v>4.5747628458498104</c:v>
                </c:pt>
                <c:pt idx="47">
                  <c:v>3.621258600194512</c:v>
                </c:pt>
                <c:pt idx="48">
                  <c:v>3.7774255729278279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(All)'!$BZ$7:$BZ$107</c:f>
              <c:numCache>
                <c:formatCode>0.0000</c:formatCode>
                <c:ptCount val="66"/>
                <c:pt idx="46">
                  <c:v>4.5747628458498104</c:v>
                </c:pt>
                <c:pt idx="47">
                  <c:v>3.621258600194512</c:v>
                </c:pt>
                <c:pt idx="48">
                  <c:v>3.7774255729278279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42384"/>
        <c:axId val="622042944"/>
      </c:scatterChart>
      <c:valAx>
        <c:axId val="6220423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42944"/>
        <c:crosses val="autoZero"/>
        <c:crossBetween val="midCat"/>
        <c:majorUnit val="5"/>
      </c:valAx>
      <c:valAx>
        <c:axId val="622042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423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Bender Gez &amp; Astarabad,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(All)'!$CA$7:$CA$107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(All)'!$CA$7:$CA$107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45744"/>
        <c:axId val="622046304"/>
      </c:scatterChart>
      <c:valAx>
        <c:axId val="6220457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46304"/>
        <c:crosses val="autoZero"/>
        <c:crossBetween val="midCat"/>
        <c:majorUnit val="5"/>
      </c:valAx>
      <c:valAx>
        <c:axId val="62204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457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Astara, Naphtha oil,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(All)'!$CB$7:$CB$107</c:f>
              <c:numCache>
                <c:formatCode>0.0000</c:formatCode>
                <c:ptCount val="66"/>
                <c:pt idx="48">
                  <c:v>1.7946050290536015</c:v>
                </c:pt>
                <c:pt idx="49">
                  <c:v>1.7201196868512425</c:v>
                </c:pt>
                <c:pt idx="50">
                  <c:v>1.3765262319245117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(All)'!$CB$7:$CB$107</c:f>
              <c:numCache>
                <c:formatCode>0.0000</c:formatCode>
                <c:ptCount val="66"/>
                <c:pt idx="48">
                  <c:v>1.7946050290536015</c:v>
                </c:pt>
                <c:pt idx="49">
                  <c:v>1.7201196868512425</c:v>
                </c:pt>
                <c:pt idx="50">
                  <c:v>1.3765262319245117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49104"/>
        <c:axId val="622049664"/>
      </c:scatterChart>
      <c:valAx>
        <c:axId val="62204910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49664"/>
        <c:crosses val="autoZero"/>
        <c:crossBetween val="midCat"/>
        <c:majorUnit val="5"/>
      </c:valAx>
      <c:valAx>
        <c:axId val="62204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4910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Exports,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(All)'!$CC$7:$CC$107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(All)'!$CC$7:$CC$107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52464"/>
        <c:axId val="622053024"/>
      </c:scatterChart>
      <c:valAx>
        <c:axId val="62205246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53024"/>
        <c:crosses val="autoZero"/>
        <c:crossBetween val="midCat"/>
        <c:majorUnit val="5"/>
      </c:valAx>
      <c:valAx>
        <c:axId val="62205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5246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Astara,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(All)'!$CD$7:$CD$107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(All)'!$CD$7:$CD$107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55824"/>
        <c:axId val="622056384"/>
      </c:scatterChart>
      <c:valAx>
        <c:axId val="62205582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56384"/>
        <c:crosses val="autoZero"/>
        <c:crossBetween val="midCat"/>
        <c:majorUnit val="5"/>
      </c:valAx>
      <c:valAx>
        <c:axId val="62205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5582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Sultanabad,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(All)'!$CE$7:$CE$107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(All)'!$CE$7:$CE$107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59184"/>
        <c:axId val="622059744"/>
      </c:scatterChart>
      <c:valAx>
        <c:axId val="62205918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59744"/>
        <c:crosses val="autoZero"/>
        <c:crossBetween val="midCat"/>
        <c:majorUnit val="5"/>
      </c:valAx>
      <c:valAx>
        <c:axId val="62205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5918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Exports,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(All)'!$CF$7:$CF$107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(All)'!$CF$7:$CF$107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2062544"/>
        <c:axId val="690077760"/>
      </c:scatterChart>
      <c:valAx>
        <c:axId val="622062544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77760"/>
        <c:crosses val="autoZero"/>
        <c:crossBetween val="midCat"/>
        <c:majorUnit val="5"/>
      </c:valAx>
      <c:valAx>
        <c:axId val="69007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22062544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Exports,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(All)'!$S$7:$S$107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(All)'!$S$7:$S$107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687248"/>
        <c:axId val="605727008"/>
      </c:scatterChart>
      <c:valAx>
        <c:axId val="60568724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27008"/>
        <c:crosses val="autoZero"/>
        <c:crossBetween val="midCat"/>
        <c:majorUnit val="5"/>
      </c:valAx>
      <c:valAx>
        <c:axId val="60572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68724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Sultanabad,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(All)'!$CG$7:$CG$107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(All)'!$CG$7:$CG$107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80560"/>
        <c:axId val="690081120"/>
      </c:scatterChart>
      <c:valAx>
        <c:axId val="6900805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81120"/>
        <c:crosses val="autoZero"/>
        <c:crossBetween val="midCat"/>
        <c:majorUnit val="5"/>
      </c:valAx>
      <c:valAx>
        <c:axId val="69008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805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Bahrain, Petroleum,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(All)'!$CJ$7:$CJ$107</c:f>
              <c:numCache>
                <c:formatCode>0.0000</c:formatCode>
                <c:ptCount val="66"/>
                <c:pt idx="31">
                  <c:v>10.015616485757993</c:v>
                </c:pt>
                <c:pt idx="32">
                  <c:v>8.3842318278736254</c:v>
                </c:pt>
                <c:pt idx="33">
                  <c:v>8.3827456061288945</c:v>
                </c:pt>
                <c:pt idx="34">
                  <c:v>7.186977253401361</c:v>
                </c:pt>
                <c:pt idx="35">
                  <c:v>6.888969145802653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(All)'!$CJ$7:$CJ$107</c:f>
              <c:numCache>
                <c:formatCode>0.0000</c:formatCode>
                <c:ptCount val="66"/>
                <c:pt idx="31">
                  <c:v>10.015616485757993</c:v>
                </c:pt>
                <c:pt idx="32">
                  <c:v>8.3842318278736254</c:v>
                </c:pt>
                <c:pt idx="33">
                  <c:v>8.3827456061288945</c:v>
                </c:pt>
                <c:pt idx="34">
                  <c:v>7.186977253401361</c:v>
                </c:pt>
                <c:pt idx="35">
                  <c:v>6.888969145802653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83920"/>
        <c:axId val="690084480"/>
      </c:scatterChart>
      <c:valAx>
        <c:axId val="6900839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84480"/>
        <c:crosses val="autoZero"/>
        <c:crossBetween val="midCat"/>
        <c:majorUnit val="5"/>
      </c:valAx>
      <c:valAx>
        <c:axId val="69008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839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Kerosene, Imports,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(All)'!$CK$7:$CK$107</c:f>
              <c:numCache>
                <c:formatCode>0.0000</c:formatCode>
                <c:ptCount val="66"/>
                <c:pt idx="36">
                  <c:v>4.7061538461538381</c:v>
                </c:pt>
                <c:pt idx="37">
                  <c:v>4.6760784313725541</c:v>
                </c:pt>
                <c:pt idx="39">
                  <c:v>5.3346405228758105</c:v>
                </c:pt>
                <c:pt idx="40">
                  <c:v>6.3338461538461557</c:v>
                </c:pt>
                <c:pt idx="41">
                  <c:v>5.1253333333333382</c:v>
                </c:pt>
                <c:pt idx="42">
                  <c:v>5.3341253341253276</c:v>
                </c:pt>
                <c:pt idx="43">
                  <c:v>6.0005800464037202</c:v>
                </c:pt>
                <c:pt idx="44">
                  <c:v>5.7783826137160261</c:v>
                </c:pt>
                <c:pt idx="45">
                  <c:v>5.3205378627034614</c:v>
                </c:pt>
                <c:pt idx="46">
                  <c:v>5.3333333333333277</c:v>
                </c:pt>
                <c:pt idx="47">
                  <c:v>5.3333333333333277</c:v>
                </c:pt>
                <c:pt idx="50">
                  <c:v>5.3522408963585519</c:v>
                </c:pt>
                <c:pt idx="51">
                  <c:v>5.2506818181818096</c:v>
                </c:pt>
                <c:pt idx="52">
                  <c:v>5.6598113207547183</c:v>
                </c:pt>
                <c:pt idx="53">
                  <c:v>5.9999999999999938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(All)'!$CK$7:$CK$107</c:f>
              <c:numCache>
                <c:formatCode>0.0000</c:formatCode>
                <c:ptCount val="66"/>
                <c:pt idx="36">
                  <c:v>4.7061538461538381</c:v>
                </c:pt>
                <c:pt idx="37">
                  <c:v>4.6760784313725541</c:v>
                </c:pt>
                <c:pt idx="39">
                  <c:v>5.3346405228758105</c:v>
                </c:pt>
                <c:pt idx="40">
                  <c:v>6.3338461538461557</c:v>
                </c:pt>
                <c:pt idx="41">
                  <c:v>5.1253333333333382</c:v>
                </c:pt>
                <c:pt idx="42">
                  <c:v>5.3341253341253276</c:v>
                </c:pt>
                <c:pt idx="43">
                  <c:v>6.0005800464037202</c:v>
                </c:pt>
                <c:pt idx="44">
                  <c:v>5.7783826137160261</c:v>
                </c:pt>
                <c:pt idx="45">
                  <c:v>5.3205378627034614</c:v>
                </c:pt>
                <c:pt idx="46">
                  <c:v>5.3333333333333277</c:v>
                </c:pt>
                <c:pt idx="47">
                  <c:v>5.3333333333333277</c:v>
                </c:pt>
                <c:pt idx="50">
                  <c:v>5.3522408963585519</c:v>
                </c:pt>
                <c:pt idx="51">
                  <c:v>5.2506818181818096</c:v>
                </c:pt>
                <c:pt idx="52">
                  <c:v>5.6598113207547183</c:v>
                </c:pt>
                <c:pt idx="53">
                  <c:v>5.9999999999999938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87280"/>
        <c:axId val="690087840"/>
      </c:scatterChart>
      <c:valAx>
        <c:axId val="6900872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87840"/>
        <c:crosses val="autoZero"/>
        <c:crossBetween val="midCat"/>
        <c:majorUnit val="5"/>
      </c:valAx>
      <c:valAx>
        <c:axId val="69008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872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Bahrain, Kerosene, Exports,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(All)'!$CL$7:$CL$107</c:f>
              <c:numCache>
                <c:formatCode>0.0000</c:formatCode>
                <c:ptCount val="66"/>
                <c:pt idx="38">
                  <c:v>4.3725714285714297</c:v>
                </c:pt>
                <c:pt idx="39">
                  <c:v>5.3864695484492939</c:v>
                </c:pt>
                <c:pt idx="40">
                  <c:v>6.9975062344139571</c:v>
                </c:pt>
                <c:pt idx="41">
                  <c:v>4.6494845360824675</c:v>
                </c:pt>
                <c:pt idx="42">
                  <c:v>4.6666666666666625</c:v>
                </c:pt>
                <c:pt idx="43">
                  <c:v>6.001214820813936</c:v>
                </c:pt>
                <c:pt idx="44">
                  <c:v>5.9982920580700263</c:v>
                </c:pt>
                <c:pt idx="45">
                  <c:v>6.16439187139824</c:v>
                </c:pt>
                <c:pt idx="46">
                  <c:v>5.6668968692449386</c:v>
                </c:pt>
                <c:pt idx="47">
                  <c:v>5.3333333333333277</c:v>
                </c:pt>
                <c:pt idx="48">
                  <c:v>5.3333333333333277</c:v>
                </c:pt>
                <c:pt idx="49">
                  <c:v>5.3333333333333277</c:v>
                </c:pt>
                <c:pt idx="50">
                  <c:v>5.3308752183194219</c:v>
                </c:pt>
                <c:pt idx="51">
                  <c:v>6.0002862595419781</c:v>
                </c:pt>
                <c:pt idx="52">
                  <c:v>5.9999999999999938</c:v>
                </c:pt>
                <c:pt idx="53">
                  <c:v>6.7506382978723449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(All)'!$CL$7:$CL$107</c:f>
              <c:numCache>
                <c:formatCode>0.0000</c:formatCode>
                <c:ptCount val="66"/>
                <c:pt idx="38">
                  <c:v>4.3725714285714297</c:v>
                </c:pt>
                <c:pt idx="39">
                  <c:v>5.3864695484492939</c:v>
                </c:pt>
                <c:pt idx="40">
                  <c:v>6.9975062344139571</c:v>
                </c:pt>
                <c:pt idx="41">
                  <c:v>4.6494845360824675</c:v>
                </c:pt>
                <c:pt idx="42">
                  <c:v>4.6666666666666625</c:v>
                </c:pt>
                <c:pt idx="43">
                  <c:v>6.001214820813936</c:v>
                </c:pt>
                <c:pt idx="44">
                  <c:v>5.9982920580700263</c:v>
                </c:pt>
                <c:pt idx="45">
                  <c:v>6.16439187139824</c:v>
                </c:pt>
                <c:pt idx="46">
                  <c:v>5.6668968692449386</c:v>
                </c:pt>
                <c:pt idx="47">
                  <c:v>5.3333333333333277</c:v>
                </c:pt>
                <c:pt idx="48">
                  <c:v>5.3333333333333277</c:v>
                </c:pt>
                <c:pt idx="49">
                  <c:v>5.3333333333333277</c:v>
                </c:pt>
                <c:pt idx="50">
                  <c:v>5.3308752183194219</c:v>
                </c:pt>
                <c:pt idx="51">
                  <c:v>6.0002862595419781</c:v>
                </c:pt>
                <c:pt idx="52">
                  <c:v>5.9999999999999938</c:v>
                </c:pt>
                <c:pt idx="53">
                  <c:v>6.7506382978723449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90640"/>
        <c:axId val="690091200"/>
      </c:scatterChart>
      <c:valAx>
        <c:axId val="6900906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91200"/>
        <c:crosses val="autoZero"/>
        <c:crossBetween val="midCat"/>
        <c:majorUnit val="5"/>
      </c:valAx>
      <c:valAx>
        <c:axId val="69009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906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Muscat, Kerosene / Oil, of all kinds,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(All)'!$CM$7:$CM$107</c:f>
              <c:numCache>
                <c:formatCode>0.0000</c:formatCode>
                <c:ptCount val="66"/>
                <c:pt idx="14">
                  <c:v>11.85253378378378</c:v>
                </c:pt>
                <c:pt idx="15">
                  <c:v>11.56034913530895</c:v>
                </c:pt>
                <c:pt idx="16">
                  <c:v>14.295874974653106</c:v>
                </c:pt>
                <c:pt idx="17">
                  <c:v>14.854836910865851</c:v>
                </c:pt>
                <c:pt idx="18">
                  <c:v>9.7125410817131037</c:v>
                </c:pt>
                <c:pt idx="19">
                  <c:v>7.01145435721401</c:v>
                </c:pt>
                <c:pt idx="20">
                  <c:v>7.157988750914801</c:v>
                </c:pt>
                <c:pt idx="21">
                  <c:v>8.1946360584861484</c:v>
                </c:pt>
                <c:pt idx="22">
                  <c:v>6.4611745940956684</c:v>
                </c:pt>
                <c:pt idx="23">
                  <c:v>4.9424381019037442</c:v>
                </c:pt>
                <c:pt idx="24">
                  <c:v>4.1765217399639001</c:v>
                </c:pt>
                <c:pt idx="25">
                  <c:v>8.4787294397724366</c:v>
                </c:pt>
                <c:pt idx="26">
                  <c:v>8.6464424507908326</c:v>
                </c:pt>
                <c:pt idx="27">
                  <c:v>5.4498788780742178</c:v>
                </c:pt>
                <c:pt idx="28">
                  <c:v>5.8098164885142305</c:v>
                </c:pt>
                <c:pt idx="29">
                  <c:v>5.8022052816571925</c:v>
                </c:pt>
                <c:pt idx="30">
                  <c:v>5.9312072120351944</c:v>
                </c:pt>
                <c:pt idx="31">
                  <c:v>5.3429562349729203</c:v>
                </c:pt>
                <c:pt idx="32">
                  <c:v>4.6681790794009377</c:v>
                </c:pt>
                <c:pt idx="33">
                  <c:v>4.041989986062978</c:v>
                </c:pt>
                <c:pt idx="34">
                  <c:v>11.76360802120449</c:v>
                </c:pt>
                <c:pt idx="35">
                  <c:v>12.119311071521677</c:v>
                </c:pt>
                <c:pt idx="36">
                  <c:v>12.525828843312773</c:v>
                </c:pt>
                <c:pt idx="37">
                  <c:v>13.445575301990088</c:v>
                </c:pt>
                <c:pt idx="38">
                  <c:v>13.68821559702789</c:v>
                </c:pt>
                <c:pt idx="39">
                  <c:v>10.547644876370153</c:v>
                </c:pt>
                <c:pt idx="40">
                  <c:v>8.6321508103762916</c:v>
                </c:pt>
                <c:pt idx="41">
                  <c:v>16.864626895209128</c:v>
                </c:pt>
                <c:pt idx="42">
                  <c:v>18.332544509769058</c:v>
                </c:pt>
                <c:pt idx="43">
                  <c:v>15.716640004471783</c:v>
                </c:pt>
                <c:pt idx="44">
                  <c:v>16.101914867037451</c:v>
                </c:pt>
                <c:pt idx="45">
                  <c:v>10.446428571428575</c:v>
                </c:pt>
                <c:pt idx="46">
                  <c:v>8.2225000000000072</c:v>
                </c:pt>
                <c:pt idx="47">
                  <c:v>8.3035443037974659</c:v>
                </c:pt>
                <c:pt idx="48">
                  <c:v>14.472770511296069</c:v>
                </c:pt>
                <c:pt idx="49">
                  <c:v>14.864977000090187</c:v>
                </c:pt>
                <c:pt idx="50">
                  <c:v>6.1868041237113482</c:v>
                </c:pt>
                <c:pt idx="51">
                  <c:v>5.0630992378923239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(All)'!$CM$7:$CM$107</c:f>
              <c:numCache>
                <c:formatCode>0.0000</c:formatCode>
                <c:ptCount val="66"/>
                <c:pt idx="14">
                  <c:v>11.85253378378378</c:v>
                </c:pt>
                <c:pt idx="15">
                  <c:v>11.56034913530895</c:v>
                </c:pt>
                <c:pt idx="16">
                  <c:v>14.295874974653106</c:v>
                </c:pt>
                <c:pt idx="17">
                  <c:v>14.854836910865851</c:v>
                </c:pt>
                <c:pt idx="18">
                  <c:v>9.7125410817131037</c:v>
                </c:pt>
                <c:pt idx="19">
                  <c:v>7.01145435721401</c:v>
                </c:pt>
                <c:pt idx="20">
                  <c:v>7.157988750914801</c:v>
                </c:pt>
                <c:pt idx="21">
                  <c:v>8.1946360584861484</c:v>
                </c:pt>
                <c:pt idx="22">
                  <c:v>6.4611745940956684</c:v>
                </c:pt>
                <c:pt idx="23">
                  <c:v>4.9424381019037442</c:v>
                </c:pt>
                <c:pt idx="24">
                  <c:v>4.1765217399639001</c:v>
                </c:pt>
                <c:pt idx="25">
                  <c:v>8.4787294397724366</c:v>
                </c:pt>
                <c:pt idx="26">
                  <c:v>8.6464424507908326</c:v>
                </c:pt>
                <c:pt idx="27">
                  <c:v>5.4498788780742178</c:v>
                </c:pt>
                <c:pt idx="28">
                  <c:v>5.8098164885142305</c:v>
                </c:pt>
                <c:pt idx="29">
                  <c:v>5.8022052816571925</c:v>
                </c:pt>
                <c:pt idx="30">
                  <c:v>5.9312072120351944</c:v>
                </c:pt>
                <c:pt idx="31">
                  <c:v>5.3429562349729203</c:v>
                </c:pt>
                <c:pt idx="32">
                  <c:v>4.6681790794009377</c:v>
                </c:pt>
                <c:pt idx="33">
                  <c:v>4.041989986062978</c:v>
                </c:pt>
                <c:pt idx="34">
                  <c:v>11.76360802120449</c:v>
                </c:pt>
                <c:pt idx="35">
                  <c:v>12.119311071521677</c:v>
                </c:pt>
                <c:pt idx="36">
                  <c:v>12.525828843312773</c:v>
                </c:pt>
                <c:pt idx="37">
                  <c:v>13.445575301990088</c:v>
                </c:pt>
                <c:pt idx="38">
                  <c:v>13.68821559702789</c:v>
                </c:pt>
                <c:pt idx="39">
                  <c:v>10.547644876370153</c:v>
                </c:pt>
                <c:pt idx="40">
                  <c:v>8.6321508103762916</c:v>
                </c:pt>
                <c:pt idx="41">
                  <c:v>16.864626895209128</c:v>
                </c:pt>
                <c:pt idx="42">
                  <c:v>18.332544509769058</c:v>
                </c:pt>
                <c:pt idx="43">
                  <c:v>15.716640004471783</c:v>
                </c:pt>
                <c:pt idx="44">
                  <c:v>16.101914867037451</c:v>
                </c:pt>
                <c:pt idx="45">
                  <c:v>10.446428571428575</c:v>
                </c:pt>
                <c:pt idx="46">
                  <c:v>8.2225000000000072</c:v>
                </c:pt>
                <c:pt idx="47">
                  <c:v>8.3035443037974659</c:v>
                </c:pt>
                <c:pt idx="48">
                  <c:v>14.472770511296069</c:v>
                </c:pt>
                <c:pt idx="49">
                  <c:v>14.864977000090187</c:v>
                </c:pt>
                <c:pt idx="50">
                  <c:v>6.1868041237113482</c:v>
                </c:pt>
                <c:pt idx="51">
                  <c:v>5.0630992378923239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94000"/>
        <c:axId val="690094560"/>
      </c:scatterChart>
      <c:valAx>
        <c:axId val="6900940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94560"/>
        <c:crosses val="autoZero"/>
        <c:crossBetween val="midCat"/>
        <c:majorUnit val="5"/>
      </c:valAx>
      <c:valAx>
        <c:axId val="690094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940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Kerosene, Exports,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(All)'!$CN$7:$CN$107</c:f>
              <c:numCache>
                <c:formatCode>0.0000</c:formatCode>
                <c:ptCount val="66"/>
                <c:pt idx="15">
                  <c:v>11.56034913530895</c:v>
                </c:pt>
                <c:pt idx="19">
                  <c:v>6.944678601431022</c:v>
                </c:pt>
                <c:pt idx="20">
                  <c:v>7.080184525361382</c:v>
                </c:pt>
                <c:pt idx="21">
                  <c:v>8.7549530539381735</c:v>
                </c:pt>
                <c:pt idx="22">
                  <c:v>6.1210566575417875</c:v>
                </c:pt>
                <c:pt idx="23">
                  <c:v>5.3909475935103721</c:v>
                </c:pt>
                <c:pt idx="24">
                  <c:v>4.1159924393847298</c:v>
                </c:pt>
                <c:pt idx="25">
                  <c:v>5.4837553590568078</c:v>
                </c:pt>
                <c:pt idx="26">
                  <c:v>5.0635375398095217</c:v>
                </c:pt>
                <c:pt idx="27">
                  <c:v>5.2984933536832557</c:v>
                </c:pt>
                <c:pt idx="28">
                  <c:v>5.8098164885142305</c:v>
                </c:pt>
                <c:pt idx="29">
                  <c:v>5.784409127777292</c:v>
                </c:pt>
                <c:pt idx="30">
                  <c:v>6.4704078676747443</c:v>
                </c:pt>
                <c:pt idx="31">
                  <c:v>6.1062356971119067</c:v>
                </c:pt>
                <c:pt idx="32">
                  <c:v>5.049712946467368</c:v>
                </c:pt>
                <c:pt idx="33">
                  <c:v>4.0538855575833121</c:v>
                </c:pt>
                <c:pt idx="34">
                  <c:v>3.5944357842569339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(All)'!$CN$7:$CN$107</c:f>
              <c:numCache>
                <c:formatCode>0.0000</c:formatCode>
                <c:ptCount val="66"/>
                <c:pt idx="15">
                  <c:v>11.56034913530895</c:v>
                </c:pt>
                <c:pt idx="19">
                  <c:v>6.944678601431022</c:v>
                </c:pt>
                <c:pt idx="20">
                  <c:v>7.080184525361382</c:v>
                </c:pt>
                <c:pt idx="21">
                  <c:v>8.7549530539381735</c:v>
                </c:pt>
                <c:pt idx="22">
                  <c:v>6.1210566575417875</c:v>
                </c:pt>
                <c:pt idx="23">
                  <c:v>5.3909475935103721</c:v>
                </c:pt>
                <c:pt idx="24">
                  <c:v>4.1159924393847298</c:v>
                </c:pt>
                <c:pt idx="25">
                  <c:v>5.4837553590568078</c:v>
                </c:pt>
                <c:pt idx="26">
                  <c:v>5.0635375398095217</c:v>
                </c:pt>
                <c:pt idx="27">
                  <c:v>5.2984933536832557</c:v>
                </c:pt>
                <c:pt idx="28">
                  <c:v>5.8098164885142305</c:v>
                </c:pt>
                <c:pt idx="29">
                  <c:v>5.784409127777292</c:v>
                </c:pt>
                <c:pt idx="30">
                  <c:v>6.4704078676747443</c:v>
                </c:pt>
                <c:pt idx="31">
                  <c:v>6.1062356971119067</c:v>
                </c:pt>
                <c:pt idx="32">
                  <c:v>5.049712946467368</c:v>
                </c:pt>
                <c:pt idx="33">
                  <c:v>4.0538855575833121</c:v>
                </c:pt>
                <c:pt idx="34">
                  <c:v>3.5944357842569339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097360"/>
        <c:axId val="690097920"/>
      </c:scatterChart>
      <c:valAx>
        <c:axId val="6900973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97920"/>
        <c:crosses val="autoZero"/>
        <c:crossBetween val="midCat"/>
        <c:majorUnit val="5"/>
      </c:valAx>
      <c:valAx>
        <c:axId val="690097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0973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Muscat, Kerosene,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(All)'!$CO$7:$CO$107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(All)'!$CO$7:$CO$107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00720"/>
        <c:axId val="690101280"/>
      </c:scatterChart>
      <c:valAx>
        <c:axId val="6901007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01280"/>
        <c:crosses val="autoZero"/>
        <c:crossBetween val="midCat"/>
        <c:majorUnit val="5"/>
      </c:valAx>
      <c:valAx>
        <c:axId val="69010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007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Mohammerah, Kerosene,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(All)'!$CP$7:$CP$107</c:f>
              <c:numCache>
                <c:formatCode>0.0000</c:formatCode>
                <c:ptCount val="66"/>
                <c:pt idx="30">
                  <c:v>7.8666666666666663</c:v>
                </c:pt>
                <c:pt idx="39">
                  <c:v>6.8000000000000043</c:v>
                </c:pt>
                <c:pt idx="40">
                  <c:v>10.000000000000009</c:v>
                </c:pt>
                <c:pt idx="41">
                  <c:v>4.9989217166271356</c:v>
                </c:pt>
                <c:pt idx="42">
                  <c:v>5.4107142857142838</c:v>
                </c:pt>
                <c:pt idx="43">
                  <c:v>5.8793721668792873</c:v>
                </c:pt>
                <c:pt idx="44">
                  <c:v>3.0103214784517216</c:v>
                </c:pt>
                <c:pt idx="45">
                  <c:v>4.572291725137994</c:v>
                </c:pt>
                <c:pt idx="46">
                  <c:v>7.6548611111111109</c:v>
                </c:pt>
                <c:pt idx="47">
                  <c:v>5.0916520437654862</c:v>
                </c:pt>
                <c:pt idx="48">
                  <c:v>5.5808247849322221</c:v>
                </c:pt>
                <c:pt idx="49">
                  <c:v>7.0302704887218077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(All)'!$CP$7:$CP$107</c:f>
              <c:numCache>
                <c:formatCode>0.0000</c:formatCode>
                <c:ptCount val="66"/>
                <c:pt idx="30">
                  <c:v>7.8666666666666663</c:v>
                </c:pt>
                <c:pt idx="39">
                  <c:v>6.8000000000000043</c:v>
                </c:pt>
                <c:pt idx="40">
                  <c:v>10.000000000000009</c:v>
                </c:pt>
                <c:pt idx="41">
                  <c:v>4.9989217166271356</c:v>
                </c:pt>
                <c:pt idx="42">
                  <c:v>5.4107142857142838</c:v>
                </c:pt>
                <c:pt idx="43">
                  <c:v>5.8793721668792873</c:v>
                </c:pt>
                <c:pt idx="44">
                  <c:v>3.0103214784517216</c:v>
                </c:pt>
                <c:pt idx="45">
                  <c:v>4.572291725137994</c:v>
                </c:pt>
                <c:pt idx="46">
                  <c:v>7.6548611111111109</c:v>
                </c:pt>
                <c:pt idx="47">
                  <c:v>5.0916520437654862</c:v>
                </c:pt>
                <c:pt idx="48">
                  <c:v>5.5808247849322221</c:v>
                </c:pt>
                <c:pt idx="49">
                  <c:v>7.0302704887218077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04080"/>
        <c:axId val="690104640"/>
      </c:scatterChart>
      <c:valAx>
        <c:axId val="6901040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04640"/>
        <c:crosses val="autoZero"/>
        <c:crossBetween val="midCat"/>
        <c:majorUnit val="5"/>
      </c:valAx>
      <c:valAx>
        <c:axId val="69010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040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Kerosene, Imports,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(All)'!$CQ$7:$CQ$107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(All)'!$CQ$7:$CQ$107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07440"/>
        <c:axId val="690108000"/>
      </c:scatterChart>
      <c:valAx>
        <c:axId val="6901074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08000"/>
        <c:crosses val="autoZero"/>
        <c:crossBetween val="midCat"/>
        <c:majorUnit val="5"/>
      </c:valAx>
      <c:valAx>
        <c:axId val="69010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074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Mohammerah,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(All)'!$CR$7:$CR$107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(All)'!$CR$7:$CR$107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10800"/>
        <c:axId val="690111360"/>
      </c:scatterChart>
      <c:valAx>
        <c:axId val="6901108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11360"/>
        <c:crosses val="autoZero"/>
        <c:crossBetween val="midCat"/>
        <c:majorUnit val="5"/>
      </c:valAx>
      <c:valAx>
        <c:axId val="69011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108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Palestine, Bazaar (Local),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(All)'!$T$7:$T$107</c:f>
              <c:numCache>
                <c:formatCode>0.0000</c:formatCode>
                <c:ptCount val="66"/>
                <c:pt idx="20">
                  <c:v>7.0845310083476338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(All)'!$T$7:$T$107</c:f>
              <c:numCache>
                <c:formatCode>0.0000</c:formatCode>
                <c:ptCount val="66"/>
                <c:pt idx="20">
                  <c:v>7.0845310083476338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743808"/>
        <c:axId val="605728128"/>
      </c:scatterChart>
      <c:valAx>
        <c:axId val="605743808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28128"/>
        <c:crosses val="autoZero"/>
        <c:crossBetween val="midCat"/>
        <c:majorUnit val="5"/>
      </c:valAx>
      <c:valAx>
        <c:axId val="60572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05743808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Lingah,</a:t>
            </a:r>
            <a:r>
              <a:rPr lang="en-US" sz="1800" b="1" i="0" u="none" strike="noStrike" baseline="0">
                <a:effectLst/>
              </a:rPr>
              <a:t> Kerosene,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(All)'!$CS$7:$CS$107</c:f>
              <c:numCache>
                <c:formatCode>0.0000</c:formatCode>
                <c:ptCount val="66"/>
                <c:pt idx="27">
                  <c:v>7.3080960523744345</c:v>
                </c:pt>
                <c:pt idx="29">
                  <c:v>6.4602956613016156</c:v>
                </c:pt>
                <c:pt idx="30">
                  <c:v>7.2679120879120838</c:v>
                </c:pt>
                <c:pt idx="31">
                  <c:v>5.2638505254495964</c:v>
                </c:pt>
                <c:pt idx="32">
                  <c:v>7.8420771428571445</c:v>
                </c:pt>
                <c:pt idx="33">
                  <c:v>7.1998611185983847</c:v>
                </c:pt>
                <c:pt idx="34">
                  <c:v>6.6782201298701249</c:v>
                </c:pt>
                <c:pt idx="35">
                  <c:v>7.0168926242236065</c:v>
                </c:pt>
                <c:pt idx="36">
                  <c:v>4.8632426190476226</c:v>
                </c:pt>
                <c:pt idx="37">
                  <c:v>4.4288839285714294</c:v>
                </c:pt>
                <c:pt idx="38">
                  <c:v>2.9531141904761857</c:v>
                </c:pt>
                <c:pt idx="39">
                  <c:v>3.1497785468226609</c:v>
                </c:pt>
                <c:pt idx="40">
                  <c:v>3.9374887117346926</c:v>
                </c:pt>
                <c:pt idx="41">
                  <c:v>4.3315548080728128</c:v>
                </c:pt>
                <c:pt idx="46">
                  <c:v>8.4055694980695019</c:v>
                </c:pt>
                <c:pt idx="47">
                  <c:v>5.4175591593579409</c:v>
                </c:pt>
                <c:pt idx="48">
                  <c:v>3.4296382176686699</c:v>
                </c:pt>
                <c:pt idx="49">
                  <c:v>5.2835481423613784</c:v>
                </c:pt>
                <c:pt idx="50">
                  <c:v>5.4196705858135772</c:v>
                </c:pt>
                <c:pt idx="51">
                  <c:v>4.7626574439678437</c:v>
                </c:pt>
                <c:pt idx="52">
                  <c:v>5.2566698346230236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(All)'!$CS$7:$CS$107</c:f>
              <c:numCache>
                <c:formatCode>0.0000</c:formatCode>
                <c:ptCount val="66"/>
                <c:pt idx="27">
                  <c:v>7.3080960523744345</c:v>
                </c:pt>
                <c:pt idx="29">
                  <c:v>6.4602956613016156</c:v>
                </c:pt>
                <c:pt idx="30">
                  <c:v>7.2679120879120838</c:v>
                </c:pt>
                <c:pt idx="31">
                  <c:v>5.2638505254495964</c:v>
                </c:pt>
                <c:pt idx="32">
                  <c:v>7.8420771428571445</c:v>
                </c:pt>
                <c:pt idx="33">
                  <c:v>7.1998611185983847</c:v>
                </c:pt>
                <c:pt idx="34">
                  <c:v>6.6782201298701249</c:v>
                </c:pt>
                <c:pt idx="35">
                  <c:v>7.0168926242236065</c:v>
                </c:pt>
                <c:pt idx="36">
                  <c:v>4.8632426190476226</c:v>
                </c:pt>
                <c:pt idx="37">
                  <c:v>4.4288839285714294</c:v>
                </c:pt>
                <c:pt idx="38">
                  <c:v>2.9531141904761857</c:v>
                </c:pt>
                <c:pt idx="39">
                  <c:v>3.1497785468226609</c:v>
                </c:pt>
                <c:pt idx="40">
                  <c:v>3.9374887117346926</c:v>
                </c:pt>
                <c:pt idx="41">
                  <c:v>4.3315548080728128</c:v>
                </c:pt>
                <c:pt idx="46">
                  <c:v>8.4055694980695019</c:v>
                </c:pt>
                <c:pt idx="47">
                  <c:v>5.4175591593579409</c:v>
                </c:pt>
                <c:pt idx="48">
                  <c:v>3.4296382176686699</c:v>
                </c:pt>
                <c:pt idx="49">
                  <c:v>5.2835481423613784</c:v>
                </c:pt>
                <c:pt idx="50">
                  <c:v>5.4196705858135772</c:v>
                </c:pt>
                <c:pt idx="51">
                  <c:v>4.7626574439678437</c:v>
                </c:pt>
                <c:pt idx="52">
                  <c:v>5.2566698346230236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14160"/>
        <c:axId val="690114720"/>
      </c:scatterChart>
      <c:valAx>
        <c:axId val="6901141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14720"/>
        <c:crosses val="autoZero"/>
        <c:crossBetween val="midCat"/>
        <c:majorUnit val="5"/>
      </c:valAx>
      <c:valAx>
        <c:axId val="69011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141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Kerosene, Exports,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(All)'!$CT$7:$CT$107</c:f>
              <c:numCache>
                <c:formatCode>0.0000</c:formatCode>
                <c:ptCount val="66"/>
                <c:pt idx="27">
                  <c:v>7.3223552826339127</c:v>
                </c:pt>
                <c:pt idx="29">
                  <c:v>6.460527809523807</c:v>
                </c:pt>
                <c:pt idx="30">
                  <c:v>7.5098124285714336</c:v>
                </c:pt>
                <c:pt idx="31">
                  <c:v>7.4281858208955232</c:v>
                </c:pt>
                <c:pt idx="32">
                  <c:v>7.0400500232666321</c:v>
                </c:pt>
                <c:pt idx="33">
                  <c:v>7.1231216517857154</c:v>
                </c:pt>
                <c:pt idx="34">
                  <c:v>7.6740761405011773</c:v>
                </c:pt>
                <c:pt idx="35">
                  <c:v>7.0731561512811538</c:v>
                </c:pt>
                <c:pt idx="36">
                  <c:v>7.227938571428572</c:v>
                </c:pt>
                <c:pt idx="37">
                  <c:v>4.4351241061496891</c:v>
                </c:pt>
                <c:pt idx="38">
                  <c:v>2.9525892857142861</c:v>
                </c:pt>
                <c:pt idx="39">
                  <c:v>3.1462791428571437</c:v>
                </c:pt>
                <c:pt idx="40">
                  <c:v>4.3265274999999965</c:v>
                </c:pt>
                <c:pt idx="41">
                  <c:v>3.6397373376623361</c:v>
                </c:pt>
                <c:pt idx="47">
                  <c:v>15.292898351648297</c:v>
                </c:pt>
                <c:pt idx="49">
                  <c:v>5.3412008426966304</c:v>
                </c:pt>
                <c:pt idx="50">
                  <c:v>5.1104035281676641</c:v>
                </c:pt>
                <c:pt idx="51">
                  <c:v>4.4132934896135527</c:v>
                </c:pt>
                <c:pt idx="52">
                  <c:v>5.5847425249169493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(All)'!$CT$7:$CT$107</c:f>
              <c:numCache>
                <c:formatCode>0.0000</c:formatCode>
                <c:ptCount val="66"/>
                <c:pt idx="27">
                  <c:v>7.3223552826339127</c:v>
                </c:pt>
                <c:pt idx="29">
                  <c:v>6.460527809523807</c:v>
                </c:pt>
                <c:pt idx="30">
                  <c:v>7.5098124285714336</c:v>
                </c:pt>
                <c:pt idx="31">
                  <c:v>7.4281858208955232</c:v>
                </c:pt>
                <c:pt idx="32">
                  <c:v>7.0400500232666321</c:v>
                </c:pt>
                <c:pt idx="33">
                  <c:v>7.1231216517857154</c:v>
                </c:pt>
                <c:pt idx="34">
                  <c:v>7.6740761405011773</c:v>
                </c:pt>
                <c:pt idx="35">
                  <c:v>7.0731561512811538</c:v>
                </c:pt>
                <c:pt idx="36">
                  <c:v>7.227938571428572</c:v>
                </c:pt>
                <c:pt idx="37">
                  <c:v>4.4351241061496891</c:v>
                </c:pt>
                <c:pt idx="38">
                  <c:v>2.9525892857142861</c:v>
                </c:pt>
                <c:pt idx="39">
                  <c:v>3.1462791428571437</c:v>
                </c:pt>
                <c:pt idx="40">
                  <c:v>4.3265274999999965</c:v>
                </c:pt>
                <c:pt idx="41">
                  <c:v>3.6397373376623361</c:v>
                </c:pt>
                <c:pt idx="47">
                  <c:v>15.292898351648297</c:v>
                </c:pt>
                <c:pt idx="49">
                  <c:v>5.3412008426966304</c:v>
                </c:pt>
                <c:pt idx="50">
                  <c:v>5.1104035281676641</c:v>
                </c:pt>
                <c:pt idx="51">
                  <c:v>4.4132934896135527</c:v>
                </c:pt>
                <c:pt idx="52">
                  <c:v>5.5847425249169493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17520"/>
        <c:axId val="690118080"/>
      </c:scatterChart>
      <c:valAx>
        <c:axId val="6901175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18080"/>
        <c:crosses val="autoZero"/>
        <c:crossBetween val="midCat"/>
        <c:majorUnit val="5"/>
      </c:valAx>
      <c:valAx>
        <c:axId val="69011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175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Lingah,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(All)'!$CU$7:$CU$107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(All)'!$CU$7:$CU$107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20880"/>
        <c:axId val="690121440"/>
      </c:scatterChart>
      <c:valAx>
        <c:axId val="6901208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21440"/>
        <c:crosses val="autoZero"/>
        <c:crossBetween val="midCat"/>
        <c:majorUnit val="5"/>
      </c:valAx>
      <c:valAx>
        <c:axId val="69012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208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Shiraz, </a:t>
            </a:r>
            <a:r>
              <a:rPr lang="en-US" sz="1800" b="1" i="0" u="none" strike="noStrike" baseline="0">
                <a:effectLst/>
              </a:rPr>
              <a:t>Kerosene, </a:t>
            </a: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(All)'!$CV$7:$CV$107</c:f>
              <c:numCache>
                <c:formatCode>General</c:formatCode>
                <c:ptCount val="66"/>
                <c:pt idx="27" formatCode="0.0000">
                  <c:v>10.674856674856674</c:v>
                </c:pt>
                <c:pt idx="28" formatCode="0.0000">
                  <c:v>10.068796068796061</c:v>
                </c:pt>
                <c:pt idx="29" formatCode="0.0000">
                  <c:v>9.3857493857493779</c:v>
                </c:pt>
                <c:pt idx="30" formatCode="0.0000">
                  <c:v>14.171990171990167</c:v>
                </c:pt>
                <c:pt idx="31" formatCode="0.0000">
                  <c:v>7.8132678132678119</c:v>
                </c:pt>
                <c:pt idx="32" formatCode="0.0000">
                  <c:v>16.69282185444872</c:v>
                </c:pt>
                <c:pt idx="33" formatCode="0.0000">
                  <c:v>10.990000000000007</c:v>
                </c:pt>
                <c:pt idx="34" formatCode="0.0000">
                  <c:v>11.109999999999996</c:v>
                </c:pt>
                <c:pt idx="35" formatCode="0.0000">
                  <c:v>11.113333333333326</c:v>
                </c:pt>
                <c:pt idx="36" formatCode="0.0000">
                  <c:v>10.98</c:v>
                </c:pt>
                <c:pt idx="37" formatCode="0.0000">
                  <c:v>10.400463588588588</c:v>
                </c:pt>
                <c:pt idx="38" formatCode="0.0000">
                  <c:v>9.406477288831752</c:v>
                </c:pt>
                <c:pt idx="39" formatCode="0.0000">
                  <c:v>9.7938744040604337</c:v>
                </c:pt>
                <c:pt idx="40" formatCode="0.0000">
                  <c:v>10.953423217264627</c:v>
                </c:pt>
                <c:pt idx="41" formatCode="0.0000">
                  <c:v>10.536170212765962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(All)'!$CV$7:$CV$107</c:f>
              <c:numCache>
                <c:formatCode>General</c:formatCode>
                <c:ptCount val="66"/>
                <c:pt idx="27" formatCode="0.0000">
                  <c:v>10.674856674856674</c:v>
                </c:pt>
                <c:pt idx="28" formatCode="0.0000">
                  <c:v>10.068796068796061</c:v>
                </c:pt>
                <c:pt idx="29" formatCode="0.0000">
                  <c:v>9.3857493857493779</c:v>
                </c:pt>
                <c:pt idx="30" formatCode="0.0000">
                  <c:v>14.171990171990167</c:v>
                </c:pt>
                <c:pt idx="31" formatCode="0.0000">
                  <c:v>7.8132678132678119</c:v>
                </c:pt>
                <c:pt idx="32" formatCode="0.0000">
                  <c:v>16.69282185444872</c:v>
                </c:pt>
                <c:pt idx="33" formatCode="0.0000">
                  <c:v>10.990000000000007</c:v>
                </c:pt>
                <c:pt idx="34" formatCode="0.0000">
                  <c:v>11.109999999999996</c:v>
                </c:pt>
                <c:pt idx="35" formatCode="0.0000">
                  <c:v>11.113333333333326</c:v>
                </c:pt>
                <c:pt idx="36" formatCode="0.0000">
                  <c:v>10.98</c:v>
                </c:pt>
                <c:pt idx="37" formatCode="0.0000">
                  <c:v>10.400463588588588</c:v>
                </c:pt>
                <c:pt idx="38" formatCode="0.0000">
                  <c:v>9.406477288831752</c:v>
                </c:pt>
                <c:pt idx="39" formatCode="0.0000">
                  <c:v>9.7938744040604337</c:v>
                </c:pt>
                <c:pt idx="40" formatCode="0.0000">
                  <c:v>10.953423217264627</c:v>
                </c:pt>
                <c:pt idx="41" formatCode="0.0000">
                  <c:v>10.536170212765962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24240"/>
        <c:axId val="690124800"/>
      </c:scatterChart>
      <c:valAx>
        <c:axId val="6901242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24800"/>
        <c:crosses val="autoZero"/>
        <c:crossBetween val="midCat"/>
        <c:majorUnit val="5"/>
      </c:valAx>
      <c:valAx>
        <c:axId val="69012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242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Exports,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(All)'!$CW$7:$CW$107</c:f>
              <c:numCache>
                <c:formatCode>General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(All)'!$CW$7:$CW$107</c:f>
              <c:numCache>
                <c:formatCode>General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27600"/>
        <c:axId val="690128160"/>
      </c:scatterChart>
      <c:valAx>
        <c:axId val="6901276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28160"/>
        <c:crosses val="autoZero"/>
        <c:crossBetween val="midCat"/>
        <c:majorUnit val="5"/>
      </c:valAx>
      <c:valAx>
        <c:axId val="69012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276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Shiraz, Bazaar (Local),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(All)'!$CX$7:$CX$107</c:f>
              <c:numCache>
                <c:formatCode>General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(All)'!$CX$7:$CX$107</c:f>
              <c:numCache>
                <c:formatCode>General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30960"/>
        <c:axId val="690131520"/>
      </c:scatterChart>
      <c:valAx>
        <c:axId val="69013096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31520"/>
        <c:crosses val="autoZero"/>
        <c:crossBetween val="midCat"/>
        <c:majorUnit val="5"/>
      </c:valAx>
      <c:valAx>
        <c:axId val="69013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3096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Imports,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(All)'!$O$7:$O$107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(All)'!$O$7:$O$107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34320"/>
        <c:axId val="690134880"/>
      </c:scatterChart>
      <c:valAx>
        <c:axId val="69013432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34880"/>
        <c:crosses val="autoZero"/>
        <c:crossBetween val="midCat"/>
        <c:majorUnit val="5"/>
      </c:valAx>
      <c:valAx>
        <c:axId val="69013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3432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Bazaar (Local),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(All)'!$Q$7:$Q$107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(All)'!$Q$7:$Q$107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37680"/>
        <c:axId val="690138240"/>
      </c:scatterChart>
      <c:valAx>
        <c:axId val="69013768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38240"/>
        <c:crosses val="autoZero"/>
        <c:crossBetween val="midCat"/>
        <c:majorUnit val="5"/>
      </c:valAx>
      <c:valAx>
        <c:axId val="69013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3768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Egypt, Exports, in s/case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(All)'!$P$7:$P$107</c:f>
              <c:numCache>
                <c:formatCode>0.0000</c:formatCode>
                <c:ptCount val="66"/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(All)'!$P$7:$P$107</c:f>
              <c:numCache>
                <c:formatCode>0.0000</c:formatCode>
                <c:ptCount val="6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41040"/>
        <c:axId val="690141600"/>
      </c:scatterChart>
      <c:valAx>
        <c:axId val="69014104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41600"/>
        <c:crosses val="autoZero"/>
        <c:crossBetween val="midCat"/>
        <c:majorUnit val="5"/>
      </c:valAx>
      <c:valAx>
        <c:axId val="69014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4104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n-US" sz="1800" b="1" i="0" u="none" strike="noStrike" kern="1200" spc="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effectLst/>
              </a:rPr>
              <a:t>Saratov, Kerosene, in s/case</a:t>
            </a:r>
            <a:endParaRPr lang="en-US" sz="1800" b="1" i="0" u="none" strike="noStrike" kern="1200" baseline="0">
              <a:solidFill>
                <a:srgbClr val="000000"/>
              </a:solidFill>
              <a:latin typeface="Calibri"/>
              <a:ea typeface="Calibri"/>
              <a:cs typeface="Calibri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800" b="1" i="0" u="none" strike="noStrike" kern="1200" spc="0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622348930521617E-2"/>
          <c:y val="0.10716057530380958"/>
          <c:w val="0.89530485413461247"/>
          <c:h val="0.80598493468663235"/>
        </c:manualLayout>
      </c:layout>
      <c:scatterChart>
        <c:scatterStyle val="lineMarker"/>
        <c:varyColors val="0"/>
        <c:ser>
          <c:idx val="1"/>
          <c:order val="0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(All)'!$CI$7:$CI$107</c:f>
              <c:numCache>
                <c:formatCode>0.0000</c:formatCode>
                <c:ptCount val="66"/>
                <c:pt idx="30" formatCode="_(* #,##0.0000_);_(* \(#,##0.0000\);_(* &quot;-&quot;??_);_(@_)">
                  <c:v>4.9093634284702823</c:v>
                </c:pt>
                <c:pt idx="31" formatCode="_(* #,##0.0000_);_(* \(#,##0.0000\);_(* &quot;-&quot;??_);_(@_)">
                  <c:v>4.0647525451190321</c:v>
                </c:pt>
                <c:pt idx="32" formatCode="_(* #,##0.0000_);_(* \(#,##0.0000\);_(* &quot;-&quot;??_);_(@_)">
                  <c:v>3.4880028409530408</c:v>
                </c:pt>
                <c:pt idx="33" formatCode="_(* #,##0.0000_);_(* \(#,##0.0000\);_(* &quot;-&quot;??_);_(@_)">
                  <c:v>4.1635276754003607</c:v>
                </c:pt>
                <c:pt idx="34" formatCode="_(* #,##0.0000_);_(* \(#,##0.0000\);_(* &quot;-&quot;??_);_(@_)">
                  <c:v>4.2743853863668901</c:v>
                </c:pt>
                <c:pt idx="35" formatCode="_(* #,##0.0000_);_(* \(#,##0.0000\);_(* &quot;-&quot;??_);_(@_)">
                  <c:v>4.5459339999843369</c:v>
                </c:pt>
                <c:pt idx="36" formatCode="_(* #,##0.0000_);_(* \(#,##0.0000\);_(* &quot;-&quot;??_);_(@_)">
                  <c:v>4.6110822497453912</c:v>
                </c:pt>
                <c:pt idx="37" formatCode="_(* #,##0.0000_);_(* \(#,##0.0000\);_(* &quot;-&quot;??_);_(@_)">
                  <c:v>4.4612416996199133</c:v>
                </c:pt>
                <c:pt idx="38" formatCode="_(* #,##0.0000_);_(* \(#,##0.0000\);_(* &quot;-&quot;??_);_(@_)">
                  <c:v>4.4360322075961145</c:v>
                </c:pt>
                <c:pt idx="39" formatCode="_(* #,##0.0000_);_(* \(#,##0.0000\);_(* &quot;-&quot;??_);_(@_)">
                  <c:v>4.6106456543771479</c:v>
                </c:pt>
                <c:pt idx="40" formatCode="_(* #,##0.0000_);_(* \(#,##0.0000\);_(* &quot;-&quot;??_);_(@_)">
                  <c:v>5.2347306928743587</c:v>
                </c:pt>
                <c:pt idx="41" formatCode="_(* #,##0.0000_);_(* \(#,##0.0000\);_(* &quot;-&quot;??_);_(@_)">
                  <c:v>4.9545195015231238</c:v>
                </c:pt>
                <c:pt idx="42" formatCode="_(* #,##0.0000_);_(* \(#,##0.0000\);_(* &quot;-&quot;??_);_(@_)">
                  <c:v>4.5044041138113764</c:v>
                </c:pt>
                <c:pt idx="43" formatCode="_(* #,##0.0000_);_(* \(#,##0.0000\);_(* &quot;-&quot;??_);_(@_)">
                  <c:v>4.4904273189103181</c:v>
                </c:pt>
                <c:pt idx="44" formatCode="_(* #,##0.0000_);_(* \(#,##0.0000\);_(* &quot;-&quot;??_);_(@_)">
                  <c:v>4.8066769391015063</c:v>
                </c:pt>
                <c:pt idx="45" formatCode="_(* #,##0.0000_);_(* \(#,##0.0000\);_(* &quot;-&quot;??_);_(@_)">
                  <c:v>5.0841292433327112</c:v>
                </c:pt>
                <c:pt idx="46" formatCode="_(* #,##0.0000_);_(* \(#,##0.0000\);_(* &quot;-&quot;??_);_(@_)">
                  <c:v>4.6582846235768658</c:v>
                </c:pt>
                <c:pt idx="47" formatCode="_(* #,##0.0000_);_(* \(#,##0.0000\);_(* &quot;-&quot;??_);_(@_)">
                  <c:v>5.663307026762717</c:v>
                </c:pt>
                <c:pt idx="48" formatCode="_(* #,##0.0000_);_(* \(#,##0.0000\);_(* &quot;-&quot;??_);_(@_)">
                  <c:v>5.56788074526155</c:v>
                </c:pt>
                <c:pt idx="49" formatCode="_(* #,##0.0000_);_(* \(#,##0.0000\);_(* &quot;-&quot;??_);_(@_)">
                  <c:v>5.7713438329119811</c:v>
                </c:pt>
                <c:pt idx="50" formatCode="_(* #,##0.0000_);_(* \(#,##0.0000\);_(* &quot;-&quot;??_);_(@_)">
                  <c:v>5.0176803581456255</c:v>
                </c:pt>
                <c:pt idx="51" formatCode="_(* #,##0.0000_);_(* \(#,##0.0000\);_(* &quot;-&quot;??_);_(@_)">
                  <c:v>5.3282042244656491</c:v>
                </c:pt>
                <c:pt idx="52" formatCode="_(* #,##0.0000_);_(* \(#,##0.0000\);_(* &quot;-&quot;??_);_(@_)">
                  <c:v>6.1208884533725305</c:v>
                </c:pt>
                <c:pt idx="53" formatCode="_(* #,##0.0000_);_(* \(#,##0.0000\);_(* &quot;-&quot;??_);_(@_)">
                  <c:v>6.7270274134077548</c:v>
                </c:pt>
                <c:pt idx="54" formatCode="_(* #,##0.0000_);_(* \(#,##0.0000\);_(* &quot;-&quot;??_);_(@_)">
                  <c:v>6.4196166865283972</c:v>
                </c:pt>
              </c:numCache>
            </c:numRef>
          </c:yVal>
          <c:smooth val="0"/>
        </c:ser>
        <c:ser>
          <c:idx val="0"/>
          <c:order val="1"/>
          <c:spPr>
            <a:ln w="19050" cap="rnd" cmpd="sng">
              <a:solidFill>
                <a:schemeClr val="accent1">
                  <a:lumMod val="50000"/>
                </a:schemeClr>
              </a:solidFill>
              <a:round/>
            </a:ln>
            <a:effectLst>
              <a:glow>
                <a:schemeClr val="accent1">
                  <a:alpha val="40000"/>
                </a:schemeClr>
              </a:glow>
            </a:effectLst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chemeClr val="accent1"/>
                </a:solidFill>
              </a:ln>
              <a:effectLst>
                <a:glow>
                  <a:schemeClr val="accent1">
                    <a:alpha val="40000"/>
                  </a:schemeClr>
                </a:glow>
              </a:effectLst>
            </c:spPr>
          </c:marker>
          <c:xVal>
            <c:numRef>
              <c:f>'Kerosene (All)'!$A$7:$A$107</c:f>
              <c:numCache>
                <c:formatCode>General</c:formatCode>
                <c:ptCount val="66"/>
                <c:pt idx="0">
                  <c:v>1860</c:v>
                </c:pt>
                <c:pt idx="1">
                  <c:v>1861</c:v>
                </c:pt>
                <c:pt idx="2">
                  <c:v>1862</c:v>
                </c:pt>
                <c:pt idx="3">
                  <c:v>1863</c:v>
                </c:pt>
                <c:pt idx="4">
                  <c:v>1864</c:v>
                </c:pt>
                <c:pt idx="5">
                  <c:v>1865</c:v>
                </c:pt>
                <c:pt idx="6">
                  <c:v>1866</c:v>
                </c:pt>
                <c:pt idx="7">
                  <c:v>1867</c:v>
                </c:pt>
                <c:pt idx="8">
                  <c:v>1868</c:v>
                </c:pt>
                <c:pt idx="9">
                  <c:v>1869</c:v>
                </c:pt>
                <c:pt idx="10">
                  <c:v>1870</c:v>
                </c:pt>
                <c:pt idx="11">
                  <c:v>1871</c:v>
                </c:pt>
                <c:pt idx="12">
                  <c:v>1872</c:v>
                </c:pt>
                <c:pt idx="13">
                  <c:v>1873</c:v>
                </c:pt>
                <c:pt idx="14">
                  <c:v>1874</c:v>
                </c:pt>
                <c:pt idx="15">
                  <c:v>1875</c:v>
                </c:pt>
                <c:pt idx="16">
                  <c:v>1876</c:v>
                </c:pt>
                <c:pt idx="17">
                  <c:v>1877</c:v>
                </c:pt>
                <c:pt idx="18">
                  <c:v>1878</c:v>
                </c:pt>
                <c:pt idx="19">
                  <c:v>1879</c:v>
                </c:pt>
                <c:pt idx="20">
                  <c:v>1880</c:v>
                </c:pt>
                <c:pt idx="21">
                  <c:v>1881</c:v>
                </c:pt>
                <c:pt idx="22">
                  <c:v>1882</c:v>
                </c:pt>
                <c:pt idx="23">
                  <c:v>1883</c:v>
                </c:pt>
                <c:pt idx="24">
                  <c:v>1884</c:v>
                </c:pt>
                <c:pt idx="25">
                  <c:v>1885</c:v>
                </c:pt>
                <c:pt idx="26">
                  <c:v>1886</c:v>
                </c:pt>
                <c:pt idx="27">
                  <c:v>1887</c:v>
                </c:pt>
                <c:pt idx="28">
                  <c:v>1888</c:v>
                </c:pt>
                <c:pt idx="29">
                  <c:v>1889</c:v>
                </c:pt>
                <c:pt idx="30">
                  <c:v>1890</c:v>
                </c:pt>
                <c:pt idx="31">
                  <c:v>1891</c:v>
                </c:pt>
                <c:pt idx="32">
                  <c:v>1892</c:v>
                </c:pt>
                <c:pt idx="33">
                  <c:v>1893</c:v>
                </c:pt>
                <c:pt idx="34">
                  <c:v>1894</c:v>
                </c:pt>
                <c:pt idx="35">
                  <c:v>1895</c:v>
                </c:pt>
                <c:pt idx="36">
                  <c:v>1896</c:v>
                </c:pt>
                <c:pt idx="37">
                  <c:v>1897</c:v>
                </c:pt>
                <c:pt idx="38">
                  <c:v>1898</c:v>
                </c:pt>
                <c:pt idx="39">
                  <c:v>1899</c:v>
                </c:pt>
                <c:pt idx="40">
                  <c:v>1900</c:v>
                </c:pt>
                <c:pt idx="41">
                  <c:v>1901</c:v>
                </c:pt>
                <c:pt idx="42">
                  <c:v>1902</c:v>
                </c:pt>
                <c:pt idx="43">
                  <c:v>1903</c:v>
                </c:pt>
                <c:pt idx="44">
                  <c:v>1904</c:v>
                </c:pt>
                <c:pt idx="45">
                  <c:v>1905</c:v>
                </c:pt>
                <c:pt idx="46">
                  <c:v>1906</c:v>
                </c:pt>
                <c:pt idx="47">
                  <c:v>1907</c:v>
                </c:pt>
                <c:pt idx="48">
                  <c:v>1908</c:v>
                </c:pt>
                <c:pt idx="49">
                  <c:v>1909</c:v>
                </c:pt>
                <c:pt idx="50">
                  <c:v>1910</c:v>
                </c:pt>
                <c:pt idx="51">
                  <c:v>1911</c:v>
                </c:pt>
                <c:pt idx="52">
                  <c:v>1912</c:v>
                </c:pt>
                <c:pt idx="53">
                  <c:v>1913</c:v>
                </c:pt>
                <c:pt idx="54">
                  <c:v>1914</c:v>
                </c:pt>
                <c:pt idx="55">
                  <c:v>1915</c:v>
                </c:pt>
                <c:pt idx="56">
                  <c:v>1916</c:v>
                </c:pt>
                <c:pt idx="57">
                  <c:v>1917</c:v>
                </c:pt>
                <c:pt idx="58">
                  <c:v>1918</c:v>
                </c:pt>
                <c:pt idx="59">
                  <c:v>1919</c:v>
                </c:pt>
                <c:pt idx="60">
                  <c:v>1920</c:v>
                </c:pt>
                <c:pt idx="61">
                  <c:v>1921</c:v>
                </c:pt>
                <c:pt idx="62">
                  <c:v>1922</c:v>
                </c:pt>
                <c:pt idx="63">
                  <c:v>1923</c:v>
                </c:pt>
                <c:pt idx="64">
                  <c:v>1924</c:v>
                </c:pt>
                <c:pt idx="65">
                  <c:v>1925</c:v>
                </c:pt>
              </c:numCache>
            </c:numRef>
          </c:xVal>
          <c:yVal>
            <c:numRef>
              <c:f>'Kerosene (All)'!$CI$7:$CI$107</c:f>
              <c:numCache>
                <c:formatCode>0.0000</c:formatCode>
                <c:ptCount val="66"/>
                <c:pt idx="30" formatCode="_(* #,##0.0000_);_(* \(#,##0.0000\);_(* &quot;-&quot;??_);_(@_)">
                  <c:v>4.9093634284702823</c:v>
                </c:pt>
                <c:pt idx="31" formatCode="_(* #,##0.0000_);_(* \(#,##0.0000\);_(* &quot;-&quot;??_);_(@_)">
                  <c:v>4.0647525451190321</c:v>
                </c:pt>
                <c:pt idx="32" formatCode="_(* #,##0.0000_);_(* \(#,##0.0000\);_(* &quot;-&quot;??_);_(@_)">
                  <c:v>3.4880028409530408</c:v>
                </c:pt>
                <c:pt idx="33" formatCode="_(* #,##0.0000_);_(* \(#,##0.0000\);_(* &quot;-&quot;??_);_(@_)">
                  <c:v>4.1635276754003607</c:v>
                </c:pt>
                <c:pt idx="34" formatCode="_(* #,##0.0000_);_(* \(#,##0.0000\);_(* &quot;-&quot;??_);_(@_)">
                  <c:v>4.2743853863668901</c:v>
                </c:pt>
                <c:pt idx="35" formatCode="_(* #,##0.0000_);_(* \(#,##0.0000\);_(* &quot;-&quot;??_);_(@_)">
                  <c:v>4.5459339999843369</c:v>
                </c:pt>
                <c:pt idx="36" formatCode="_(* #,##0.0000_);_(* \(#,##0.0000\);_(* &quot;-&quot;??_);_(@_)">
                  <c:v>4.6110822497453912</c:v>
                </c:pt>
                <c:pt idx="37" formatCode="_(* #,##0.0000_);_(* \(#,##0.0000\);_(* &quot;-&quot;??_);_(@_)">
                  <c:v>4.4612416996199133</c:v>
                </c:pt>
                <c:pt idx="38" formatCode="_(* #,##0.0000_);_(* \(#,##0.0000\);_(* &quot;-&quot;??_);_(@_)">
                  <c:v>4.4360322075961145</c:v>
                </c:pt>
                <c:pt idx="39" formatCode="_(* #,##0.0000_);_(* \(#,##0.0000\);_(* &quot;-&quot;??_);_(@_)">
                  <c:v>4.6106456543771479</c:v>
                </c:pt>
                <c:pt idx="40" formatCode="_(* #,##0.0000_);_(* \(#,##0.0000\);_(* &quot;-&quot;??_);_(@_)">
                  <c:v>5.2347306928743587</c:v>
                </c:pt>
                <c:pt idx="41" formatCode="_(* #,##0.0000_);_(* \(#,##0.0000\);_(* &quot;-&quot;??_);_(@_)">
                  <c:v>4.9545195015231238</c:v>
                </c:pt>
                <c:pt idx="42" formatCode="_(* #,##0.0000_);_(* \(#,##0.0000\);_(* &quot;-&quot;??_);_(@_)">
                  <c:v>4.5044041138113764</c:v>
                </c:pt>
                <c:pt idx="43" formatCode="_(* #,##0.0000_);_(* \(#,##0.0000\);_(* &quot;-&quot;??_);_(@_)">
                  <c:v>4.4904273189103181</c:v>
                </c:pt>
                <c:pt idx="44" formatCode="_(* #,##0.0000_);_(* \(#,##0.0000\);_(* &quot;-&quot;??_);_(@_)">
                  <c:v>4.8066769391015063</c:v>
                </c:pt>
                <c:pt idx="45" formatCode="_(* #,##0.0000_);_(* \(#,##0.0000\);_(* &quot;-&quot;??_);_(@_)">
                  <c:v>5.0841292433327112</c:v>
                </c:pt>
                <c:pt idx="46" formatCode="_(* #,##0.0000_);_(* \(#,##0.0000\);_(* &quot;-&quot;??_);_(@_)">
                  <c:v>4.6582846235768658</c:v>
                </c:pt>
                <c:pt idx="47" formatCode="_(* #,##0.0000_);_(* \(#,##0.0000\);_(* &quot;-&quot;??_);_(@_)">
                  <c:v>5.663307026762717</c:v>
                </c:pt>
                <c:pt idx="48" formatCode="_(* #,##0.0000_);_(* \(#,##0.0000\);_(* &quot;-&quot;??_);_(@_)">
                  <c:v>5.56788074526155</c:v>
                </c:pt>
                <c:pt idx="49" formatCode="_(* #,##0.0000_);_(* \(#,##0.0000\);_(* &quot;-&quot;??_);_(@_)">
                  <c:v>5.7713438329119811</c:v>
                </c:pt>
                <c:pt idx="50" formatCode="_(* #,##0.0000_);_(* \(#,##0.0000\);_(* &quot;-&quot;??_);_(@_)">
                  <c:v>5.0176803581456255</c:v>
                </c:pt>
                <c:pt idx="51" formatCode="_(* #,##0.0000_);_(* \(#,##0.0000\);_(* &quot;-&quot;??_);_(@_)">
                  <c:v>5.3282042244656491</c:v>
                </c:pt>
                <c:pt idx="52" formatCode="_(* #,##0.0000_);_(* \(#,##0.0000\);_(* &quot;-&quot;??_);_(@_)">
                  <c:v>6.1208884533725305</c:v>
                </c:pt>
                <c:pt idx="53" formatCode="_(* #,##0.0000_);_(* \(#,##0.0000\);_(* &quot;-&quot;??_);_(@_)">
                  <c:v>6.7270274134077548</c:v>
                </c:pt>
                <c:pt idx="54" formatCode="_(* #,##0.0000_);_(* \(#,##0.0000\);_(* &quot;-&quot;??_);_(@_)">
                  <c:v>6.4196166865283972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0144400"/>
        <c:axId val="690144960"/>
      </c:scatterChart>
      <c:valAx>
        <c:axId val="690144400"/>
        <c:scaling>
          <c:orientation val="minMax"/>
          <c:min val="1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0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44960"/>
        <c:crosses val="autoZero"/>
        <c:crossBetween val="midCat"/>
        <c:majorUnit val="5"/>
      </c:valAx>
      <c:valAx>
        <c:axId val="69014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90144400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84" Type="http://schemas.openxmlformats.org/officeDocument/2006/relationships/chart" Target="../charts/chart84.xml"/><Relationship Id="rId89" Type="http://schemas.openxmlformats.org/officeDocument/2006/relationships/chart" Target="../charts/chart89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5" Type="http://schemas.openxmlformats.org/officeDocument/2006/relationships/chart" Target="../charts/chart5.xml"/><Relationship Id="rId90" Type="http://schemas.openxmlformats.org/officeDocument/2006/relationships/chart" Target="../charts/chart90.xml"/><Relationship Id="rId95" Type="http://schemas.openxmlformats.org/officeDocument/2006/relationships/chart" Target="../charts/chart95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0" Type="http://schemas.openxmlformats.org/officeDocument/2006/relationships/chart" Target="../charts/chart80.xml"/><Relationship Id="rId85" Type="http://schemas.openxmlformats.org/officeDocument/2006/relationships/chart" Target="../charts/chart85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103" Type="http://schemas.openxmlformats.org/officeDocument/2006/relationships/chart" Target="../charts/chart103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83" Type="http://schemas.openxmlformats.org/officeDocument/2006/relationships/chart" Target="../charts/chart83.xml"/><Relationship Id="rId88" Type="http://schemas.openxmlformats.org/officeDocument/2006/relationships/chart" Target="../charts/chart88.xml"/><Relationship Id="rId91" Type="http://schemas.openxmlformats.org/officeDocument/2006/relationships/chart" Target="../charts/chart91.xml"/><Relationship Id="rId96" Type="http://schemas.openxmlformats.org/officeDocument/2006/relationships/chart" Target="../charts/chart9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81" Type="http://schemas.openxmlformats.org/officeDocument/2006/relationships/chart" Target="../charts/chart81.xml"/><Relationship Id="rId86" Type="http://schemas.openxmlformats.org/officeDocument/2006/relationships/chart" Target="../charts/chart86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4" Type="http://schemas.openxmlformats.org/officeDocument/2006/relationships/chart" Target="../charts/chart24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98" Type="http://schemas.openxmlformats.org/officeDocument/2006/relationships/chart" Target="../charts/chart98.xml"/><Relationship Id="rId3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</xdr:row>
      <xdr:rowOff>38100</xdr:rowOff>
    </xdr:from>
    <xdr:to>
      <xdr:col>22</xdr:col>
      <xdr:colOff>571500</xdr:colOff>
      <xdr:row>27</xdr:row>
      <xdr:rowOff>139700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1</xdr:row>
      <xdr:rowOff>38100</xdr:rowOff>
    </xdr:from>
    <xdr:to>
      <xdr:col>11</xdr:col>
      <xdr:colOff>152400</xdr:colOff>
      <xdr:row>27</xdr:row>
      <xdr:rowOff>139700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25400</xdr:colOff>
      <xdr:row>30</xdr:row>
      <xdr:rowOff>50800</xdr:rowOff>
    </xdr:from>
    <xdr:to>
      <xdr:col>22</xdr:col>
      <xdr:colOff>558800</xdr:colOff>
      <xdr:row>56</xdr:row>
      <xdr:rowOff>165100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533400</xdr:colOff>
      <xdr:row>30</xdr:row>
      <xdr:rowOff>76200</xdr:rowOff>
    </xdr:from>
    <xdr:to>
      <xdr:col>34</xdr:col>
      <xdr:colOff>457200</xdr:colOff>
      <xdr:row>57</xdr:row>
      <xdr:rowOff>0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25400</xdr:colOff>
      <xdr:row>59</xdr:row>
      <xdr:rowOff>50800</xdr:rowOff>
    </xdr:from>
    <xdr:to>
      <xdr:col>22</xdr:col>
      <xdr:colOff>558800</xdr:colOff>
      <xdr:row>85</xdr:row>
      <xdr:rowOff>152400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558800</xdr:colOff>
      <xdr:row>59</xdr:row>
      <xdr:rowOff>101600</xdr:rowOff>
    </xdr:from>
    <xdr:to>
      <xdr:col>34</xdr:col>
      <xdr:colOff>482600</xdr:colOff>
      <xdr:row>86</xdr:row>
      <xdr:rowOff>25400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149</xdr:row>
      <xdr:rowOff>50800</xdr:rowOff>
    </xdr:from>
    <xdr:to>
      <xdr:col>11</xdr:col>
      <xdr:colOff>95250</xdr:colOff>
      <xdr:row>175</xdr:row>
      <xdr:rowOff>127000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552450</xdr:colOff>
      <xdr:row>149</xdr:row>
      <xdr:rowOff>50800</xdr:rowOff>
    </xdr:from>
    <xdr:to>
      <xdr:col>22</xdr:col>
      <xdr:colOff>476250</xdr:colOff>
      <xdr:row>175</xdr:row>
      <xdr:rowOff>127000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</xdr:col>
      <xdr:colOff>552450</xdr:colOff>
      <xdr:row>149</xdr:row>
      <xdr:rowOff>76200</xdr:rowOff>
    </xdr:from>
    <xdr:to>
      <xdr:col>34</xdr:col>
      <xdr:colOff>476250</xdr:colOff>
      <xdr:row>176</xdr:row>
      <xdr:rowOff>25400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203200</xdr:colOff>
      <xdr:row>30</xdr:row>
      <xdr:rowOff>50800</xdr:rowOff>
    </xdr:from>
    <xdr:to>
      <xdr:col>11</xdr:col>
      <xdr:colOff>127000</xdr:colOff>
      <xdr:row>56</xdr:row>
      <xdr:rowOff>152400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59</xdr:row>
      <xdr:rowOff>50800</xdr:rowOff>
    </xdr:from>
    <xdr:to>
      <xdr:col>11</xdr:col>
      <xdr:colOff>152400</xdr:colOff>
      <xdr:row>85</xdr:row>
      <xdr:rowOff>152400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88</xdr:row>
      <xdr:rowOff>76200</xdr:rowOff>
    </xdr:from>
    <xdr:to>
      <xdr:col>11</xdr:col>
      <xdr:colOff>152400</xdr:colOff>
      <xdr:row>115</xdr:row>
      <xdr:rowOff>0</xdr:rowOff>
    </xdr:to>
    <xdr:graphicFrame macro="">
      <xdr:nvGraphicFramePr>
        <xdr:cNvPr id="39" name="Chart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50800</xdr:colOff>
      <xdr:row>88</xdr:row>
      <xdr:rowOff>50800</xdr:rowOff>
    </xdr:from>
    <xdr:to>
      <xdr:col>22</xdr:col>
      <xdr:colOff>584200</xdr:colOff>
      <xdr:row>114</xdr:row>
      <xdr:rowOff>152400</xdr:rowOff>
    </xdr:to>
    <xdr:graphicFrame macro="">
      <xdr:nvGraphicFramePr>
        <xdr:cNvPr id="40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25400</xdr:colOff>
      <xdr:row>88</xdr:row>
      <xdr:rowOff>76200</xdr:rowOff>
    </xdr:from>
    <xdr:to>
      <xdr:col>34</xdr:col>
      <xdr:colOff>558800</xdr:colOff>
      <xdr:row>115</xdr:row>
      <xdr:rowOff>0</xdr:rowOff>
    </xdr:to>
    <xdr:graphicFrame macro="">
      <xdr:nvGraphicFramePr>
        <xdr:cNvPr id="41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196850</xdr:colOff>
      <xdr:row>178</xdr:row>
      <xdr:rowOff>76200</xdr:rowOff>
    </xdr:from>
    <xdr:to>
      <xdr:col>11</xdr:col>
      <xdr:colOff>120650</xdr:colOff>
      <xdr:row>205</xdr:row>
      <xdr:rowOff>25400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577850</xdr:colOff>
      <xdr:row>178</xdr:row>
      <xdr:rowOff>101600</xdr:rowOff>
    </xdr:from>
    <xdr:to>
      <xdr:col>22</xdr:col>
      <xdr:colOff>501650</xdr:colOff>
      <xdr:row>205</xdr:row>
      <xdr:rowOff>50800</xdr:rowOff>
    </xdr:to>
    <xdr:graphicFrame macro="">
      <xdr:nvGraphicFramePr>
        <xdr:cNvPr id="47" name="Chart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</xdr:col>
      <xdr:colOff>577850</xdr:colOff>
      <xdr:row>178</xdr:row>
      <xdr:rowOff>101600</xdr:rowOff>
    </xdr:from>
    <xdr:to>
      <xdr:col>34</xdr:col>
      <xdr:colOff>501650</xdr:colOff>
      <xdr:row>205</xdr:row>
      <xdr:rowOff>50800</xdr:rowOff>
    </xdr:to>
    <xdr:graphicFrame macro="">
      <xdr:nvGraphicFramePr>
        <xdr:cNvPr id="48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222250</xdr:colOff>
      <xdr:row>207</xdr:row>
      <xdr:rowOff>127000</xdr:rowOff>
    </xdr:from>
    <xdr:to>
      <xdr:col>11</xdr:col>
      <xdr:colOff>146050</xdr:colOff>
      <xdr:row>234</xdr:row>
      <xdr:rowOff>76200</xdr:rowOff>
    </xdr:to>
    <xdr:graphicFrame macro="">
      <xdr:nvGraphicFramePr>
        <xdr:cNvPr id="49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603250</xdr:colOff>
      <xdr:row>208</xdr:row>
      <xdr:rowOff>0</xdr:rowOff>
    </xdr:from>
    <xdr:to>
      <xdr:col>34</xdr:col>
      <xdr:colOff>527050</xdr:colOff>
      <xdr:row>234</xdr:row>
      <xdr:rowOff>76200</xdr:rowOff>
    </xdr:to>
    <xdr:graphicFrame macro="">
      <xdr:nvGraphicFramePr>
        <xdr:cNvPr id="51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603250</xdr:colOff>
      <xdr:row>207</xdr:row>
      <xdr:rowOff>127000</xdr:rowOff>
    </xdr:from>
    <xdr:to>
      <xdr:col>22</xdr:col>
      <xdr:colOff>527050</xdr:colOff>
      <xdr:row>234</xdr:row>
      <xdr:rowOff>76200</xdr:rowOff>
    </xdr:to>
    <xdr:graphicFrame macro="">
      <xdr:nvGraphicFramePr>
        <xdr:cNvPr id="52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222250</xdr:colOff>
      <xdr:row>236</xdr:row>
      <xdr:rowOff>101600</xdr:rowOff>
    </xdr:from>
    <xdr:to>
      <xdr:col>11</xdr:col>
      <xdr:colOff>146050</xdr:colOff>
      <xdr:row>263</xdr:row>
      <xdr:rowOff>50800</xdr:rowOff>
    </xdr:to>
    <xdr:graphicFrame macro="">
      <xdr:nvGraphicFramePr>
        <xdr:cNvPr id="53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222250</xdr:colOff>
      <xdr:row>265</xdr:row>
      <xdr:rowOff>101600</xdr:rowOff>
    </xdr:from>
    <xdr:to>
      <xdr:col>11</xdr:col>
      <xdr:colOff>146050</xdr:colOff>
      <xdr:row>292</xdr:row>
      <xdr:rowOff>50800</xdr:rowOff>
    </xdr:to>
    <xdr:graphicFrame macro="">
      <xdr:nvGraphicFramePr>
        <xdr:cNvPr id="54" name="Chart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11</xdr:col>
      <xdr:colOff>501650</xdr:colOff>
      <xdr:row>236</xdr:row>
      <xdr:rowOff>76200</xdr:rowOff>
    </xdr:from>
    <xdr:to>
      <xdr:col>22</xdr:col>
      <xdr:colOff>425450</xdr:colOff>
      <xdr:row>263</xdr:row>
      <xdr:rowOff>25400</xdr:rowOff>
    </xdr:to>
    <xdr:graphicFrame macro="">
      <xdr:nvGraphicFramePr>
        <xdr:cNvPr id="55" name="Chart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501650</xdr:colOff>
      <xdr:row>236</xdr:row>
      <xdr:rowOff>76200</xdr:rowOff>
    </xdr:from>
    <xdr:to>
      <xdr:col>34</xdr:col>
      <xdr:colOff>425450</xdr:colOff>
      <xdr:row>263</xdr:row>
      <xdr:rowOff>25400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11</xdr:col>
      <xdr:colOff>501650</xdr:colOff>
      <xdr:row>265</xdr:row>
      <xdr:rowOff>76200</xdr:rowOff>
    </xdr:from>
    <xdr:to>
      <xdr:col>22</xdr:col>
      <xdr:colOff>425450</xdr:colOff>
      <xdr:row>292</xdr:row>
      <xdr:rowOff>25400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501650</xdr:colOff>
      <xdr:row>265</xdr:row>
      <xdr:rowOff>76200</xdr:rowOff>
    </xdr:from>
    <xdr:to>
      <xdr:col>34</xdr:col>
      <xdr:colOff>425450</xdr:colOff>
      <xdr:row>292</xdr:row>
      <xdr:rowOff>25400</xdr:rowOff>
    </xdr:to>
    <xdr:graphicFrame macro="">
      <xdr:nvGraphicFramePr>
        <xdr:cNvPr id="58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558800</xdr:colOff>
      <xdr:row>294</xdr:row>
      <xdr:rowOff>76200</xdr:rowOff>
    </xdr:from>
    <xdr:to>
      <xdr:col>22</xdr:col>
      <xdr:colOff>482600</xdr:colOff>
      <xdr:row>321</xdr:row>
      <xdr:rowOff>25400</xdr:rowOff>
    </xdr:to>
    <xdr:graphicFrame macro="">
      <xdr:nvGraphicFramePr>
        <xdr:cNvPr id="60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234950</xdr:colOff>
      <xdr:row>294</xdr:row>
      <xdr:rowOff>76200</xdr:rowOff>
    </xdr:from>
    <xdr:to>
      <xdr:col>11</xdr:col>
      <xdr:colOff>158750</xdr:colOff>
      <xdr:row>321</xdr:row>
      <xdr:rowOff>25400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23</xdr:col>
      <xdr:colOff>501650</xdr:colOff>
      <xdr:row>294</xdr:row>
      <xdr:rowOff>76200</xdr:rowOff>
    </xdr:from>
    <xdr:to>
      <xdr:col>34</xdr:col>
      <xdr:colOff>425450</xdr:colOff>
      <xdr:row>321</xdr:row>
      <xdr:rowOff>25400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254000</xdr:colOff>
      <xdr:row>323</xdr:row>
      <xdr:rowOff>57150</xdr:rowOff>
    </xdr:from>
    <xdr:to>
      <xdr:col>11</xdr:col>
      <xdr:colOff>177800</xdr:colOff>
      <xdr:row>349</xdr:row>
      <xdr:rowOff>139700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11</xdr:col>
      <xdr:colOff>558800</xdr:colOff>
      <xdr:row>323</xdr:row>
      <xdr:rowOff>76200</xdr:rowOff>
    </xdr:from>
    <xdr:to>
      <xdr:col>22</xdr:col>
      <xdr:colOff>482600</xdr:colOff>
      <xdr:row>350</xdr:row>
      <xdr:rowOff>6350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23</xdr:col>
      <xdr:colOff>501650</xdr:colOff>
      <xdr:row>324</xdr:row>
      <xdr:rowOff>0</xdr:rowOff>
    </xdr:from>
    <xdr:to>
      <xdr:col>34</xdr:col>
      <xdr:colOff>425450</xdr:colOff>
      <xdr:row>350</xdr:row>
      <xdr:rowOff>82550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292100</xdr:colOff>
      <xdr:row>352</xdr:row>
      <xdr:rowOff>38100</xdr:rowOff>
    </xdr:from>
    <xdr:to>
      <xdr:col>11</xdr:col>
      <xdr:colOff>215900</xdr:colOff>
      <xdr:row>378</xdr:row>
      <xdr:rowOff>120650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11</xdr:col>
      <xdr:colOff>558800</xdr:colOff>
      <xdr:row>352</xdr:row>
      <xdr:rowOff>19050</xdr:rowOff>
    </xdr:from>
    <xdr:to>
      <xdr:col>22</xdr:col>
      <xdr:colOff>482600</xdr:colOff>
      <xdr:row>378</xdr:row>
      <xdr:rowOff>101600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23</xdr:col>
      <xdr:colOff>539750</xdr:colOff>
      <xdr:row>352</xdr:row>
      <xdr:rowOff>38100</xdr:rowOff>
    </xdr:from>
    <xdr:to>
      <xdr:col>34</xdr:col>
      <xdr:colOff>463550</xdr:colOff>
      <xdr:row>378</xdr:row>
      <xdr:rowOff>120650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311150</xdr:colOff>
      <xdr:row>380</xdr:row>
      <xdr:rowOff>114300</xdr:rowOff>
    </xdr:from>
    <xdr:to>
      <xdr:col>11</xdr:col>
      <xdr:colOff>234950</xdr:colOff>
      <xdr:row>407</xdr:row>
      <xdr:rowOff>63500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11</xdr:col>
      <xdr:colOff>520700</xdr:colOff>
      <xdr:row>380</xdr:row>
      <xdr:rowOff>114300</xdr:rowOff>
    </xdr:from>
    <xdr:to>
      <xdr:col>22</xdr:col>
      <xdr:colOff>444500</xdr:colOff>
      <xdr:row>407</xdr:row>
      <xdr:rowOff>63500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23</xdr:col>
      <xdr:colOff>520700</xdr:colOff>
      <xdr:row>380</xdr:row>
      <xdr:rowOff>133350</xdr:rowOff>
    </xdr:from>
    <xdr:to>
      <xdr:col>34</xdr:col>
      <xdr:colOff>444500</xdr:colOff>
      <xdr:row>407</xdr:row>
      <xdr:rowOff>82550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0</xdr:col>
      <xdr:colOff>311150</xdr:colOff>
      <xdr:row>409</xdr:row>
      <xdr:rowOff>76200</xdr:rowOff>
    </xdr:from>
    <xdr:to>
      <xdr:col>11</xdr:col>
      <xdr:colOff>234950</xdr:colOff>
      <xdr:row>436</xdr:row>
      <xdr:rowOff>6350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11</xdr:col>
      <xdr:colOff>577850</xdr:colOff>
      <xdr:row>438</xdr:row>
      <xdr:rowOff>57150</xdr:rowOff>
    </xdr:from>
    <xdr:to>
      <xdr:col>22</xdr:col>
      <xdr:colOff>501650</xdr:colOff>
      <xdr:row>464</xdr:row>
      <xdr:rowOff>139700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23</xdr:col>
      <xdr:colOff>520700</xdr:colOff>
      <xdr:row>467</xdr:row>
      <xdr:rowOff>0</xdr:rowOff>
    </xdr:from>
    <xdr:to>
      <xdr:col>34</xdr:col>
      <xdr:colOff>444500</xdr:colOff>
      <xdr:row>493</xdr:row>
      <xdr:rowOff>82550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11</xdr:col>
      <xdr:colOff>539750</xdr:colOff>
      <xdr:row>409</xdr:row>
      <xdr:rowOff>76200</xdr:rowOff>
    </xdr:from>
    <xdr:to>
      <xdr:col>22</xdr:col>
      <xdr:colOff>463550</xdr:colOff>
      <xdr:row>436</xdr:row>
      <xdr:rowOff>6350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23</xdr:col>
      <xdr:colOff>501650</xdr:colOff>
      <xdr:row>409</xdr:row>
      <xdr:rowOff>76200</xdr:rowOff>
    </xdr:from>
    <xdr:to>
      <xdr:col>34</xdr:col>
      <xdr:colOff>425450</xdr:colOff>
      <xdr:row>436</xdr:row>
      <xdr:rowOff>25400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0</xdr:col>
      <xdr:colOff>311150</xdr:colOff>
      <xdr:row>438</xdr:row>
      <xdr:rowOff>76200</xdr:rowOff>
    </xdr:from>
    <xdr:to>
      <xdr:col>11</xdr:col>
      <xdr:colOff>234950</xdr:colOff>
      <xdr:row>465</xdr:row>
      <xdr:rowOff>6350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23</xdr:col>
      <xdr:colOff>501650</xdr:colOff>
      <xdr:row>438</xdr:row>
      <xdr:rowOff>76200</xdr:rowOff>
    </xdr:from>
    <xdr:to>
      <xdr:col>34</xdr:col>
      <xdr:colOff>425450</xdr:colOff>
      <xdr:row>465</xdr:row>
      <xdr:rowOff>6350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11</xdr:col>
      <xdr:colOff>558800</xdr:colOff>
      <xdr:row>466</xdr:row>
      <xdr:rowOff>133350</xdr:rowOff>
    </xdr:from>
    <xdr:to>
      <xdr:col>22</xdr:col>
      <xdr:colOff>482600</xdr:colOff>
      <xdr:row>493</xdr:row>
      <xdr:rowOff>82550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0</xdr:col>
      <xdr:colOff>330200</xdr:colOff>
      <xdr:row>466</xdr:row>
      <xdr:rowOff>133350</xdr:rowOff>
    </xdr:from>
    <xdr:to>
      <xdr:col>11</xdr:col>
      <xdr:colOff>254000</xdr:colOff>
      <xdr:row>493</xdr:row>
      <xdr:rowOff>82550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0</xdr:col>
      <xdr:colOff>311150</xdr:colOff>
      <xdr:row>495</xdr:row>
      <xdr:rowOff>76200</xdr:rowOff>
    </xdr:from>
    <xdr:to>
      <xdr:col>11</xdr:col>
      <xdr:colOff>234950</xdr:colOff>
      <xdr:row>522</xdr:row>
      <xdr:rowOff>25400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11</xdr:col>
      <xdr:colOff>577850</xdr:colOff>
      <xdr:row>495</xdr:row>
      <xdr:rowOff>76200</xdr:rowOff>
    </xdr:from>
    <xdr:to>
      <xdr:col>22</xdr:col>
      <xdr:colOff>501650</xdr:colOff>
      <xdr:row>522</xdr:row>
      <xdr:rowOff>25400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23</xdr:col>
      <xdr:colOff>514350</xdr:colOff>
      <xdr:row>495</xdr:row>
      <xdr:rowOff>76200</xdr:rowOff>
    </xdr:from>
    <xdr:to>
      <xdr:col>34</xdr:col>
      <xdr:colOff>438150</xdr:colOff>
      <xdr:row>522</xdr:row>
      <xdr:rowOff>25400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0</xdr:col>
      <xdr:colOff>330200</xdr:colOff>
      <xdr:row>524</xdr:row>
      <xdr:rowOff>0</xdr:rowOff>
    </xdr:from>
    <xdr:to>
      <xdr:col>11</xdr:col>
      <xdr:colOff>254000</xdr:colOff>
      <xdr:row>550</xdr:row>
      <xdr:rowOff>82550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11</xdr:col>
      <xdr:colOff>577850</xdr:colOff>
      <xdr:row>524</xdr:row>
      <xdr:rowOff>19050</xdr:rowOff>
    </xdr:from>
    <xdr:to>
      <xdr:col>22</xdr:col>
      <xdr:colOff>501650</xdr:colOff>
      <xdr:row>550</xdr:row>
      <xdr:rowOff>101600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23</xdr:col>
      <xdr:colOff>539750</xdr:colOff>
      <xdr:row>524</xdr:row>
      <xdr:rowOff>19050</xdr:rowOff>
    </xdr:from>
    <xdr:to>
      <xdr:col>34</xdr:col>
      <xdr:colOff>463550</xdr:colOff>
      <xdr:row>550</xdr:row>
      <xdr:rowOff>101600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0</xdr:col>
      <xdr:colOff>298450</xdr:colOff>
      <xdr:row>553</xdr:row>
      <xdr:rowOff>0</xdr:rowOff>
    </xdr:from>
    <xdr:to>
      <xdr:col>11</xdr:col>
      <xdr:colOff>222250</xdr:colOff>
      <xdr:row>579</xdr:row>
      <xdr:rowOff>76200</xdr:rowOff>
    </xdr:to>
    <xdr:graphicFrame macro="">
      <xdr:nvGraphicFramePr>
        <xdr:cNvPr id="125" name="Chart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11</xdr:col>
      <xdr:colOff>577850</xdr:colOff>
      <xdr:row>553</xdr:row>
      <xdr:rowOff>50800</xdr:rowOff>
    </xdr:from>
    <xdr:to>
      <xdr:col>22</xdr:col>
      <xdr:colOff>501650</xdr:colOff>
      <xdr:row>579</xdr:row>
      <xdr:rowOff>127000</xdr:rowOff>
    </xdr:to>
    <xdr:graphicFrame macro="">
      <xdr:nvGraphicFramePr>
        <xdr:cNvPr id="126" name="Chart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23</xdr:col>
      <xdr:colOff>501650</xdr:colOff>
      <xdr:row>553</xdr:row>
      <xdr:rowOff>50800</xdr:rowOff>
    </xdr:from>
    <xdr:to>
      <xdr:col>34</xdr:col>
      <xdr:colOff>425450</xdr:colOff>
      <xdr:row>579</xdr:row>
      <xdr:rowOff>127000</xdr:rowOff>
    </xdr:to>
    <xdr:graphicFrame macro="">
      <xdr:nvGraphicFramePr>
        <xdr:cNvPr id="127" name="Chart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0</xdr:col>
      <xdr:colOff>247650</xdr:colOff>
      <xdr:row>582</xdr:row>
      <xdr:rowOff>0</xdr:rowOff>
    </xdr:from>
    <xdr:to>
      <xdr:col>11</xdr:col>
      <xdr:colOff>171450</xdr:colOff>
      <xdr:row>608</xdr:row>
      <xdr:rowOff>76200</xdr:rowOff>
    </xdr:to>
    <xdr:graphicFrame macro="">
      <xdr:nvGraphicFramePr>
        <xdr:cNvPr id="128" name="Chart 1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11</xdr:col>
      <xdr:colOff>527050</xdr:colOff>
      <xdr:row>582</xdr:row>
      <xdr:rowOff>50800</xdr:rowOff>
    </xdr:from>
    <xdr:to>
      <xdr:col>22</xdr:col>
      <xdr:colOff>450850</xdr:colOff>
      <xdr:row>608</xdr:row>
      <xdr:rowOff>127000</xdr:rowOff>
    </xdr:to>
    <xdr:graphicFrame macro="">
      <xdr:nvGraphicFramePr>
        <xdr:cNvPr id="129" name="Chart 1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23</xdr:col>
      <xdr:colOff>450850</xdr:colOff>
      <xdr:row>582</xdr:row>
      <xdr:rowOff>50800</xdr:rowOff>
    </xdr:from>
    <xdr:to>
      <xdr:col>34</xdr:col>
      <xdr:colOff>374650</xdr:colOff>
      <xdr:row>608</xdr:row>
      <xdr:rowOff>127000</xdr:rowOff>
    </xdr:to>
    <xdr:graphicFrame macro="">
      <xdr:nvGraphicFramePr>
        <xdr:cNvPr id="130" name="Chart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0</xdr:col>
      <xdr:colOff>247650</xdr:colOff>
      <xdr:row>610</xdr:row>
      <xdr:rowOff>127000</xdr:rowOff>
    </xdr:from>
    <xdr:to>
      <xdr:col>11</xdr:col>
      <xdr:colOff>171450</xdr:colOff>
      <xdr:row>637</xdr:row>
      <xdr:rowOff>76200</xdr:rowOff>
    </xdr:to>
    <xdr:graphicFrame macro="">
      <xdr:nvGraphicFramePr>
        <xdr:cNvPr id="131" name="Chart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11</xdr:col>
      <xdr:colOff>527050</xdr:colOff>
      <xdr:row>611</xdr:row>
      <xdr:rowOff>25400</xdr:rowOff>
    </xdr:from>
    <xdr:to>
      <xdr:col>22</xdr:col>
      <xdr:colOff>450850</xdr:colOff>
      <xdr:row>637</xdr:row>
      <xdr:rowOff>101600</xdr:rowOff>
    </xdr:to>
    <xdr:graphicFrame macro="">
      <xdr:nvGraphicFramePr>
        <xdr:cNvPr id="132" name="Chart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23</xdr:col>
      <xdr:colOff>450850</xdr:colOff>
      <xdr:row>611</xdr:row>
      <xdr:rowOff>25400</xdr:rowOff>
    </xdr:from>
    <xdr:to>
      <xdr:col>34</xdr:col>
      <xdr:colOff>374650</xdr:colOff>
      <xdr:row>637</xdr:row>
      <xdr:rowOff>101600</xdr:rowOff>
    </xdr:to>
    <xdr:graphicFrame macro="">
      <xdr:nvGraphicFramePr>
        <xdr:cNvPr id="133" name="Chart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0</xdr:col>
      <xdr:colOff>196850</xdr:colOff>
      <xdr:row>639</xdr:row>
      <xdr:rowOff>127000</xdr:rowOff>
    </xdr:from>
    <xdr:to>
      <xdr:col>11</xdr:col>
      <xdr:colOff>120650</xdr:colOff>
      <xdr:row>666</xdr:row>
      <xdr:rowOff>76200</xdr:rowOff>
    </xdr:to>
    <xdr:graphicFrame macro="">
      <xdr:nvGraphicFramePr>
        <xdr:cNvPr id="134" name="Chart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11</xdr:col>
      <xdr:colOff>533400</xdr:colOff>
      <xdr:row>640</xdr:row>
      <xdr:rowOff>6350</xdr:rowOff>
    </xdr:from>
    <xdr:to>
      <xdr:col>22</xdr:col>
      <xdr:colOff>457200</xdr:colOff>
      <xdr:row>666</xdr:row>
      <xdr:rowOff>82550</xdr:rowOff>
    </xdr:to>
    <xdr:graphicFrame macro="">
      <xdr:nvGraphicFramePr>
        <xdr:cNvPr id="135" name="Chart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23</xdr:col>
      <xdr:colOff>400050</xdr:colOff>
      <xdr:row>640</xdr:row>
      <xdr:rowOff>25400</xdr:rowOff>
    </xdr:from>
    <xdr:to>
      <xdr:col>34</xdr:col>
      <xdr:colOff>323850</xdr:colOff>
      <xdr:row>666</xdr:row>
      <xdr:rowOff>101600</xdr:rowOff>
    </xdr:to>
    <xdr:graphicFrame macro="">
      <xdr:nvGraphicFramePr>
        <xdr:cNvPr id="136" name="Chart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0</xdr:col>
      <xdr:colOff>196850</xdr:colOff>
      <xdr:row>669</xdr:row>
      <xdr:rowOff>50800</xdr:rowOff>
    </xdr:from>
    <xdr:to>
      <xdr:col>11</xdr:col>
      <xdr:colOff>120650</xdr:colOff>
      <xdr:row>695</xdr:row>
      <xdr:rowOff>127000</xdr:rowOff>
    </xdr:to>
    <xdr:graphicFrame macro="">
      <xdr:nvGraphicFramePr>
        <xdr:cNvPr id="137" name="Chart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11</xdr:col>
      <xdr:colOff>552450</xdr:colOff>
      <xdr:row>669</xdr:row>
      <xdr:rowOff>76200</xdr:rowOff>
    </xdr:from>
    <xdr:to>
      <xdr:col>22</xdr:col>
      <xdr:colOff>476250</xdr:colOff>
      <xdr:row>696</xdr:row>
      <xdr:rowOff>25400</xdr:rowOff>
    </xdr:to>
    <xdr:graphicFrame macro="">
      <xdr:nvGraphicFramePr>
        <xdr:cNvPr id="138" name="Chart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23</xdr:col>
      <xdr:colOff>400050</xdr:colOff>
      <xdr:row>669</xdr:row>
      <xdr:rowOff>76200</xdr:rowOff>
    </xdr:from>
    <xdr:to>
      <xdr:col>34</xdr:col>
      <xdr:colOff>323850</xdr:colOff>
      <xdr:row>696</xdr:row>
      <xdr:rowOff>25400</xdr:rowOff>
    </xdr:to>
    <xdr:graphicFrame macro="">
      <xdr:nvGraphicFramePr>
        <xdr:cNvPr id="139" name="Chart 1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0</xdr:col>
      <xdr:colOff>146050</xdr:colOff>
      <xdr:row>698</xdr:row>
      <xdr:rowOff>50800</xdr:rowOff>
    </xdr:from>
    <xdr:to>
      <xdr:col>11</xdr:col>
      <xdr:colOff>69850</xdr:colOff>
      <xdr:row>724</xdr:row>
      <xdr:rowOff>127000</xdr:rowOff>
    </xdr:to>
    <xdr:graphicFrame macro="">
      <xdr:nvGraphicFramePr>
        <xdr:cNvPr id="140" name="Chart 1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11</xdr:col>
      <xdr:colOff>558800</xdr:colOff>
      <xdr:row>698</xdr:row>
      <xdr:rowOff>76200</xdr:rowOff>
    </xdr:from>
    <xdr:to>
      <xdr:col>22</xdr:col>
      <xdr:colOff>482600</xdr:colOff>
      <xdr:row>725</xdr:row>
      <xdr:rowOff>6350</xdr:rowOff>
    </xdr:to>
    <xdr:graphicFrame macro="">
      <xdr:nvGraphicFramePr>
        <xdr:cNvPr id="141" name="Chart 1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23</xdr:col>
      <xdr:colOff>349250</xdr:colOff>
      <xdr:row>698</xdr:row>
      <xdr:rowOff>76200</xdr:rowOff>
    </xdr:from>
    <xdr:to>
      <xdr:col>34</xdr:col>
      <xdr:colOff>273050</xdr:colOff>
      <xdr:row>725</xdr:row>
      <xdr:rowOff>25400</xdr:rowOff>
    </xdr:to>
    <xdr:graphicFrame macro="">
      <xdr:nvGraphicFramePr>
        <xdr:cNvPr id="142" name="Chart 1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0</xdr:col>
      <xdr:colOff>152400</xdr:colOff>
      <xdr:row>727</xdr:row>
      <xdr:rowOff>0</xdr:rowOff>
    </xdr:from>
    <xdr:to>
      <xdr:col>11</xdr:col>
      <xdr:colOff>76200</xdr:colOff>
      <xdr:row>753</xdr:row>
      <xdr:rowOff>76200</xdr:rowOff>
    </xdr:to>
    <xdr:graphicFrame macro="">
      <xdr:nvGraphicFramePr>
        <xdr:cNvPr id="143" name="Chart 1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11</xdr:col>
      <xdr:colOff>546100</xdr:colOff>
      <xdr:row>727</xdr:row>
      <xdr:rowOff>44450</xdr:rowOff>
    </xdr:from>
    <xdr:to>
      <xdr:col>22</xdr:col>
      <xdr:colOff>469900</xdr:colOff>
      <xdr:row>753</xdr:row>
      <xdr:rowOff>127000</xdr:rowOff>
    </xdr:to>
    <xdr:graphicFrame macro="">
      <xdr:nvGraphicFramePr>
        <xdr:cNvPr id="144" name="Chart 1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23</xdr:col>
      <xdr:colOff>355600</xdr:colOff>
      <xdr:row>727</xdr:row>
      <xdr:rowOff>44450</xdr:rowOff>
    </xdr:from>
    <xdr:to>
      <xdr:col>34</xdr:col>
      <xdr:colOff>279400</xdr:colOff>
      <xdr:row>753</xdr:row>
      <xdr:rowOff>127000</xdr:rowOff>
    </xdr:to>
    <xdr:graphicFrame macro="">
      <xdr:nvGraphicFramePr>
        <xdr:cNvPr id="145" name="Chart 1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0</xdr:col>
      <xdr:colOff>101600</xdr:colOff>
      <xdr:row>756</xdr:row>
      <xdr:rowOff>0</xdr:rowOff>
    </xdr:from>
    <xdr:to>
      <xdr:col>11</xdr:col>
      <xdr:colOff>25400</xdr:colOff>
      <xdr:row>782</xdr:row>
      <xdr:rowOff>76200</xdr:rowOff>
    </xdr:to>
    <xdr:graphicFrame macro="">
      <xdr:nvGraphicFramePr>
        <xdr:cNvPr id="146" name="Chart 1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11</xdr:col>
      <xdr:colOff>533400</xdr:colOff>
      <xdr:row>756</xdr:row>
      <xdr:rowOff>63500</xdr:rowOff>
    </xdr:from>
    <xdr:to>
      <xdr:col>22</xdr:col>
      <xdr:colOff>457200</xdr:colOff>
      <xdr:row>782</xdr:row>
      <xdr:rowOff>146050</xdr:rowOff>
    </xdr:to>
    <xdr:graphicFrame macro="">
      <xdr:nvGraphicFramePr>
        <xdr:cNvPr id="147" name="Chart 1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23</xdr:col>
      <xdr:colOff>304800</xdr:colOff>
      <xdr:row>756</xdr:row>
      <xdr:rowOff>44450</xdr:rowOff>
    </xdr:from>
    <xdr:to>
      <xdr:col>34</xdr:col>
      <xdr:colOff>228600</xdr:colOff>
      <xdr:row>782</xdr:row>
      <xdr:rowOff>127000</xdr:rowOff>
    </xdr:to>
    <xdr:graphicFrame macro="">
      <xdr:nvGraphicFramePr>
        <xdr:cNvPr id="148" name="Chart 1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0</xdr:col>
      <xdr:colOff>95250</xdr:colOff>
      <xdr:row>784</xdr:row>
      <xdr:rowOff>76200</xdr:rowOff>
    </xdr:from>
    <xdr:to>
      <xdr:col>11</xdr:col>
      <xdr:colOff>19050</xdr:colOff>
      <xdr:row>811</xdr:row>
      <xdr:rowOff>19050</xdr:rowOff>
    </xdr:to>
    <xdr:graphicFrame macro="">
      <xdr:nvGraphicFramePr>
        <xdr:cNvPr id="149" name="Chart 1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11</xdr:col>
      <xdr:colOff>546100</xdr:colOff>
      <xdr:row>784</xdr:row>
      <xdr:rowOff>120650</xdr:rowOff>
    </xdr:from>
    <xdr:to>
      <xdr:col>22</xdr:col>
      <xdr:colOff>469900</xdr:colOff>
      <xdr:row>811</xdr:row>
      <xdr:rowOff>69850</xdr:rowOff>
    </xdr:to>
    <xdr:graphicFrame macro="">
      <xdr:nvGraphicFramePr>
        <xdr:cNvPr id="150" name="Chart 1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23</xdr:col>
      <xdr:colOff>298450</xdr:colOff>
      <xdr:row>784</xdr:row>
      <xdr:rowOff>120650</xdr:rowOff>
    </xdr:from>
    <xdr:to>
      <xdr:col>34</xdr:col>
      <xdr:colOff>222250</xdr:colOff>
      <xdr:row>811</xdr:row>
      <xdr:rowOff>69850</xdr:rowOff>
    </xdr:to>
    <xdr:graphicFrame macro="">
      <xdr:nvGraphicFramePr>
        <xdr:cNvPr id="151" name="Chart 1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0</xdr:col>
      <xdr:colOff>44450</xdr:colOff>
      <xdr:row>813</xdr:row>
      <xdr:rowOff>76200</xdr:rowOff>
    </xdr:from>
    <xdr:to>
      <xdr:col>10</xdr:col>
      <xdr:colOff>577850</xdr:colOff>
      <xdr:row>840</xdr:row>
      <xdr:rowOff>19050</xdr:rowOff>
    </xdr:to>
    <xdr:graphicFrame macro="">
      <xdr:nvGraphicFramePr>
        <xdr:cNvPr id="152" name="Chart 1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11</xdr:col>
      <xdr:colOff>571500</xdr:colOff>
      <xdr:row>813</xdr:row>
      <xdr:rowOff>82550</xdr:rowOff>
    </xdr:from>
    <xdr:to>
      <xdr:col>22</xdr:col>
      <xdr:colOff>495300</xdr:colOff>
      <xdr:row>840</xdr:row>
      <xdr:rowOff>31750</xdr:rowOff>
    </xdr:to>
    <xdr:graphicFrame macro="">
      <xdr:nvGraphicFramePr>
        <xdr:cNvPr id="153" name="Chart 1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23</xdr:col>
      <xdr:colOff>247650</xdr:colOff>
      <xdr:row>813</xdr:row>
      <xdr:rowOff>120650</xdr:rowOff>
    </xdr:from>
    <xdr:to>
      <xdr:col>34</xdr:col>
      <xdr:colOff>171450</xdr:colOff>
      <xdr:row>840</xdr:row>
      <xdr:rowOff>69850</xdr:rowOff>
    </xdr:to>
    <xdr:graphicFrame macro="">
      <xdr:nvGraphicFramePr>
        <xdr:cNvPr id="154" name="Chart 1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0</xdr:col>
      <xdr:colOff>57150</xdr:colOff>
      <xdr:row>842</xdr:row>
      <xdr:rowOff>57150</xdr:rowOff>
    </xdr:from>
    <xdr:to>
      <xdr:col>10</xdr:col>
      <xdr:colOff>590550</xdr:colOff>
      <xdr:row>868</xdr:row>
      <xdr:rowOff>133350</xdr:rowOff>
    </xdr:to>
    <xdr:graphicFrame macro="">
      <xdr:nvGraphicFramePr>
        <xdr:cNvPr id="155" name="Chart 1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11</xdr:col>
      <xdr:colOff>584200</xdr:colOff>
      <xdr:row>842</xdr:row>
      <xdr:rowOff>82550</xdr:rowOff>
    </xdr:from>
    <xdr:to>
      <xdr:col>22</xdr:col>
      <xdr:colOff>508000</xdr:colOff>
      <xdr:row>869</xdr:row>
      <xdr:rowOff>31750</xdr:rowOff>
    </xdr:to>
    <xdr:graphicFrame macro="">
      <xdr:nvGraphicFramePr>
        <xdr:cNvPr id="156" name="Chart 1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23</xdr:col>
      <xdr:colOff>260350</xdr:colOff>
      <xdr:row>842</xdr:row>
      <xdr:rowOff>82550</xdr:rowOff>
    </xdr:from>
    <xdr:to>
      <xdr:col>34</xdr:col>
      <xdr:colOff>184150</xdr:colOff>
      <xdr:row>869</xdr:row>
      <xdr:rowOff>31750</xdr:rowOff>
    </xdr:to>
    <xdr:graphicFrame macro="">
      <xdr:nvGraphicFramePr>
        <xdr:cNvPr id="157" name="Chart 1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0</xdr:col>
      <xdr:colOff>6350</xdr:colOff>
      <xdr:row>871</xdr:row>
      <xdr:rowOff>57150</xdr:rowOff>
    </xdr:from>
    <xdr:to>
      <xdr:col>10</xdr:col>
      <xdr:colOff>539750</xdr:colOff>
      <xdr:row>897</xdr:row>
      <xdr:rowOff>133350</xdr:rowOff>
    </xdr:to>
    <xdr:graphicFrame macro="">
      <xdr:nvGraphicFramePr>
        <xdr:cNvPr id="158" name="Chart 1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11</xdr:col>
      <xdr:colOff>571500</xdr:colOff>
      <xdr:row>871</xdr:row>
      <xdr:rowOff>101600</xdr:rowOff>
    </xdr:from>
    <xdr:to>
      <xdr:col>22</xdr:col>
      <xdr:colOff>495300</xdr:colOff>
      <xdr:row>898</xdr:row>
      <xdr:rowOff>50800</xdr:rowOff>
    </xdr:to>
    <xdr:graphicFrame macro="">
      <xdr:nvGraphicFramePr>
        <xdr:cNvPr id="159" name="Chart 1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23</xdr:col>
      <xdr:colOff>209550</xdr:colOff>
      <xdr:row>871</xdr:row>
      <xdr:rowOff>82550</xdr:rowOff>
    </xdr:from>
    <xdr:to>
      <xdr:col>34</xdr:col>
      <xdr:colOff>133350</xdr:colOff>
      <xdr:row>898</xdr:row>
      <xdr:rowOff>31750</xdr:rowOff>
    </xdr:to>
    <xdr:graphicFrame macro="">
      <xdr:nvGraphicFramePr>
        <xdr:cNvPr id="160" name="Chart 1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0</xdr:col>
      <xdr:colOff>0</xdr:colOff>
      <xdr:row>900</xdr:row>
      <xdr:rowOff>0</xdr:rowOff>
    </xdr:from>
    <xdr:to>
      <xdr:col>10</xdr:col>
      <xdr:colOff>533400</xdr:colOff>
      <xdr:row>926</xdr:row>
      <xdr:rowOff>76200</xdr:rowOff>
    </xdr:to>
    <xdr:graphicFrame macro="">
      <xdr:nvGraphicFramePr>
        <xdr:cNvPr id="161" name="Chart 1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11</xdr:col>
      <xdr:colOff>546100</xdr:colOff>
      <xdr:row>900</xdr:row>
      <xdr:rowOff>63500</xdr:rowOff>
    </xdr:from>
    <xdr:to>
      <xdr:col>22</xdr:col>
      <xdr:colOff>469900</xdr:colOff>
      <xdr:row>926</xdr:row>
      <xdr:rowOff>146050</xdr:rowOff>
    </xdr:to>
    <xdr:graphicFrame macro="">
      <xdr:nvGraphicFramePr>
        <xdr:cNvPr id="162" name="Chart 1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23</xdr:col>
      <xdr:colOff>203200</xdr:colOff>
      <xdr:row>900</xdr:row>
      <xdr:rowOff>44450</xdr:rowOff>
    </xdr:from>
    <xdr:to>
      <xdr:col>34</xdr:col>
      <xdr:colOff>127000</xdr:colOff>
      <xdr:row>926</xdr:row>
      <xdr:rowOff>127000</xdr:rowOff>
    </xdr:to>
    <xdr:graphicFrame macro="">
      <xdr:nvGraphicFramePr>
        <xdr:cNvPr id="163" name="Chart 1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0</xdr:col>
      <xdr:colOff>44450</xdr:colOff>
      <xdr:row>929</xdr:row>
      <xdr:rowOff>0</xdr:rowOff>
    </xdr:from>
    <xdr:to>
      <xdr:col>10</xdr:col>
      <xdr:colOff>577850</xdr:colOff>
      <xdr:row>955</xdr:row>
      <xdr:rowOff>76200</xdr:rowOff>
    </xdr:to>
    <xdr:graphicFrame macro="">
      <xdr:nvGraphicFramePr>
        <xdr:cNvPr id="164" name="Chart 1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11</xdr:col>
      <xdr:colOff>495300</xdr:colOff>
      <xdr:row>929</xdr:row>
      <xdr:rowOff>6350</xdr:rowOff>
    </xdr:from>
    <xdr:to>
      <xdr:col>22</xdr:col>
      <xdr:colOff>419100</xdr:colOff>
      <xdr:row>955</xdr:row>
      <xdr:rowOff>88900</xdr:rowOff>
    </xdr:to>
    <xdr:graphicFrame macro="">
      <xdr:nvGraphicFramePr>
        <xdr:cNvPr id="165" name="Chart 1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23</xdr:col>
      <xdr:colOff>152400</xdr:colOff>
      <xdr:row>929</xdr:row>
      <xdr:rowOff>44450</xdr:rowOff>
    </xdr:from>
    <xdr:to>
      <xdr:col>34</xdr:col>
      <xdr:colOff>76200</xdr:colOff>
      <xdr:row>955</xdr:row>
      <xdr:rowOff>127000</xdr:rowOff>
    </xdr:to>
    <xdr:graphicFrame macro="">
      <xdr:nvGraphicFramePr>
        <xdr:cNvPr id="166" name="Chart 1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0</xdr:col>
      <xdr:colOff>190500</xdr:colOff>
      <xdr:row>119</xdr:row>
      <xdr:rowOff>76200</xdr:rowOff>
    </xdr:from>
    <xdr:to>
      <xdr:col>11</xdr:col>
      <xdr:colOff>114300</xdr:colOff>
      <xdr:row>146</xdr:row>
      <xdr:rowOff>6350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24</xdr:col>
      <xdr:colOff>0</xdr:colOff>
      <xdr:row>119</xdr:row>
      <xdr:rowOff>76200</xdr:rowOff>
    </xdr:from>
    <xdr:to>
      <xdr:col>34</xdr:col>
      <xdr:colOff>533400</xdr:colOff>
      <xdr:row>146</xdr:row>
      <xdr:rowOff>6350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12</xdr:col>
      <xdr:colOff>19050</xdr:colOff>
      <xdr:row>119</xdr:row>
      <xdr:rowOff>95250</xdr:rowOff>
    </xdr:from>
    <xdr:to>
      <xdr:col>22</xdr:col>
      <xdr:colOff>552450</xdr:colOff>
      <xdr:row>146</xdr:row>
      <xdr:rowOff>25400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46</xdr:col>
      <xdr:colOff>565150</xdr:colOff>
      <xdr:row>784</xdr:row>
      <xdr:rowOff>158750</xdr:rowOff>
    </xdr:from>
    <xdr:to>
      <xdr:col>57</xdr:col>
      <xdr:colOff>488950</xdr:colOff>
      <xdr:row>811</xdr:row>
      <xdr:rowOff>107950</xdr:rowOff>
    </xdr:to>
    <xdr:graphicFrame macro="">
      <xdr:nvGraphicFramePr>
        <xdr:cNvPr id="113" name="Chart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35</xdr:col>
      <xdr:colOff>152400</xdr:colOff>
      <xdr:row>784</xdr:row>
      <xdr:rowOff>152400</xdr:rowOff>
    </xdr:from>
    <xdr:to>
      <xdr:col>46</xdr:col>
      <xdr:colOff>76200</xdr:colOff>
      <xdr:row>811</xdr:row>
      <xdr:rowOff>101600</xdr:rowOff>
    </xdr:to>
    <xdr:graphicFrame macro="">
      <xdr:nvGraphicFramePr>
        <xdr:cNvPr id="118" name="Chart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35</xdr:col>
      <xdr:colOff>476250</xdr:colOff>
      <xdr:row>149</xdr:row>
      <xdr:rowOff>95250</xdr:rowOff>
    </xdr:from>
    <xdr:to>
      <xdr:col>46</xdr:col>
      <xdr:colOff>400050</xdr:colOff>
      <xdr:row>176</xdr:row>
      <xdr:rowOff>44450</xdr:rowOff>
    </xdr:to>
    <xdr:graphicFrame macro="">
      <xdr:nvGraphicFramePr>
        <xdr:cNvPr id="119" name="Chart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23</xdr:col>
      <xdr:colOff>514350</xdr:colOff>
      <xdr:row>1</xdr:row>
      <xdr:rowOff>38100</xdr:rowOff>
    </xdr:from>
    <xdr:to>
      <xdr:col>34</xdr:col>
      <xdr:colOff>438150</xdr:colOff>
      <xdr:row>27</xdr:row>
      <xdr:rowOff>139700</xdr:rowOff>
    </xdr:to>
    <xdr:graphicFrame macro="">
      <xdr:nvGraphicFramePr>
        <xdr:cNvPr id="120" name="Chart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0</xdr:col>
      <xdr:colOff>76200</xdr:colOff>
      <xdr:row>957</xdr:row>
      <xdr:rowOff>114300</xdr:rowOff>
    </xdr:from>
    <xdr:to>
      <xdr:col>11</xdr:col>
      <xdr:colOff>0</xdr:colOff>
      <xdr:row>984</xdr:row>
      <xdr:rowOff>19050</xdr:rowOff>
    </xdr:to>
    <xdr:graphicFrame macro="">
      <xdr:nvGraphicFramePr>
        <xdr:cNvPr id="121" name="Chart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0</xdr:rowOff>
    </xdr:from>
    <xdr:to>
      <xdr:col>51</xdr:col>
      <xdr:colOff>45720</xdr:colOff>
      <xdr:row>65</xdr:row>
      <xdr:rowOff>91440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</xdr:colOff>
      <xdr:row>0</xdr:row>
      <xdr:rowOff>83820</xdr:rowOff>
    </xdr:from>
    <xdr:to>
      <xdr:col>18</xdr:col>
      <xdr:colOff>228600</xdr:colOff>
      <xdr:row>32</xdr:row>
      <xdr:rowOff>45720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0</xdr:row>
      <xdr:rowOff>76200</xdr:rowOff>
    </xdr:from>
    <xdr:to>
      <xdr:col>21</xdr:col>
      <xdr:colOff>571500</xdr:colOff>
      <xdr:row>32</xdr:row>
      <xdr:rowOff>91440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266700</xdr:colOff>
      <xdr:row>32</xdr:row>
      <xdr:rowOff>99060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20</xdr:col>
      <xdr:colOff>190500</xdr:colOff>
      <xdr:row>32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93133</xdr:rowOff>
    </xdr:from>
    <xdr:to>
      <xdr:col>21</xdr:col>
      <xdr:colOff>567266</xdr:colOff>
      <xdr:row>35</xdr:row>
      <xdr:rowOff>135466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10"/>
  <sheetViews>
    <sheetView tabSelected="1" workbookViewId="0">
      <selection activeCell="K13" sqref="K13"/>
    </sheetView>
  </sheetViews>
  <sheetFormatPr defaultRowHeight="13.2" x14ac:dyDescent="0.25"/>
  <cols>
    <col min="1" max="16384" width="8.88671875" style="11"/>
  </cols>
  <sheetData>
    <row r="1" spans="1:1" x14ac:dyDescent="0.25">
      <c r="A1" s="11" t="s">
        <v>40</v>
      </c>
    </row>
    <row r="2" spans="1:1" x14ac:dyDescent="0.25">
      <c r="A2" s="11" t="s">
        <v>42</v>
      </c>
    </row>
    <row r="4" spans="1:1" x14ac:dyDescent="0.25">
      <c r="A4" s="11" t="s">
        <v>56</v>
      </c>
    </row>
    <row r="5" spans="1:1" x14ac:dyDescent="0.25">
      <c r="A5" s="11" t="s">
        <v>55</v>
      </c>
    </row>
    <row r="6" spans="1:1" x14ac:dyDescent="0.25">
      <c r="A6" s="11" t="s">
        <v>54</v>
      </c>
    </row>
    <row r="8" spans="1:1" x14ac:dyDescent="0.25">
      <c r="A8" s="11" t="s">
        <v>67</v>
      </c>
    </row>
    <row r="10" spans="1:1" x14ac:dyDescent="0.25">
      <c r="A10" s="11" t="s">
        <v>41</v>
      </c>
    </row>
  </sheetData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90" zoomScaleNormal="90" workbookViewId="0">
      <selection activeCell="W7" sqref="W7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CY313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174" sqref="G174"/>
    </sheetView>
  </sheetViews>
  <sheetFormatPr defaultRowHeight="13.2" x14ac:dyDescent="0.25"/>
  <cols>
    <col min="2" max="2" width="12.33203125" bestFit="1" customWidth="1"/>
    <col min="3" max="3" width="12" customWidth="1"/>
    <col min="4" max="5" width="14.77734375" customWidth="1"/>
    <col min="6" max="6" width="14.88671875" customWidth="1"/>
    <col min="7" max="10" width="12" customWidth="1"/>
    <col min="11" max="11" width="15.21875" customWidth="1"/>
    <col min="12" max="19" width="12" customWidth="1"/>
    <col min="20" max="21" width="11.33203125" customWidth="1"/>
    <col min="22" max="36" width="12" customWidth="1"/>
    <col min="37" max="38" width="13.77734375" customWidth="1"/>
    <col min="39" max="39" width="13.44140625" customWidth="1"/>
    <col min="40" max="93" width="12" customWidth="1"/>
    <col min="94" max="94" width="12.88671875" customWidth="1"/>
    <col min="95" max="95" width="13.33203125" customWidth="1"/>
    <col min="96" max="96" width="14" customWidth="1"/>
    <col min="97" max="99" width="12" customWidth="1"/>
    <col min="100" max="102" width="13.5546875" customWidth="1"/>
    <col min="103" max="103" width="11.5546875" customWidth="1"/>
  </cols>
  <sheetData>
    <row r="1" spans="1:103" s="13" customFormat="1" x14ac:dyDescent="0.25"/>
    <row r="2" spans="1:103" s="2" customFormat="1" ht="39" customHeight="1" x14ac:dyDescent="0.25">
      <c r="B2" s="5" t="s">
        <v>31</v>
      </c>
      <c r="C2" s="7" t="s">
        <v>1</v>
      </c>
      <c r="D2" s="7" t="s">
        <v>1</v>
      </c>
      <c r="E2" s="7" t="s">
        <v>48</v>
      </c>
      <c r="F2" s="7" t="s">
        <v>0</v>
      </c>
      <c r="G2" s="7" t="s">
        <v>0</v>
      </c>
      <c r="H2" s="7" t="s">
        <v>0</v>
      </c>
      <c r="I2" s="7" t="s">
        <v>24</v>
      </c>
      <c r="J2" s="7" t="s">
        <v>24</v>
      </c>
      <c r="K2" s="7" t="s">
        <v>24</v>
      </c>
      <c r="L2" s="7" t="s">
        <v>25</v>
      </c>
      <c r="M2" s="7" t="s">
        <v>25</v>
      </c>
      <c r="N2" s="7" t="s">
        <v>25</v>
      </c>
      <c r="O2" s="7" t="s">
        <v>43</v>
      </c>
      <c r="P2" s="7" t="s">
        <v>43</v>
      </c>
      <c r="Q2" s="7" t="s">
        <v>43</v>
      </c>
      <c r="R2" s="7" t="s">
        <v>26</v>
      </c>
      <c r="S2" s="7" t="s">
        <v>26</v>
      </c>
      <c r="T2" s="7" t="s">
        <v>26</v>
      </c>
      <c r="U2" s="7" t="s">
        <v>47</v>
      </c>
      <c r="V2" s="7" t="s">
        <v>2</v>
      </c>
      <c r="W2" s="7" t="s">
        <v>2</v>
      </c>
      <c r="X2" s="7" t="s">
        <v>2</v>
      </c>
      <c r="Y2" s="7" t="s">
        <v>4</v>
      </c>
      <c r="Z2" s="7" t="s">
        <v>4</v>
      </c>
      <c r="AA2" s="7" t="s">
        <v>4</v>
      </c>
      <c r="AB2" s="7" t="s">
        <v>29</v>
      </c>
      <c r="AC2" s="7" t="s">
        <v>29</v>
      </c>
      <c r="AD2" s="7" t="s">
        <v>29</v>
      </c>
      <c r="AE2" s="7" t="s">
        <v>30</v>
      </c>
      <c r="AF2" s="7" t="s">
        <v>30</v>
      </c>
      <c r="AG2" s="7" t="s">
        <v>30</v>
      </c>
      <c r="AH2" s="7" t="s">
        <v>11</v>
      </c>
      <c r="AI2" s="7" t="s">
        <v>11</v>
      </c>
      <c r="AJ2" s="7" t="s">
        <v>11</v>
      </c>
      <c r="AK2" s="7" t="s">
        <v>12</v>
      </c>
      <c r="AL2" s="7" t="s">
        <v>12</v>
      </c>
      <c r="AM2" s="7" t="s">
        <v>28</v>
      </c>
      <c r="AN2" s="7" t="s">
        <v>28</v>
      </c>
      <c r="AO2" s="7" t="s">
        <v>28</v>
      </c>
      <c r="AP2" s="7" t="s">
        <v>39</v>
      </c>
      <c r="AQ2" s="7" t="s">
        <v>39</v>
      </c>
      <c r="AR2" s="7" t="s">
        <v>39</v>
      </c>
      <c r="AS2" s="7" t="s">
        <v>3</v>
      </c>
      <c r="AT2" s="7" t="s">
        <v>3</v>
      </c>
      <c r="AU2" s="7" t="s">
        <v>3</v>
      </c>
      <c r="AV2" s="7" t="s">
        <v>9</v>
      </c>
      <c r="AW2" s="7" t="s">
        <v>9</v>
      </c>
      <c r="AX2" s="7" t="s">
        <v>9</v>
      </c>
      <c r="AY2" s="7" t="s">
        <v>20</v>
      </c>
      <c r="AZ2" s="7" t="s">
        <v>20</v>
      </c>
      <c r="BA2" s="7" t="s">
        <v>20</v>
      </c>
      <c r="BB2" s="7" t="s">
        <v>36</v>
      </c>
      <c r="BC2" s="7" t="s">
        <v>36</v>
      </c>
      <c r="BD2" s="7" t="s">
        <v>36</v>
      </c>
      <c r="BE2" s="7" t="s">
        <v>15</v>
      </c>
      <c r="BF2" s="7" t="s">
        <v>15</v>
      </c>
      <c r="BG2" s="7" t="s">
        <v>15</v>
      </c>
      <c r="BH2" s="7" t="s">
        <v>16</v>
      </c>
      <c r="BI2" s="7" t="s">
        <v>16</v>
      </c>
      <c r="BJ2" s="7" t="s">
        <v>16</v>
      </c>
      <c r="BK2" s="7" t="s">
        <v>17</v>
      </c>
      <c r="BL2" s="7" t="s">
        <v>17</v>
      </c>
      <c r="BM2" s="7" t="s">
        <v>17</v>
      </c>
      <c r="BN2" s="7" t="s">
        <v>6</v>
      </c>
      <c r="BO2" s="7" t="s">
        <v>6</v>
      </c>
      <c r="BP2" s="7" t="s">
        <v>6</v>
      </c>
      <c r="BQ2" s="7" t="s">
        <v>19</v>
      </c>
      <c r="BR2" s="7" t="s">
        <v>19</v>
      </c>
      <c r="BS2" s="7" t="s">
        <v>37</v>
      </c>
      <c r="BT2" s="7" t="s">
        <v>37</v>
      </c>
      <c r="BU2" s="7" t="s">
        <v>37</v>
      </c>
      <c r="BV2" s="7" t="s">
        <v>21</v>
      </c>
      <c r="BW2" s="7" t="s">
        <v>21</v>
      </c>
      <c r="BX2" s="7" t="s">
        <v>21</v>
      </c>
      <c r="BY2" s="7" t="s">
        <v>22</v>
      </c>
      <c r="BZ2" s="7" t="s">
        <v>22</v>
      </c>
      <c r="CA2" s="7" t="s">
        <v>22</v>
      </c>
      <c r="CB2" s="7" t="s">
        <v>23</v>
      </c>
      <c r="CC2" s="7" t="s">
        <v>23</v>
      </c>
      <c r="CD2" s="7" t="s">
        <v>23</v>
      </c>
      <c r="CE2" s="7" t="s">
        <v>18</v>
      </c>
      <c r="CF2" s="7" t="s">
        <v>18</v>
      </c>
      <c r="CG2" s="7" t="s">
        <v>18</v>
      </c>
      <c r="CH2" s="7" t="s">
        <v>45</v>
      </c>
      <c r="CI2" s="7" t="s">
        <v>46</v>
      </c>
      <c r="CJ2" s="7" t="s">
        <v>5</v>
      </c>
      <c r="CK2" s="7" t="s">
        <v>5</v>
      </c>
      <c r="CL2" s="7" t="s">
        <v>5</v>
      </c>
      <c r="CM2" s="7" t="s">
        <v>27</v>
      </c>
      <c r="CN2" s="7" t="s">
        <v>27</v>
      </c>
      <c r="CO2" s="7" t="s">
        <v>27</v>
      </c>
      <c r="CP2" s="7" t="s">
        <v>13</v>
      </c>
      <c r="CQ2" s="7" t="s">
        <v>13</v>
      </c>
      <c r="CR2" s="7" t="s">
        <v>13</v>
      </c>
      <c r="CS2" s="7" t="s">
        <v>14</v>
      </c>
      <c r="CT2" s="7" t="s">
        <v>14</v>
      </c>
      <c r="CU2" s="7" t="s">
        <v>14</v>
      </c>
      <c r="CV2" s="7" t="s">
        <v>38</v>
      </c>
      <c r="CW2" s="7" t="s">
        <v>38</v>
      </c>
      <c r="CX2" s="7" t="s">
        <v>38</v>
      </c>
      <c r="CY2" s="7" t="s">
        <v>44</v>
      </c>
    </row>
    <row r="3" spans="1:103" ht="39.6" x14ac:dyDescent="0.25">
      <c r="B3" s="5" t="s">
        <v>33</v>
      </c>
      <c r="C3" s="7" t="s">
        <v>51</v>
      </c>
      <c r="D3" s="7" t="s">
        <v>50</v>
      </c>
      <c r="E3" s="7" t="s">
        <v>50</v>
      </c>
      <c r="F3" s="7" t="s">
        <v>50</v>
      </c>
      <c r="G3" s="7" t="s">
        <v>50</v>
      </c>
      <c r="H3" s="7" t="s">
        <v>61</v>
      </c>
      <c r="I3" s="7" t="s">
        <v>51</v>
      </c>
      <c r="J3" s="7" t="s">
        <v>50</v>
      </c>
      <c r="K3" s="7" t="s">
        <v>51</v>
      </c>
      <c r="L3" s="7" t="s">
        <v>51</v>
      </c>
      <c r="M3" s="7" t="s">
        <v>50</v>
      </c>
      <c r="N3" s="7" t="s">
        <v>50</v>
      </c>
      <c r="O3" s="7" t="s">
        <v>50</v>
      </c>
      <c r="P3" s="7" t="s">
        <v>50</v>
      </c>
      <c r="Q3" s="7" t="s">
        <v>50</v>
      </c>
      <c r="R3" s="7" t="s">
        <v>51</v>
      </c>
      <c r="S3" s="7" t="s">
        <v>50</v>
      </c>
      <c r="T3" s="7" t="s">
        <v>51</v>
      </c>
      <c r="U3" s="7" t="s">
        <v>50</v>
      </c>
      <c r="V3" s="7" t="s">
        <v>51</v>
      </c>
      <c r="W3" s="7" t="s">
        <v>50</v>
      </c>
      <c r="X3" s="7" t="s">
        <v>50</v>
      </c>
      <c r="Y3" s="7" t="s">
        <v>51</v>
      </c>
      <c r="Z3" s="7" t="s">
        <v>51</v>
      </c>
      <c r="AA3" s="7" t="s">
        <v>50</v>
      </c>
      <c r="AB3" s="7" t="s">
        <v>50</v>
      </c>
      <c r="AC3" s="7" t="s">
        <v>50</v>
      </c>
      <c r="AD3" s="7" t="s">
        <v>50</v>
      </c>
      <c r="AE3" s="7" t="s">
        <v>50</v>
      </c>
      <c r="AF3" s="7" t="s">
        <v>50</v>
      </c>
      <c r="AG3" s="7" t="s">
        <v>50</v>
      </c>
      <c r="AH3" s="7" t="s">
        <v>50</v>
      </c>
      <c r="AI3" s="7" t="s">
        <v>50</v>
      </c>
      <c r="AJ3" s="7" t="s">
        <v>50</v>
      </c>
      <c r="AK3" s="7" t="s">
        <v>51</v>
      </c>
      <c r="AL3" s="7" t="s">
        <v>62</v>
      </c>
      <c r="AM3" s="7" t="s">
        <v>51</v>
      </c>
      <c r="AN3" s="7" t="s">
        <v>50</v>
      </c>
      <c r="AO3" s="7" t="s">
        <v>50</v>
      </c>
      <c r="AP3" s="7" t="s">
        <v>50</v>
      </c>
      <c r="AQ3" s="7" t="s">
        <v>50</v>
      </c>
      <c r="AR3" s="7" t="s">
        <v>50</v>
      </c>
      <c r="AS3" s="7" t="s">
        <v>51</v>
      </c>
      <c r="AT3" s="7" t="s">
        <v>50</v>
      </c>
      <c r="AU3" s="7" t="s">
        <v>50</v>
      </c>
      <c r="AV3" s="7" t="s">
        <v>51</v>
      </c>
      <c r="AW3" s="7" t="s">
        <v>50</v>
      </c>
      <c r="AX3" s="7" t="s">
        <v>50</v>
      </c>
      <c r="AY3" s="7" t="s">
        <v>50</v>
      </c>
      <c r="AZ3" s="7" t="s">
        <v>50</v>
      </c>
      <c r="BA3" s="7" t="s">
        <v>50</v>
      </c>
      <c r="BB3" s="7" t="s">
        <v>50</v>
      </c>
      <c r="BC3" s="7" t="s">
        <v>50</v>
      </c>
      <c r="BD3" s="7" t="s">
        <v>50</v>
      </c>
      <c r="BE3" s="7" t="s">
        <v>51</v>
      </c>
      <c r="BF3" s="7" t="s">
        <v>51</v>
      </c>
      <c r="BG3" s="7" t="s">
        <v>50</v>
      </c>
      <c r="BH3" s="7" t="s">
        <v>50</v>
      </c>
      <c r="BI3" s="7" t="s">
        <v>58</v>
      </c>
      <c r="BJ3" s="7" t="s">
        <v>58</v>
      </c>
      <c r="BK3" s="7" t="s">
        <v>50</v>
      </c>
      <c r="BL3" s="7" t="s">
        <v>51</v>
      </c>
      <c r="BM3" s="7" t="s">
        <v>50</v>
      </c>
      <c r="BN3" s="7" t="s">
        <v>50</v>
      </c>
      <c r="BO3" s="7" t="s">
        <v>50</v>
      </c>
      <c r="BP3" s="7" t="s">
        <v>50</v>
      </c>
      <c r="BQ3" s="7" t="s">
        <v>51</v>
      </c>
      <c r="BR3" s="7" t="s">
        <v>51</v>
      </c>
      <c r="BS3" s="7" t="s">
        <v>50</v>
      </c>
      <c r="BT3" s="7" t="s">
        <v>50</v>
      </c>
      <c r="BU3" s="7" t="s">
        <v>50</v>
      </c>
      <c r="BV3" s="7" t="s">
        <v>58</v>
      </c>
      <c r="BW3" s="7" t="s">
        <v>50</v>
      </c>
      <c r="BX3" s="7" t="s">
        <v>50</v>
      </c>
      <c r="BY3" s="7" t="s">
        <v>59</v>
      </c>
      <c r="BZ3" s="7" t="s">
        <v>58</v>
      </c>
      <c r="CA3" s="7" t="s">
        <v>50</v>
      </c>
      <c r="CB3" s="7" t="s">
        <v>58</v>
      </c>
      <c r="CC3" s="7" t="s">
        <v>50</v>
      </c>
      <c r="CD3" s="7" t="s">
        <v>50</v>
      </c>
      <c r="CE3" s="7" t="s">
        <v>50</v>
      </c>
      <c r="CF3" s="7" t="s">
        <v>50</v>
      </c>
      <c r="CG3" s="7" t="s">
        <v>50</v>
      </c>
      <c r="CH3" s="7" t="s">
        <v>50</v>
      </c>
      <c r="CI3" s="7" t="s">
        <v>50</v>
      </c>
      <c r="CJ3" s="7" t="s">
        <v>51</v>
      </c>
      <c r="CK3" s="7" t="s">
        <v>50</v>
      </c>
      <c r="CL3" s="7" t="s">
        <v>50</v>
      </c>
      <c r="CM3" s="7" t="s">
        <v>57</v>
      </c>
      <c r="CN3" s="7" t="s">
        <v>50</v>
      </c>
      <c r="CO3" s="7" t="s">
        <v>50</v>
      </c>
      <c r="CP3" s="7" t="s">
        <v>50</v>
      </c>
      <c r="CQ3" s="7" t="s">
        <v>50</v>
      </c>
      <c r="CR3" s="7" t="s">
        <v>50</v>
      </c>
      <c r="CS3" s="7" t="s">
        <v>50</v>
      </c>
      <c r="CT3" s="7" t="s">
        <v>50</v>
      </c>
      <c r="CU3" s="7" t="s">
        <v>50</v>
      </c>
      <c r="CV3" s="7" t="s">
        <v>50</v>
      </c>
      <c r="CW3" s="7" t="s">
        <v>50</v>
      </c>
      <c r="CX3" s="7" t="s">
        <v>50</v>
      </c>
      <c r="CY3" s="7" t="s">
        <v>50</v>
      </c>
    </row>
    <row r="4" spans="1:103" s="2" customFormat="1" ht="27" customHeight="1" x14ac:dyDescent="0.25">
      <c r="B4" s="5" t="s">
        <v>32</v>
      </c>
      <c r="C4" s="5" t="s">
        <v>8</v>
      </c>
      <c r="D4" s="5" t="s">
        <v>7</v>
      </c>
      <c r="E4" s="5"/>
      <c r="F4" s="5" t="s">
        <v>8</v>
      </c>
      <c r="G4" s="5" t="s">
        <v>8</v>
      </c>
      <c r="H4" s="5" t="s">
        <v>8</v>
      </c>
      <c r="I4" s="5" t="s">
        <v>8</v>
      </c>
      <c r="J4" s="5" t="s">
        <v>8</v>
      </c>
      <c r="K4" s="5" t="s">
        <v>10</v>
      </c>
      <c r="L4" s="5" t="s">
        <v>8</v>
      </c>
      <c r="M4" s="5" t="s">
        <v>7</v>
      </c>
      <c r="N4" s="5" t="s">
        <v>10</v>
      </c>
      <c r="O4" s="5" t="s">
        <v>8</v>
      </c>
      <c r="P4" s="5" t="s">
        <v>7</v>
      </c>
      <c r="Q4" s="5" t="s">
        <v>10</v>
      </c>
      <c r="R4" s="5" t="s">
        <v>8</v>
      </c>
      <c r="S4" s="5" t="s">
        <v>7</v>
      </c>
      <c r="T4" s="5" t="s">
        <v>10</v>
      </c>
      <c r="U4" s="5"/>
      <c r="V4" s="5" t="s">
        <v>8</v>
      </c>
      <c r="W4" s="5" t="s">
        <v>7</v>
      </c>
      <c r="X4" s="5" t="s">
        <v>10</v>
      </c>
      <c r="Y4" s="5" t="s">
        <v>52</v>
      </c>
      <c r="Z4" s="5" t="s">
        <v>53</v>
      </c>
      <c r="AA4" s="5" t="s">
        <v>10</v>
      </c>
      <c r="AB4" s="5" t="s">
        <v>8</v>
      </c>
      <c r="AC4" s="5" t="s">
        <v>7</v>
      </c>
      <c r="AD4" s="5" t="s">
        <v>10</v>
      </c>
      <c r="AE4" s="5" t="s">
        <v>8</v>
      </c>
      <c r="AF4" s="5" t="s">
        <v>7</v>
      </c>
      <c r="AG4" s="5" t="s">
        <v>10</v>
      </c>
      <c r="AH4" s="5" t="s">
        <v>8</v>
      </c>
      <c r="AI4" s="5" t="s">
        <v>7</v>
      </c>
      <c r="AJ4" s="5" t="s">
        <v>10</v>
      </c>
      <c r="AK4" s="5" t="s">
        <v>8</v>
      </c>
      <c r="AL4" s="5" t="s">
        <v>8</v>
      </c>
      <c r="AM4" s="5" t="s">
        <v>8</v>
      </c>
      <c r="AN4" s="5" t="s">
        <v>7</v>
      </c>
      <c r="AO4" s="5" t="s">
        <v>10</v>
      </c>
      <c r="AP4" s="5" t="s">
        <v>8</v>
      </c>
      <c r="AQ4" s="5" t="s">
        <v>7</v>
      </c>
      <c r="AR4" s="5" t="s">
        <v>10</v>
      </c>
      <c r="AS4" s="5" t="s">
        <v>8</v>
      </c>
      <c r="AT4" s="5" t="s">
        <v>7</v>
      </c>
      <c r="AU4" s="5" t="s">
        <v>10</v>
      </c>
      <c r="AV4" s="5" t="s">
        <v>8</v>
      </c>
      <c r="AW4" s="5" t="s">
        <v>7</v>
      </c>
      <c r="AX4" s="5" t="s">
        <v>10</v>
      </c>
      <c r="AY4" s="5" t="s">
        <v>8</v>
      </c>
      <c r="AZ4" s="5" t="s">
        <v>7</v>
      </c>
      <c r="BA4" s="5" t="s">
        <v>10</v>
      </c>
      <c r="BB4" s="5" t="s">
        <v>8</v>
      </c>
      <c r="BC4" s="5" t="s">
        <v>7</v>
      </c>
      <c r="BD4" s="5" t="s">
        <v>10</v>
      </c>
      <c r="BE4" s="5" t="s">
        <v>8</v>
      </c>
      <c r="BF4" s="5" t="s">
        <v>7</v>
      </c>
      <c r="BG4" s="5" t="s">
        <v>10</v>
      </c>
      <c r="BH4" s="5" t="s">
        <v>8</v>
      </c>
      <c r="BI4" s="5" t="s">
        <v>8</v>
      </c>
      <c r="BJ4" s="5" t="s">
        <v>10</v>
      </c>
      <c r="BK4" s="5" t="s">
        <v>8</v>
      </c>
      <c r="BL4" s="5" t="s">
        <v>8</v>
      </c>
      <c r="BM4" s="5" t="s">
        <v>10</v>
      </c>
      <c r="BN4" s="5" t="s">
        <v>8</v>
      </c>
      <c r="BO4" s="5" t="s">
        <v>7</v>
      </c>
      <c r="BP4" s="5" t="s">
        <v>10</v>
      </c>
      <c r="BQ4" s="5" t="s">
        <v>8</v>
      </c>
      <c r="BR4" s="5" t="s">
        <v>10</v>
      </c>
      <c r="BS4" s="5" t="s">
        <v>8</v>
      </c>
      <c r="BT4" s="5" t="s">
        <v>7</v>
      </c>
      <c r="BU4" s="5" t="s">
        <v>10</v>
      </c>
      <c r="BV4" s="5" t="s">
        <v>8</v>
      </c>
      <c r="BW4" s="5" t="s">
        <v>7</v>
      </c>
      <c r="BX4" s="5" t="s">
        <v>10</v>
      </c>
      <c r="BY4" s="5" t="s">
        <v>8</v>
      </c>
      <c r="BZ4" s="5" t="s">
        <v>7</v>
      </c>
      <c r="CA4" s="5" t="s">
        <v>10</v>
      </c>
      <c r="CB4" s="5" t="s">
        <v>8</v>
      </c>
      <c r="CC4" s="5" t="s">
        <v>7</v>
      </c>
      <c r="CD4" s="5" t="s">
        <v>10</v>
      </c>
      <c r="CE4" s="5" t="s">
        <v>8</v>
      </c>
      <c r="CF4" s="5" t="s">
        <v>7</v>
      </c>
      <c r="CG4" s="5" t="s">
        <v>10</v>
      </c>
      <c r="CH4" s="5"/>
      <c r="CI4" s="5"/>
      <c r="CJ4" s="5" t="s">
        <v>8</v>
      </c>
      <c r="CK4" s="5" t="s">
        <v>8</v>
      </c>
      <c r="CL4" s="5" t="s">
        <v>7</v>
      </c>
      <c r="CM4" s="5" t="s">
        <v>8</v>
      </c>
      <c r="CN4" s="5" t="s">
        <v>7</v>
      </c>
      <c r="CO4" s="5" t="s">
        <v>10</v>
      </c>
      <c r="CP4" s="5" t="s">
        <v>8</v>
      </c>
      <c r="CQ4" s="5" t="s">
        <v>8</v>
      </c>
      <c r="CR4" s="5" t="s">
        <v>10</v>
      </c>
      <c r="CS4" s="5" t="s">
        <v>8</v>
      </c>
      <c r="CT4" s="5" t="s">
        <v>7</v>
      </c>
      <c r="CU4" s="5" t="s">
        <v>10</v>
      </c>
      <c r="CV4" s="5" t="s">
        <v>8</v>
      </c>
      <c r="CW4" s="5" t="s">
        <v>7</v>
      </c>
      <c r="CX4" s="5" t="s">
        <v>10</v>
      </c>
      <c r="CY4" s="5" t="s">
        <v>8</v>
      </c>
    </row>
    <row r="5" spans="1:103" s="9" customFormat="1" x14ac:dyDescent="0.25">
      <c r="A5" s="4" t="s">
        <v>35</v>
      </c>
      <c r="B5" s="4" t="s">
        <v>34</v>
      </c>
      <c r="C5" s="6" t="s">
        <v>49</v>
      </c>
      <c r="D5" s="6" t="s">
        <v>49</v>
      </c>
      <c r="E5" s="6" t="s">
        <v>49</v>
      </c>
      <c r="F5" s="6" t="s">
        <v>60</v>
      </c>
      <c r="G5" s="6" t="s">
        <v>49</v>
      </c>
      <c r="H5" s="6" t="s">
        <v>49</v>
      </c>
      <c r="I5" s="6" t="s">
        <v>49</v>
      </c>
      <c r="J5" s="6" t="s">
        <v>49</v>
      </c>
      <c r="K5" s="6" t="s">
        <v>49</v>
      </c>
      <c r="L5" s="6" t="s">
        <v>49</v>
      </c>
      <c r="M5" s="6" t="s">
        <v>49</v>
      </c>
      <c r="N5" s="6" t="s">
        <v>49</v>
      </c>
      <c r="O5" s="6" t="s">
        <v>49</v>
      </c>
      <c r="P5" s="6" t="s">
        <v>49</v>
      </c>
      <c r="Q5" s="6" t="s">
        <v>49</v>
      </c>
      <c r="R5" s="6" t="s">
        <v>49</v>
      </c>
      <c r="S5" s="6" t="s">
        <v>49</v>
      </c>
      <c r="T5" s="6" t="s">
        <v>49</v>
      </c>
      <c r="U5" s="6" t="s">
        <v>49</v>
      </c>
      <c r="V5" s="6" t="s">
        <v>49</v>
      </c>
      <c r="W5" s="6" t="s">
        <v>49</v>
      </c>
      <c r="X5" s="6" t="s">
        <v>49</v>
      </c>
      <c r="Y5" s="6" t="s">
        <v>49</v>
      </c>
      <c r="Z5" s="6" t="s">
        <v>49</v>
      </c>
      <c r="AA5" s="6" t="s">
        <v>49</v>
      </c>
      <c r="AB5" s="6" t="s">
        <v>49</v>
      </c>
      <c r="AC5" s="6" t="s">
        <v>49</v>
      </c>
      <c r="AD5" s="6" t="s">
        <v>49</v>
      </c>
      <c r="AE5" s="6" t="s">
        <v>49</v>
      </c>
      <c r="AF5" s="6" t="s">
        <v>49</v>
      </c>
      <c r="AG5" s="6" t="s">
        <v>49</v>
      </c>
      <c r="AH5" s="6" t="s">
        <v>49</v>
      </c>
      <c r="AI5" s="6" t="s">
        <v>49</v>
      </c>
      <c r="AJ5" s="6" t="s">
        <v>49</v>
      </c>
      <c r="AK5" s="6" t="s">
        <v>49</v>
      </c>
      <c r="AL5" s="6" t="s">
        <v>49</v>
      </c>
      <c r="AM5" s="6" t="s">
        <v>49</v>
      </c>
      <c r="AN5" s="6" t="s">
        <v>49</v>
      </c>
      <c r="AO5" s="6" t="s">
        <v>49</v>
      </c>
      <c r="AP5" s="6" t="s">
        <v>49</v>
      </c>
      <c r="AQ5" s="6" t="s">
        <v>49</v>
      </c>
      <c r="AR5" s="6" t="s">
        <v>49</v>
      </c>
      <c r="AS5" s="6" t="s">
        <v>49</v>
      </c>
      <c r="AT5" s="6" t="s">
        <v>49</v>
      </c>
      <c r="AU5" s="6" t="s">
        <v>49</v>
      </c>
      <c r="AV5" s="6" t="s">
        <v>49</v>
      </c>
      <c r="AW5" s="6" t="s">
        <v>49</v>
      </c>
      <c r="AX5" s="6" t="s">
        <v>49</v>
      </c>
      <c r="AY5" s="6" t="s">
        <v>49</v>
      </c>
      <c r="AZ5" s="6" t="s">
        <v>49</v>
      </c>
      <c r="BA5" s="6" t="s">
        <v>49</v>
      </c>
      <c r="BB5" s="6" t="s">
        <v>49</v>
      </c>
      <c r="BC5" s="6" t="s">
        <v>49</v>
      </c>
      <c r="BD5" s="6" t="s">
        <v>49</v>
      </c>
      <c r="BE5" s="6" t="s">
        <v>49</v>
      </c>
      <c r="BF5" s="6" t="s">
        <v>49</v>
      </c>
      <c r="BG5" s="6" t="s">
        <v>49</v>
      </c>
      <c r="BH5" s="6" t="s">
        <v>49</v>
      </c>
      <c r="BI5" s="6" t="s">
        <v>49</v>
      </c>
      <c r="BJ5" s="6" t="s">
        <v>49</v>
      </c>
      <c r="BK5" s="6" t="s">
        <v>49</v>
      </c>
      <c r="BL5" s="6" t="s">
        <v>49</v>
      </c>
      <c r="BM5" s="6" t="s">
        <v>49</v>
      </c>
      <c r="BN5" s="6" t="s">
        <v>49</v>
      </c>
      <c r="BO5" s="6" t="s">
        <v>49</v>
      </c>
      <c r="BP5" s="6" t="s">
        <v>49</v>
      </c>
      <c r="BQ5" s="6" t="s">
        <v>49</v>
      </c>
      <c r="BR5" s="6" t="s">
        <v>49</v>
      </c>
      <c r="BS5" s="6" t="s">
        <v>49</v>
      </c>
      <c r="BT5" s="6" t="s">
        <v>49</v>
      </c>
      <c r="BU5" s="6" t="s">
        <v>49</v>
      </c>
      <c r="BV5" s="6" t="s">
        <v>49</v>
      </c>
      <c r="BW5" s="6" t="s">
        <v>49</v>
      </c>
      <c r="BX5" s="6" t="s">
        <v>49</v>
      </c>
      <c r="BY5" s="6" t="s">
        <v>49</v>
      </c>
      <c r="BZ5" s="6" t="s">
        <v>49</v>
      </c>
      <c r="CA5" s="6" t="s">
        <v>49</v>
      </c>
      <c r="CB5" s="6" t="s">
        <v>49</v>
      </c>
      <c r="CC5" s="6" t="s">
        <v>49</v>
      </c>
      <c r="CD5" s="6" t="s">
        <v>49</v>
      </c>
      <c r="CE5" s="6" t="s">
        <v>49</v>
      </c>
      <c r="CF5" s="6" t="s">
        <v>49</v>
      </c>
      <c r="CG5" s="6" t="s">
        <v>49</v>
      </c>
      <c r="CH5" s="6" t="s">
        <v>49</v>
      </c>
      <c r="CI5" s="6" t="s">
        <v>49</v>
      </c>
      <c r="CJ5" s="6" t="s">
        <v>49</v>
      </c>
      <c r="CK5" s="6" t="s">
        <v>49</v>
      </c>
      <c r="CL5" s="6" t="s">
        <v>49</v>
      </c>
      <c r="CM5" s="6" t="s">
        <v>49</v>
      </c>
      <c r="CN5" s="6" t="s">
        <v>49</v>
      </c>
      <c r="CO5" s="6" t="s">
        <v>49</v>
      </c>
      <c r="CP5" s="6" t="s">
        <v>49</v>
      </c>
      <c r="CQ5" s="6" t="s">
        <v>49</v>
      </c>
      <c r="CR5" s="6" t="s">
        <v>49</v>
      </c>
      <c r="CS5" s="6" t="s">
        <v>49</v>
      </c>
      <c r="CT5" s="6" t="s">
        <v>49</v>
      </c>
      <c r="CU5" s="6" t="s">
        <v>49</v>
      </c>
      <c r="CV5" s="6" t="s">
        <v>49</v>
      </c>
      <c r="CW5" s="6" t="s">
        <v>49</v>
      </c>
      <c r="CX5" s="6" t="s">
        <v>49</v>
      </c>
      <c r="CY5" s="6" t="s">
        <v>49</v>
      </c>
    </row>
    <row r="6" spans="1:103" s="2" customFormat="1" ht="54.6" hidden="1" customHeight="1" x14ac:dyDescent="0.25">
      <c r="A6" s="4" t="s">
        <v>35</v>
      </c>
      <c r="B6" s="5" t="s">
        <v>31</v>
      </c>
      <c r="C6" s="7" t="str">
        <f>CONCATENATE(C2,", ",C3,", ",C4,", ","in ",C5)</f>
        <v>UK, Petroleum, Imports, in s/case</v>
      </c>
      <c r="D6" s="7" t="str">
        <f t="shared" ref="D6:BO6" si="0">CONCATENATE(D2,", ",D3,", ",D4,", ","in ",D5)</f>
        <v>UK, Kerosene, Exports, in s/case</v>
      </c>
      <c r="E6" s="7" t="str">
        <f t="shared" si="0"/>
        <v>USA, Kerosene, , in s/case</v>
      </c>
      <c r="F6" s="7" t="str">
        <f t="shared" si="0"/>
        <v>Baghdad, Kerosene, Imports, in s/drum &amp; s/case</v>
      </c>
      <c r="G6" s="7" t="str">
        <f t="shared" si="0"/>
        <v>Baghdad, Kerosene, Imports, in s/case</v>
      </c>
      <c r="H6" s="7" t="str">
        <f t="shared" si="0"/>
        <v>Baghdad, Naphtha, white, Imports, in s/case</v>
      </c>
      <c r="I6" s="7" t="str">
        <f t="shared" si="0"/>
        <v>Basrah, Petroleum, Imports, in s/case</v>
      </c>
      <c r="J6" s="7" t="str">
        <f t="shared" si="0"/>
        <v>Basrah, Kerosene, Imports, in s/case</v>
      </c>
      <c r="K6" s="7" t="str">
        <f t="shared" si="0"/>
        <v>Basrah, Petroleum, Bazaar (Local), in s/case</v>
      </c>
      <c r="L6" s="7" t="str">
        <f t="shared" si="0"/>
        <v>Mosul, Petroleum, Imports, in s/case</v>
      </c>
      <c r="M6" s="7" t="str">
        <f t="shared" si="0"/>
        <v>Mosul, Kerosene, Exports, in s/case</v>
      </c>
      <c r="N6" s="7" t="str">
        <f t="shared" si="0"/>
        <v>Mosul, Kerosene, Bazaar (Local), in s/case</v>
      </c>
      <c r="O6" s="7" t="str">
        <f t="shared" si="0"/>
        <v>Egypt, Kerosene, Imports, in s/case</v>
      </c>
      <c r="P6" s="7" t="str">
        <f t="shared" si="0"/>
        <v>Egypt, Kerosene, Exports, in s/case</v>
      </c>
      <c r="Q6" s="7" t="str">
        <f t="shared" si="0"/>
        <v>Egypt, Kerosene, Bazaar (Local), in s/case</v>
      </c>
      <c r="R6" s="7" t="str">
        <f t="shared" si="0"/>
        <v>Palestine, Petroleum, Imports, in s/case</v>
      </c>
      <c r="S6" s="7" t="str">
        <f t="shared" si="0"/>
        <v>Palestine, Kerosene, Exports, in s/case</v>
      </c>
      <c r="T6" s="7" t="str">
        <f t="shared" si="0"/>
        <v>Palestine, Petroleum, Bazaar (Local), in s/case</v>
      </c>
      <c r="U6" s="7" t="str">
        <f t="shared" si="0"/>
        <v>Jaffa, Kerosene, , in s/case</v>
      </c>
      <c r="V6" s="7" t="str">
        <f t="shared" si="0"/>
        <v>Damascus, Petroleum, Imports, in s/case</v>
      </c>
      <c r="W6" s="7" t="str">
        <f t="shared" si="0"/>
        <v>Damascus, Kerosene, Exports, in s/case</v>
      </c>
      <c r="X6" s="7" t="str">
        <f t="shared" si="0"/>
        <v>Damascus, Kerosene, Bazaar (Local), in s/case</v>
      </c>
      <c r="Y6" s="7" t="str">
        <f t="shared" si="0"/>
        <v>Beirut, Petroleum, Imports (from US), in s/case</v>
      </c>
      <c r="Z6" s="7" t="str">
        <f t="shared" si="0"/>
        <v>Beirut, Petroleum, Imports (from Russia), in s/case</v>
      </c>
      <c r="AA6" s="7" t="str">
        <f t="shared" si="0"/>
        <v>Beirut, Kerosene, Bazaar (Local), in s/case</v>
      </c>
      <c r="AB6" s="7" t="str">
        <f t="shared" si="0"/>
        <v>Istanbul (Anatolia), Kerosene, Imports, in s/case</v>
      </c>
      <c r="AC6" s="7" t="str">
        <f t="shared" si="0"/>
        <v>Istanbul (Anatolia), Kerosene, Exports, in s/case</v>
      </c>
      <c r="AD6" s="7" t="str">
        <f t="shared" si="0"/>
        <v>Istanbul (Anatolia), Kerosene, Bazaar (Local), in s/case</v>
      </c>
      <c r="AE6" s="7" t="str">
        <f t="shared" si="0"/>
        <v>Istanbul (Rumeli), Kerosene, Imports, in s/case</v>
      </c>
      <c r="AF6" s="7" t="str">
        <f t="shared" si="0"/>
        <v>Istanbul (Rumeli), Kerosene, Exports, in s/case</v>
      </c>
      <c r="AG6" s="7" t="str">
        <f t="shared" si="0"/>
        <v>Istanbul (Rumeli), Kerosene, Bazaar (Local), in s/case</v>
      </c>
      <c r="AH6" s="7" t="str">
        <f t="shared" si="0"/>
        <v>Turkey, Kerosene, Imports, in s/case</v>
      </c>
      <c r="AI6" s="7" t="str">
        <f t="shared" si="0"/>
        <v>Turkey, Kerosene, Exports, in s/case</v>
      </c>
      <c r="AJ6" s="7" t="str">
        <f t="shared" si="0"/>
        <v>Turkey, Kerosene, Bazaar (Local), in s/case</v>
      </c>
      <c r="AK6" s="7" t="str">
        <f t="shared" si="0"/>
        <v>Constantinople, Petroleum, Imports, in s/case</v>
      </c>
      <c r="AL6" s="7" t="str">
        <f t="shared" si="0"/>
        <v>Constantinople, Naphtha &amp; other mineral oils, Imports, in s/case</v>
      </c>
      <c r="AM6" s="7" t="str">
        <f t="shared" si="0"/>
        <v>Trebizond (Anatolia), Petroleum, Imports, in s/case</v>
      </c>
      <c r="AN6" s="7" t="str">
        <f t="shared" si="0"/>
        <v>Trebizond (Anatolia), Kerosene, Exports, in s/case</v>
      </c>
      <c r="AO6" s="7" t="str">
        <f t="shared" si="0"/>
        <v>Trebizond (Anatolia), Kerosene, Bazaar (Local), in s/case</v>
      </c>
      <c r="AP6" s="7" t="str">
        <f t="shared" si="0"/>
        <v>Trebizond (Persia), Kerosene, Imports, in s/case</v>
      </c>
      <c r="AQ6" s="7" t="str">
        <f t="shared" si="0"/>
        <v>Trebizond (Persia), Kerosene, Exports, in s/case</v>
      </c>
      <c r="AR6" s="7" t="str">
        <f t="shared" si="0"/>
        <v>Trebizond (Persia), Kerosene, Bazaar (Local), in s/case</v>
      </c>
      <c r="AS6" s="7" t="str">
        <f t="shared" si="0"/>
        <v>Izmir, Petroleum, Imports, in s/case</v>
      </c>
      <c r="AT6" s="7" t="str">
        <f t="shared" si="0"/>
        <v>Izmir, Kerosene, Exports, in s/case</v>
      </c>
      <c r="AU6" s="7" t="str">
        <f t="shared" si="0"/>
        <v>Izmir, Kerosene, Bazaar (Local), in s/case</v>
      </c>
      <c r="AV6" s="7" t="str">
        <f t="shared" si="0"/>
        <v>Alexandretta, Petroleum, Imports, in s/case</v>
      </c>
      <c r="AW6" s="7" t="str">
        <f t="shared" si="0"/>
        <v>Alexandretta, Kerosene, Exports, in s/case</v>
      </c>
      <c r="AX6" s="7" t="str">
        <f t="shared" si="0"/>
        <v>Alexandretta, Kerosene, Bazaar (Local), in s/case</v>
      </c>
      <c r="AY6" s="7" t="str">
        <f t="shared" si="0"/>
        <v>Ispahan, Kerosene, Imports, in s/case</v>
      </c>
      <c r="AZ6" s="7" t="str">
        <f t="shared" si="0"/>
        <v>Ispahan, Kerosene, Exports, in s/case</v>
      </c>
      <c r="BA6" s="7" t="str">
        <f t="shared" si="0"/>
        <v>Ispahan, Kerosene, Bazaar (Local), in s/case</v>
      </c>
      <c r="BB6" s="7" t="str">
        <f t="shared" si="0"/>
        <v>Yezd, Kerosene, Imports, in s/case</v>
      </c>
      <c r="BC6" s="7" t="str">
        <f t="shared" si="0"/>
        <v>Yezd, Kerosene, Exports, in s/case</v>
      </c>
      <c r="BD6" s="7" t="str">
        <f t="shared" si="0"/>
        <v>Yezd, Kerosene, Bazaar (Local), in s/case</v>
      </c>
      <c r="BE6" s="7" t="str">
        <f t="shared" si="0"/>
        <v>Khorasan, Petroleum, Imports, in s/case</v>
      </c>
      <c r="BF6" s="7" t="str">
        <f t="shared" si="0"/>
        <v>Khorasan, Petroleum, Exports, in s/case</v>
      </c>
      <c r="BG6" s="7" t="str">
        <f t="shared" si="0"/>
        <v>Khorasan, Kerosene, Bazaar (Local), in s/case</v>
      </c>
      <c r="BH6" s="7" t="str">
        <f t="shared" si="0"/>
        <v>Kermanshah, Kerosene, Imports, in s/case</v>
      </c>
      <c r="BI6" s="7" t="str">
        <f t="shared" si="0"/>
        <v>Kermanshah, Naphtha Oil, Imports, in s/case</v>
      </c>
      <c r="BJ6" s="7" t="str">
        <f t="shared" si="0"/>
        <v>Kermanshah, Naphtha Oil, Bazaar (Local), in s/case</v>
      </c>
      <c r="BK6" s="7" t="str">
        <f t="shared" si="0"/>
        <v>Kerman, Kerosene, Imports, in s/case</v>
      </c>
      <c r="BL6" s="7" t="str">
        <f t="shared" si="0"/>
        <v>Kerman, Petroleum, Imports, in s/case</v>
      </c>
      <c r="BM6" s="7" t="str">
        <f t="shared" si="0"/>
        <v>Kerman, Kerosene, Bazaar (Local), in s/case</v>
      </c>
      <c r="BN6" s="7" t="str">
        <f t="shared" si="0"/>
        <v>Bam, Kerosene, Imports, in s/case</v>
      </c>
      <c r="BO6" s="7" t="str">
        <f t="shared" si="0"/>
        <v>Bam, Kerosene, Exports, in s/case</v>
      </c>
      <c r="BP6" s="7" t="str">
        <f t="shared" ref="BP6:CY6" si="1">CONCATENATE(BP2,", ",BP3,", ",BP4,", ","in ",BP5)</f>
        <v>Bam, Kerosene, Bazaar (Local), in s/case</v>
      </c>
      <c r="BQ6" s="7" t="str">
        <f t="shared" si="1"/>
        <v>Resht, Petroleum, Imports, in s/case</v>
      </c>
      <c r="BR6" s="7" t="str">
        <f t="shared" si="1"/>
        <v>Resht, Petroleum, Bazaar (Local), in s/case</v>
      </c>
      <c r="BS6" s="7" t="str">
        <f t="shared" si="1"/>
        <v>Mazandaran, Kerosene, Imports, in s/case</v>
      </c>
      <c r="BT6" s="7" t="str">
        <f t="shared" si="1"/>
        <v>Mazandaran, Kerosene, Exports, in s/case</v>
      </c>
      <c r="BU6" s="7" t="str">
        <f t="shared" si="1"/>
        <v>Mazandaran, Kerosene, Bazaar (Local), in s/case</v>
      </c>
      <c r="BV6" s="7" t="str">
        <f t="shared" si="1"/>
        <v>Ghilan &amp; Tunekabun, Naphtha Oil, Imports, in s/case</v>
      </c>
      <c r="BW6" s="7" t="str">
        <f t="shared" si="1"/>
        <v>Ghilan &amp; Tunekabun, Kerosene, Exports, in s/case</v>
      </c>
      <c r="BX6" s="7" t="str">
        <f t="shared" si="1"/>
        <v>Ghilan &amp; Tunekabun, Kerosene, Bazaar (Local), in s/case</v>
      </c>
      <c r="BY6" s="7" t="str">
        <f t="shared" si="1"/>
        <v>Bender Gez &amp; Astarabad, Naphtha Oil / Petroleum, Imports, in s/case</v>
      </c>
      <c r="BZ6" s="7" t="str">
        <f t="shared" si="1"/>
        <v>Bender Gez &amp; Astarabad, Naphtha Oil, Exports, in s/case</v>
      </c>
      <c r="CA6" s="7" t="str">
        <f t="shared" si="1"/>
        <v>Bender Gez &amp; Astarabad, Kerosene, Bazaar (Local), in s/case</v>
      </c>
      <c r="CB6" s="7" t="str">
        <f t="shared" si="1"/>
        <v>Astara, Naphtha Oil, Imports, in s/case</v>
      </c>
      <c r="CC6" s="7" t="str">
        <f t="shared" si="1"/>
        <v>Astara, Kerosene, Exports, in s/case</v>
      </c>
      <c r="CD6" s="7" t="str">
        <f t="shared" si="1"/>
        <v>Astara, Kerosene, Bazaar (Local), in s/case</v>
      </c>
      <c r="CE6" s="7" t="str">
        <f t="shared" si="1"/>
        <v>Sultanabad, Kerosene, Imports, in s/case</v>
      </c>
      <c r="CF6" s="7" t="str">
        <f t="shared" si="1"/>
        <v>Sultanabad, Kerosene, Exports, in s/case</v>
      </c>
      <c r="CG6" s="7" t="str">
        <f t="shared" si="1"/>
        <v>Sultanabad, Kerosene, Bazaar (Local), in s/case</v>
      </c>
      <c r="CH6" s="7" t="str">
        <f t="shared" si="1"/>
        <v>Baku, Kerosene, , in s/case</v>
      </c>
      <c r="CI6" s="7" t="str">
        <f t="shared" si="1"/>
        <v>Saratov, Kerosene, , in s/case</v>
      </c>
      <c r="CJ6" s="7" t="str">
        <f t="shared" si="1"/>
        <v>Bahrain, Petroleum, Imports, in s/case</v>
      </c>
      <c r="CK6" s="7" t="str">
        <f t="shared" si="1"/>
        <v>Bahrain, Kerosene, Imports, in s/case</v>
      </c>
      <c r="CL6" s="7" t="str">
        <f t="shared" si="1"/>
        <v>Bahrain, Kerosene, Exports, in s/case</v>
      </c>
      <c r="CM6" s="7" t="str">
        <f t="shared" si="1"/>
        <v>Muscat, Kerosene / Oil, of all kinds, Imports, in s/case</v>
      </c>
      <c r="CN6" s="7" t="str">
        <f t="shared" si="1"/>
        <v>Muscat, Kerosene, Exports, in s/case</v>
      </c>
      <c r="CO6" s="7" t="str">
        <f t="shared" si="1"/>
        <v>Muscat, Kerosene, Bazaar (Local), in s/case</v>
      </c>
      <c r="CP6" s="7" t="str">
        <f t="shared" si="1"/>
        <v>Mohammerah, Kerosene, Imports, in s/case</v>
      </c>
      <c r="CQ6" s="7" t="str">
        <f t="shared" si="1"/>
        <v>Mohammerah, Kerosene, Imports, in s/case</v>
      </c>
      <c r="CR6" s="7" t="str">
        <f t="shared" si="1"/>
        <v>Mohammerah, Kerosene, Bazaar (Local), in s/case</v>
      </c>
      <c r="CS6" s="7" t="str">
        <f t="shared" si="1"/>
        <v>Lingah, Kerosene, Imports, in s/case</v>
      </c>
      <c r="CT6" s="7" t="str">
        <f t="shared" si="1"/>
        <v>Lingah, Kerosene, Exports, in s/case</v>
      </c>
      <c r="CU6" s="7" t="str">
        <f t="shared" si="1"/>
        <v>Lingah, Kerosene, Bazaar (Local), in s/case</v>
      </c>
      <c r="CV6" s="7" t="str">
        <f t="shared" si="1"/>
        <v>Shiraz, Kerosene, Imports, in s/case</v>
      </c>
      <c r="CW6" s="7" t="str">
        <f t="shared" si="1"/>
        <v>Shiraz, Kerosene, Exports, in s/case</v>
      </c>
      <c r="CX6" s="7" t="str">
        <f t="shared" si="1"/>
        <v>Shiraz, Kerosene, Bazaar (Local), in s/case</v>
      </c>
      <c r="CY6" s="7" t="str">
        <f t="shared" si="1"/>
        <v>Calcutta, Kerosene, Imports, in s/case</v>
      </c>
    </row>
    <row r="7" spans="1:103" hidden="1" x14ac:dyDescent="0.25">
      <c r="A7" s="8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</row>
    <row r="8" spans="1:103" hidden="1" x14ac:dyDescent="0.25">
      <c r="A8" s="8">
        <f t="shared" ref="A8:A39" si="2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</row>
    <row r="9" spans="1:103" hidden="1" x14ac:dyDescent="0.25">
      <c r="A9" s="8">
        <f t="shared" si="2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</row>
    <row r="10" spans="1:103" hidden="1" x14ac:dyDescent="0.25">
      <c r="A10" s="8">
        <f t="shared" si="2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</row>
    <row r="11" spans="1:103" hidden="1" x14ac:dyDescent="0.25">
      <c r="A11" s="8">
        <f t="shared" si="2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</row>
    <row r="12" spans="1:103" hidden="1" x14ac:dyDescent="0.25">
      <c r="A12" s="8">
        <f t="shared" si="2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</row>
    <row r="13" spans="1:103" hidden="1" x14ac:dyDescent="0.25">
      <c r="A13" s="8">
        <f t="shared" si="2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</row>
    <row r="14" spans="1:103" hidden="1" x14ac:dyDescent="0.25">
      <c r="A14" s="8">
        <f t="shared" si="2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</row>
    <row r="15" spans="1:103" hidden="1" x14ac:dyDescent="0.25">
      <c r="A15" s="8">
        <f t="shared" si="2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</row>
    <row r="16" spans="1:103" hidden="1" x14ac:dyDescent="0.25">
      <c r="A16" s="8">
        <f t="shared" si="2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</row>
    <row r="17" spans="1:99" hidden="1" x14ac:dyDescent="0.25">
      <c r="A17" s="8">
        <f t="shared" si="2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</row>
    <row r="18" spans="1:99" hidden="1" x14ac:dyDescent="0.25">
      <c r="A18" s="8">
        <f t="shared" si="2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</row>
    <row r="19" spans="1:99" hidden="1" x14ac:dyDescent="0.25">
      <c r="A19" s="8">
        <f t="shared" si="2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</row>
    <row r="20" spans="1:99" hidden="1" x14ac:dyDescent="0.25">
      <c r="A20" s="8">
        <f t="shared" si="2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</row>
    <row r="21" spans="1:99" hidden="1" x14ac:dyDescent="0.25">
      <c r="A21" s="8">
        <f t="shared" si="2"/>
        <v>1854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</row>
    <row r="22" spans="1:99" hidden="1" x14ac:dyDescent="0.25">
      <c r="A22" s="8">
        <f t="shared" si="2"/>
        <v>1855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</row>
    <row r="23" spans="1:99" hidden="1" x14ac:dyDescent="0.25">
      <c r="A23" s="8">
        <f t="shared" si="2"/>
        <v>1856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</row>
    <row r="24" spans="1:99" hidden="1" x14ac:dyDescent="0.25">
      <c r="A24" s="8">
        <f t="shared" si="2"/>
        <v>1857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3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</row>
    <row r="25" spans="1:99" hidden="1" x14ac:dyDescent="0.25">
      <c r="A25" s="8">
        <f t="shared" si="2"/>
        <v>1858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3"/>
      <c r="T25" s="3"/>
      <c r="U25" s="3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</row>
    <row r="26" spans="1:99" hidden="1" x14ac:dyDescent="0.25">
      <c r="A26" s="8">
        <f t="shared" si="2"/>
        <v>1859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3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</row>
    <row r="27" spans="1:99" x14ac:dyDescent="0.25">
      <c r="A27" s="8">
        <f t="shared" si="2"/>
        <v>1860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</row>
    <row r="28" spans="1:99" x14ac:dyDescent="0.25">
      <c r="A28" s="8">
        <f t="shared" si="2"/>
        <v>1861</v>
      </c>
      <c r="C28" s="1">
        <v>10.018929559159444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</row>
    <row r="29" spans="1:99" x14ac:dyDescent="0.25">
      <c r="A29" s="8">
        <f t="shared" si="2"/>
        <v>1862</v>
      </c>
      <c r="C29" s="1">
        <v>9.6422185287786295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"/>
      <c r="T29" s="3"/>
      <c r="U29" s="3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</row>
    <row r="30" spans="1:99" x14ac:dyDescent="0.25">
      <c r="A30" s="8">
        <f t="shared" si="2"/>
        <v>1863</v>
      </c>
      <c r="C30" s="1">
        <v>12.061193129257505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3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</row>
    <row r="31" spans="1:99" x14ac:dyDescent="0.25">
      <c r="A31" s="8">
        <f t="shared" si="2"/>
        <v>1864</v>
      </c>
      <c r="C31" s="1">
        <v>12.941404949141138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</row>
    <row r="32" spans="1:99" x14ac:dyDescent="0.25">
      <c r="A32" s="8">
        <f t="shared" si="2"/>
        <v>1865</v>
      </c>
      <c r="C32" s="1">
        <v>17.647435897435898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</row>
    <row r="33" spans="1:99" x14ac:dyDescent="0.25">
      <c r="A33" s="8">
        <f t="shared" si="2"/>
        <v>1866</v>
      </c>
      <c r="C33" s="1">
        <v>12.483974358974359</v>
      </c>
      <c r="D33" s="1"/>
      <c r="E33" s="1"/>
      <c r="F33" s="1"/>
      <c r="G33" s="1"/>
      <c r="H33" s="1"/>
      <c r="I33" s="1"/>
      <c r="J33" s="1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</row>
    <row r="34" spans="1:99" x14ac:dyDescent="0.25">
      <c r="A34" s="8">
        <f t="shared" si="2"/>
        <v>1867</v>
      </c>
      <c r="C34" s="1">
        <v>8.592948717948719</v>
      </c>
      <c r="D34" s="1"/>
      <c r="F34" s="1">
        <f>20*0.0151559018521876*(2.2046*30)</f>
        <v>20.047620733999672</v>
      </c>
      <c r="H34" s="1"/>
      <c r="I34" s="1"/>
      <c r="J34" s="1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</row>
    <row r="35" spans="1:99" x14ac:dyDescent="0.25">
      <c r="A35" s="8">
        <f t="shared" si="2"/>
        <v>1868</v>
      </c>
      <c r="C35" s="1">
        <v>9.0352564102564106</v>
      </c>
      <c r="D35" s="1"/>
      <c r="F35" s="1"/>
      <c r="H35" s="1"/>
      <c r="I35" s="1"/>
      <c r="J35" s="1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</row>
    <row r="36" spans="1:99" x14ac:dyDescent="0.25">
      <c r="A36" s="8">
        <f t="shared" si="2"/>
        <v>1869</v>
      </c>
      <c r="C36" s="1">
        <v>10.378205128205128</v>
      </c>
      <c r="D36" s="1"/>
      <c r="F36" s="1">
        <f>(2.2046*30)*20*0.0166737268142398</f>
        <v>22.055338880803841</v>
      </c>
      <c r="H36" s="1">
        <f>(2.2046*30)*20*0.0359259169481544</f>
        <v>47.521365902340719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>
        <v>15</v>
      </c>
      <c r="AN36" s="1"/>
      <c r="AO36" s="1"/>
      <c r="AP36" s="1"/>
      <c r="AQ36" s="1"/>
      <c r="AR36" s="1"/>
      <c r="AS36" s="1">
        <v>15.421686746987952</v>
      </c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</row>
    <row r="37" spans="1:99" x14ac:dyDescent="0.25">
      <c r="A37" s="8">
        <f t="shared" si="2"/>
        <v>1870</v>
      </c>
      <c r="C37" s="1">
        <v>10.320512820512821</v>
      </c>
      <c r="D37" s="1"/>
      <c r="F37" s="1">
        <f>(2.2046*30)*20*0.0131827300755769</f>
        <v>17.437588034770105</v>
      </c>
      <c r="H37" s="1">
        <f>(2.2046*30)*20*0.00829576597779382</f>
        <v>10.973307404786555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>
        <v>14.995433789954337</v>
      </c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</row>
    <row r="38" spans="1:99" x14ac:dyDescent="0.25">
      <c r="A38" s="8">
        <f t="shared" si="2"/>
        <v>1871</v>
      </c>
      <c r="C38" s="1">
        <v>9.4775641025641022</v>
      </c>
      <c r="D38" s="1"/>
      <c r="E38" s="1"/>
      <c r="G38" s="1"/>
      <c r="H38" s="1"/>
      <c r="I38" s="1"/>
      <c r="J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>
        <v>15.873015873015872</v>
      </c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>
        <v>15.001618646811266</v>
      </c>
      <c r="AN38" s="1"/>
      <c r="AO38" s="1"/>
      <c r="AP38" s="1"/>
      <c r="AQ38" s="1"/>
      <c r="AR38" s="1"/>
      <c r="AS38" s="1">
        <v>14</v>
      </c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</row>
    <row r="39" spans="1:99" x14ac:dyDescent="0.25">
      <c r="A39" s="8">
        <f t="shared" si="2"/>
        <v>1872</v>
      </c>
      <c r="C39" s="1">
        <v>9.121794871794874</v>
      </c>
      <c r="D39" s="1"/>
      <c r="E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>
        <v>13.888888888888889</v>
      </c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>
        <v>15</v>
      </c>
      <c r="AN39" s="1"/>
      <c r="AO39" s="1"/>
      <c r="AP39" s="1"/>
      <c r="AQ39" s="1"/>
      <c r="AR39" s="1"/>
      <c r="AS39" s="1">
        <v>20</v>
      </c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</row>
    <row r="40" spans="1:99" x14ac:dyDescent="0.25">
      <c r="A40" s="8">
        <f t="shared" ref="A40:A71" si="3">A39+1</f>
        <v>1873</v>
      </c>
      <c r="C40" s="1">
        <v>8.9615384615384617</v>
      </c>
      <c r="D40" s="1"/>
      <c r="E40" s="1"/>
      <c r="G40" s="1"/>
      <c r="H40" s="1"/>
      <c r="I40" s="3"/>
      <c r="J40" s="1"/>
      <c r="K40" s="1"/>
      <c r="L40" s="1"/>
      <c r="M40" s="1"/>
      <c r="N40" s="1"/>
      <c r="O40" s="1"/>
      <c r="P40" s="1"/>
      <c r="Q40" s="1"/>
      <c r="R40" s="1"/>
      <c r="S40" s="3"/>
      <c r="T40" s="1"/>
      <c r="U40" s="1">
        <v>14.398883743023399</v>
      </c>
      <c r="V40" s="1"/>
      <c r="W40" s="1"/>
      <c r="X40" s="1"/>
      <c r="Y40" s="1">
        <v>12.831683168316832</v>
      </c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>
        <v>15.000721604849186</v>
      </c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</row>
    <row r="41" spans="1:99" x14ac:dyDescent="0.25">
      <c r="A41" s="8">
        <f t="shared" si="3"/>
        <v>1874</v>
      </c>
      <c r="C41" s="1">
        <v>7.2532051282051286</v>
      </c>
      <c r="D41" s="1"/>
      <c r="E41" s="1"/>
      <c r="F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"/>
      <c r="T41" s="1"/>
      <c r="U41" s="1">
        <v>11.274694124064837</v>
      </c>
      <c r="V41" s="1"/>
      <c r="W41" s="1"/>
      <c r="X41" s="1"/>
      <c r="Y41" s="1">
        <v>9.6031746031746028</v>
      </c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>
        <v>13.99920519274076</v>
      </c>
      <c r="AN41" s="1"/>
      <c r="AO41" s="1"/>
      <c r="AP41" s="1"/>
      <c r="AQ41" s="1"/>
      <c r="AR41" s="1"/>
      <c r="AS41" s="1">
        <v>10</v>
      </c>
      <c r="AT41" s="1"/>
      <c r="AU41" s="10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3">
        <f>(2.2046*30)*20*0.00392156862745098</f>
        <v>5.1872941176470597</v>
      </c>
      <c r="BS41" s="3"/>
      <c r="BT41" s="3"/>
      <c r="BU41" s="3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>
        <f>20*9*0.0658474099099099</f>
        <v>11.85253378378378</v>
      </c>
      <c r="CN41" s="1"/>
      <c r="CQ41" s="1"/>
      <c r="CR41" s="1"/>
      <c r="CS41" s="1"/>
      <c r="CT41" s="1"/>
      <c r="CU41" s="1"/>
    </row>
    <row r="42" spans="1:99" x14ac:dyDescent="0.25">
      <c r="A42" s="8">
        <f t="shared" si="3"/>
        <v>1875</v>
      </c>
      <c r="C42" s="1">
        <v>5.2115384615384608</v>
      </c>
      <c r="D42" s="1"/>
      <c r="E42" s="1"/>
      <c r="F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"/>
      <c r="T42" s="1"/>
      <c r="U42" s="1">
        <v>11.274694124064837</v>
      </c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>
        <v>12.998674618952951</v>
      </c>
      <c r="AN42" s="1"/>
      <c r="AO42" s="1"/>
      <c r="AP42" s="1"/>
      <c r="AQ42" s="1"/>
      <c r="AR42" s="1"/>
      <c r="AS42" s="1">
        <v>10.21875</v>
      </c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>
        <f>(2.2046*30)*20*0.00371907876030708</f>
        <v>4.9194486209837942</v>
      </c>
      <c r="BS42" s="1"/>
      <c r="BT42" s="1"/>
      <c r="BU42" s="1"/>
      <c r="BV42" s="1"/>
      <c r="BW42" s="1"/>
      <c r="BX42" s="3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>
        <f>20*9*0.0642241618628275</f>
        <v>11.56034913530895</v>
      </c>
      <c r="CN42" s="1">
        <f>20*9*0.0642241618628275</f>
        <v>11.56034913530895</v>
      </c>
      <c r="CQ42" s="1"/>
      <c r="CR42" s="1"/>
      <c r="CS42" s="1"/>
      <c r="CT42" s="1"/>
      <c r="CU42" s="1"/>
    </row>
    <row r="43" spans="1:99" x14ac:dyDescent="0.25">
      <c r="A43" s="8">
        <f t="shared" si="3"/>
        <v>1876</v>
      </c>
      <c r="C43" s="1">
        <v>6.9871794871794881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"/>
      <c r="T43" s="1"/>
      <c r="U43" s="1">
        <v>15.981847706315607</v>
      </c>
      <c r="V43" s="1"/>
      <c r="W43" s="1"/>
      <c r="X43" s="1"/>
      <c r="Y43" s="1">
        <v>10</v>
      </c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>
        <v>14.944535394773489</v>
      </c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S43" s="1"/>
      <c r="BT43" s="1"/>
      <c r="BU43" s="1"/>
      <c r="BV43" s="1"/>
      <c r="BW43" s="1"/>
      <c r="BX43" s="3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>
        <f>20*9*0.0794215276369617</f>
        <v>14.295874974653106</v>
      </c>
      <c r="CN43" s="1"/>
      <c r="CQ43" s="1"/>
      <c r="CR43" s="1"/>
      <c r="CS43" s="1"/>
      <c r="CT43" s="1"/>
      <c r="CU43" s="1"/>
    </row>
    <row r="44" spans="1:99" x14ac:dyDescent="0.25">
      <c r="A44" s="8">
        <f t="shared" si="3"/>
        <v>1877</v>
      </c>
      <c r="C44" s="1">
        <v>6.2628205128205119</v>
      </c>
      <c r="D44" s="1"/>
      <c r="E44" s="1"/>
      <c r="F44" s="1"/>
      <c r="G44" s="1"/>
      <c r="I44" s="1"/>
      <c r="J44" s="1"/>
      <c r="K44" s="1"/>
      <c r="L44" s="1"/>
      <c r="M44" s="1"/>
      <c r="N44" s="1"/>
      <c r="O44" s="1"/>
      <c r="P44" s="1"/>
      <c r="Q44" s="1"/>
      <c r="R44" s="3"/>
      <c r="T44" s="1"/>
      <c r="U44" s="1">
        <v>9.3711743368850637</v>
      </c>
      <c r="V44" s="1"/>
      <c r="W44" s="1"/>
      <c r="X44" s="1"/>
      <c r="Y44" s="1">
        <v>12.48</v>
      </c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>
        <v>12.999251310207139</v>
      </c>
      <c r="AN44" s="1"/>
      <c r="AO44" s="1"/>
      <c r="AP44" s="1"/>
      <c r="AQ44" s="1"/>
      <c r="AR44" s="1"/>
      <c r="AS44" s="1">
        <v>10.39999598427845</v>
      </c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>
        <f>20*9*0.0825268717270325</f>
        <v>14.854836910865851</v>
      </c>
      <c r="CN44" s="1"/>
      <c r="CQ44" s="1"/>
      <c r="CR44" s="1"/>
      <c r="CS44" s="1"/>
      <c r="CT44" s="1"/>
      <c r="CU44" s="1"/>
    </row>
    <row r="45" spans="1:99" x14ac:dyDescent="0.25">
      <c r="A45" s="8">
        <f t="shared" si="3"/>
        <v>1878</v>
      </c>
      <c r="C45" s="1">
        <v>5.1634615384615383</v>
      </c>
      <c r="D45" s="1"/>
      <c r="E45" s="1"/>
      <c r="F45" s="3">
        <f>20*0.137554585152838</f>
        <v>2.7510917030567601</v>
      </c>
      <c r="G45" s="1"/>
      <c r="I45" s="1"/>
      <c r="J45" s="1"/>
      <c r="K45" s="1"/>
      <c r="L45" s="1"/>
      <c r="M45" s="1"/>
      <c r="N45" s="1"/>
      <c r="O45" s="1"/>
      <c r="P45" s="1"/>
      <c r="Q45" s="1"/>
      <c r="R45" s="3"/>
      <c r="T45" s="1"/>
      <c r="U45" s="1"/>
      <c r="V45" s="1"/>
      <c r="W45" s="1"/>
      <c r="X45" s="1"/>
      <c r="Y45" s="1">
        <v>10</v>
      </c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>
        <v>12.5</v>
      </c>
      <c r="AN45" s="1"/>
      <c r="AO45" s="1"/>
      <c r="AP45" s="1"/>
      <c r="AQ45" s="1"/>
      <c r="AR45" s="1"/>
      <c r="AS45" s="1">
        <v>9.5999757285235372</v>
      </c>
      <c r="AT45" s="1"/>
      <c r="AU45" s="1"/>
      <c r="AV45" s="1">
        <v>7.4090352940888797</v>
      </c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>
        <f>20*9*0.0539585615650728</f>
        <v>9.7125410817131037</v>
      </c>
      <c r="CN45" s="1"/>
      <c r="CQ45" s="1"/>
      <c r="CR45" s="1"/>
      <c r="CS45" s="1"/>
      <c r="CT45" s="1"/>
      <c r="CU45" s="1"/>
    </row>
    <row r="46" spans="1:99" x14ac:dyDescent="0.25">
      <c r="A46" s="8">
        <f t="shared" si="3"/>
        <v>1879</v>
      </c>
      <c r="C46" s="1">
        <v>4.6442307692307692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T46" s="1"/>
      <c r="U46" s="1">
        <v>6.8721945137157112</v>
      </c>
      <c r="V46" s="1"/>
      <c r="W46" s="1"/>
      <c r="X46" s="1"/>
      <c r="Y46" s="1">
        <v>6.3636363636363633</v>
      </c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>
        <v>12.5</v>
      </c>
      <c r="AN46" s="1"/>
      <c r="AO46" s="1"/>
      <c r="AP46" s="1"/>
      <c r="AQ46" s="1"/>
      <c r="AR46" s="1"/>
      <c r="AS46" s="1">
        <v>6.3998846659818707</v>
      </c>
      <c r="AT46" s="1"/>
      <c r="AU46" s="1"/>
      <c r="AV46" s="1">
        <v>6.7488242282789814</v>
      </c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>
        <f>20*9*0.0389525242067445</f>
        <v>7.01145435721401</v>
      </c>
      <c r="CN46" s="1">
        <f>20*9*0.0385815477857279</f>
        <v>6.944678601431022</v>
      </c>
      <c r="CQ46" s="1"/>
      <c r="CR46" s="1"/>
      <c r="CS46" s="1"/>
      <c r="CT46" s="1"/>
      <c r="CU46" s="1"/>
    </row>
    <row r="47" spans="1:99" x14ac:dyDescent="0.25">
      <c r="A47" s="8">
        <f t="shared" si="3"/>
        <v>1880</v>
      </c>
      <c r="C47" s="1">
        <v>4.2403846153846159</v>
      </c>
      <c r="D47" s="1"/>
      <c r="E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"/>
      <c r="T47" s="3">
        <f>9*20*0.0393585056019313</f>
        <v>7.0845310083476338</v>
      </c>
      <c r="U47" s="3">
        <v>7.6357716819063457</v>
      </c>
      <c r="V47" s="1"/>
      <c r="W47" s="1"/>
      <c r="X47" s="1"/>
      <c r="Y47" s="1">
        <v>8.178438661710036</v>
      </c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>
        <v>12.500223473674801</v>
      </c>
      <c r="AN47" s="1"/>
      <c r="AO47" s="1"/>
      <c r="AP47" s="1"/>
      <c r="AQ47" s="1"/>
      <c r="AR47" s="1"/>
      <c r="AS47" s="1">
        <v>8</v>
      </c>
      <c r="AT47" s="1"/>
      <c r="AU47" s="1"/>
      <c r="AV47" s="1">
        <v>6.7488242282789814</v>
      </c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>
        <f>20*9*0.0397666041717489</f>
        <v>7.157988750914801</v>
      </c>
      <c r="CN47" s="1">
        <f>20*9*0.0393343584742299</f>
        <v>7.080184525361382</v>
      </c>
      <c r="CQ47" s="1"/>
      <c r="CR47" s="1"/>
      <c r="CS47" s="1"/>
      <c r="CT47" s="1"/>
      <c r="CU47" s="1"/>
    </row>
    <row r="48" spans="1:99" x14ac:dyDescent="0.25">
      <c r="A48" s="8">
        <f t="shared" si="3"/>
        <v>1881</v>
      </c>
      <c r="C48" s="1">
        <v>3.9166666666666661</v>
      </c>
      <c r="D48" s="1"/>
      <c r="E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"/>
      <c r="T48" s="1"/>
      <c r="U48" s="1">
        <v>6.8721945137157112</v>
      </c>
      <c r="V48" s="1"/>
      <c r="W48" s="1"/>
      <c r="X48" s="1"/>
      <c r="Y48" s="1">
        <v>6.7316116377901274</v>
      </c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>
        <v>7.13170731707317</v>
      </c>
      <c r="AN48" s="1"/>
      <c r="AO48" s="1"/>
      <c r="AP48" s="1"/>
      <c r="AQ48" s="1"/>
      <c r="AR48" s="1"/>
      <c r="AS48" s="1">
        <v>6.4</v>
      </c>
      <c r="AT48" s="1"/>
      <c r="AU48" s="1"/>
      <c r="AV48" s="1">
        <v>6.5173138449178971</v>
      </c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>
        <f>20*9*0.0455257558804786</f>
        <v>8.1946360584861484</v>
      </c>
      <c r="CN48" s="1">
        <f>20*9*0.0486386280774343</f>
        <v>8.7549530539381735</v>
      </c>
      <c r="CQ48" s="1"/>
      <c r="CR48" s="1"/>
      <c r="CS48" s="1"/>
      <c r="CT48" s="1"/>
      <c r="CU48" s="1"/>
    </row>
    <row r="49" spans="1:103" x14ac:dyDescent="0.25">
      <c r="A49" s="8">
        <f t="shared" si="3"/>
        <v>1882</v>
      </c>
      <c r="C49" s="1">
        <v>4.4358974358974361</v>
      </c>
      <c r="D49" s="1"/>
      <c r="E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"/>
      <c r="T49" s="1"/>
      <c r="U49" s="1">
        <v>7.3303408146300919</v>
      </c>
      <c r="V49" s="1">
        <v>8.4</v>
      </c>
      <c r="W49" s="1"/>
      <c r="X49" s="1"/>
      <c r="Y49" s="1">
        <v>6.6665573770491804</v>
      </c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>
        <v>6.9999597688047306</v>
      </c>
      <c r="AT49" s="1"/>
      <c r="AU49" s="1"/>
      <c r="AV49" s="1">
        <v>5.5025924815797369</v>
      </c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>
        <f>20*9*0.0358954144116426</f>
        <v>6.4611745940956684</v>
      </c>
      <c r="CN49" s="1">
        <f>20*9*0.0340058703196766</f>
        <v>6.1210566575417875</v>
      </c>
      <c r="CQ49" s="1"/>
      <c r="CR49" s="1"/>
      <c r="CS49" s="1"/>
      <c r="CT49" s="1"/>
      <c r="CU49" s="1"/>
    </row>
    <row r="50" spans="1:103" x14ac:dyDescent="0.25">
      <c r="A50" s="8">
        <f t="shared" si="3"/>
        <v>1883</v>
      </c>
      <c r="C50" s="1">
        <v>4.7371794871794872</v>
      </c>
      <c r="D50" s="1"/>
      <c r="E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T50" s="1"/>
      <c r="U50" s="1">
        <v>6.8468358623735881</v>
      </c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>
        <v>3.2719087084851921</v>
      </c>
      <c r="AN50" s="1"/>
      <c r="AO50" s="1"/>
      <c r="AP50" s="1"/>
      <c r="AQ50" s="1"/>
      <c r="AR50" s="1"/>
      <c r="AS50" s="1">
        <v>5.9999888658163858</v>
      </c>
      <c r="AT50" s="1"/>
      <c r="AU50" s="1"/>
      <c r="AV50" s="1">
        <v>5.5025924815797378</v>
      </c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>
        <f>20*9*0.0274579894550208</f>
        <v>4.9424381019037442</v>
      </c>
      <c r="CN50" s="1">
        <f>20*9*0.0299497088528354</f>
        <v>5.3909475935103721</v>
      </c>
      <c r="CQ50" s="1"/>
      <c r="CR50" s="1"/>
      <c r="CS50" s="1"/>
      <c r="CT50" s="1"/>
      <c r="CU50" s="1"/>
    </row>
    <row r="51" spans="1:103" x14ac:dyDescent="0.25">
      <c r="A51" s="8">
        <f t="shared" si="3"/>
        <v>1884</v>
      </c>
      <c r="C51" s="1">
        <v>4.9679487179487181</v>
      </c>
      <c r="D51" s="1"/>
      <c r="E51" s="1"/>
      <c r="G51" s="1"/>
      <c r="H51" s="1"/>
      <c r="I51" s="1"/>
      <c r="J51" s="1"/>
      <c r="K51" s="1"/>
      <c r="L51" s="3">
        <f>20*0.636363636363636</f>
        <v>12.72727272727272</v>
      </c>
      <c r="M51" s="3"/>
      <c r="N51" s="3"/>
      <c r="O51" s="3"/>
      <c r="P51" s="3"/>
      <c r="Q51" s="3"/>
      <c r="R51" s="1"/>
      <c r="T51" s="1"/>
      <c r="U51" s="1">
        <v>6.0637010415138626</v>
      </c>
      <c r="V51" s="1">
        <v>7.2003804692454034</v>
      </c>
      <c r="W51" s="1"/>
      <c r="X51" s="1"/>
      <c r="Y51" s="1"/>
      <c r="Z51" s="3"/>
      <c r="AA51" s="3"/>
      <c r="AB51" s="1"/>
      <c r="AC51" s="1"/>
      <c r="AD51" s="1"/>
      <c r="AE51" s="1"/>
      <c r="AF51" s="1"/>
      <c r="AG51" s="1"/>
      <c r="AH51" s="3"/>
      <c r="AI51" s="1"/>
      <c r="AJ51" s="3"/>
      <c r="AK51" s="1"/>
      <c r="AL51" s="1"/>
      <c r="AM51" s="1">
        <v>2.9526105998720538</v>
      </c>
      <c r="AN51" s="1"/>
      <c r="AO51" s="3"/>
      <c r="AP51" s="3"/>
      <c r="AQ51" s="3"/>
      <c r="AR51" s="3"/>
      <c r="AS51" s="1">
        <v>6.064284167208144</v>
      </c>
      <c r="AT51" s="1"/>
      <c r="AU51" s="1"/>
      <c r="AV51" s="1"/>
      <c r="AW51" s="1"/>
      <c r="AX51" s="3"/>
      <c r="AY51" s="3"/>
      <c r="AZ51" s="3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3"/>
      <c r="BL51" s="3"/>
      <c r="BM51" s="1"/>
      <c r="BN51" s="3"/>
      <c r="BO51" s="1"/>
      <c r="BP51" s="3"/>
      <c r="BQ51" s="3"/>
      <c r="BR51" s="1"/>
      <c r="BS51" s="1"/>
      <c r="BT51" s="1"/>
      <c r="BU51" s="1"/>
      <c r="BV51" s="1"/>
      <c r="BW51" s="3"/>
      <c r="BX51" s="1"/>
      <c r="BY51" s="3"/>
      <c r="BZ51" s="1"/>
      <c r="CA51" s="3"/>
      <c r="CB51" s="3"/>
      <c r="CC51" s="1"/>
      <c r="CD51" s="3"/>
      <c r="CE51" s="3"/>
      <c r="CF51" s="1"/>
      <c r="CG51" s="3"/>
      <c r="CH51" s="3"/>
      <c r="CI51" s="3"/>
      <c r="CJ51" s="1"/>
      <c r="CK51" s="1"/>
      <c r="CL51" s="1"/>
      <c r="CM51" s="1">
        <f>20*9*0.023202898555355</f>
        <v>4.1765217399639001</v>
      </c>
      <c r="CN51" s="1">
        <f>20*9*0.0228666246632485</f>
        <v>4.1159924393847298</v>
      </c>
      <c r="CQ51" s="1"/>
      <c r="CR51" s="3"/>
      <c r="CS51" s="1"/>
      <c r="CT51" s="3"/>
      <c r="CU51" s="3"/>
    </row>
    <row r="52" spans="1:103" x14ac:dyDescent="0.25">
      <c r="A52" s="8">
        <f t="shared" si="3"/>
        <v>1885</v>
      </c>
      <c r="C52" s="1">
        <v>4.7692307692307701</v>
      </c>
      <c r="D52" s="1"/>
      <c r="E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T52" s="1"/>
      <c r="U52" s="1">
        <v>5.6695604738154612</v>
      </c>
      <c r="V52" s="1">
        <v>6.8118987061815774</v>
      </c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>
        <v>4.1280921624388656</v>
      </c>
      <c r="AN52" s="1"/>
      <c r="AO52" s="1"/>
      <c r="AP52" s="1"/>
      <c r="AQ52" s="1"/>
      <c r="AR52" s="1"/>
      <c r="AS52" s="1">
        <v>6.3685797145691829</v>
      </c>
      <c r="AT52" s="10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>
        <f>20*9*0.0471040524431802</f>
        <v>8.4787294397724366</v>
      </c>
      <c r="CN52" s="1">
        <f>20*9*0.0304653075503156</f>
        <v>5.4837553590568078</v>
      </c>
      <c r="CQ52" s="1"/>
      <c r="CR52" s="1"/>
      <c r="CS52" s="1"/>
      <c r="CT52" s="1"/>
      <c r="CU52" s="1"/>
    </row>
    <row r="53" spans="1:103" x14ac:dyDescent="0.25">
      <c r="A53" s="8">
        <f t="shared" si="3"/>
        <v>1886</v>
      </c>
      <c r="C53" s="1">
        <v>4.5128205128205128</v>
      </c>
      <c r="D53" s="1"/>
      <c r="E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3"/>
      <c r="T53" s="1"/>
      <c r="U53" s="1">
        <v>7.0869505922693286</v>
      </c>
      <c r="V53" s="1">
        <v>8.3312977789840321</v>
      </c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>
        <v>4.1301986066772125</v>
      </c>
      <c r="AN53" s="1"/>
      <c r="AO53" s="1"/>
      <c r="AP53" s="1"/>
      <c r="AQ53" s="1"/>
      <c r="AR53" s="1"/>
      <c r="AS53" s="1">
        <v>4.6322893692104099</v>
      </c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>
        <f>20*9*0.0480357913932824</f>
        <v>8.6464424507908326</v>
      </c>
      <c r="CN53" s="1">
        <f>20*9*0.0281307641100529</f>
        <v>5.0635375398095217</v>
      </c>
      <c r="CQ53" s="1"/>
      <c r="CR53" s="1"/>
      <c r="CS53" s="1"/>
      <c r="CT53" s="1"/>
      <c r="CU53" s="1"/>
    </row>
    <row r="54" spans="1:103" x14ac:dyDescent="0.25">
      <c r="A54" s="8">
        <f t="shared" si="3"/>
        <v>1887</v>
      </c>
      <c r="C54" s="1">
        <v>4.1794871794871797</v>
      </c>
      <c r="D54" s="1"/>
      <c r="E54" s="1"/>
      <c r="F54" s="1"/>
      <c r="G54" s="1"/>
      <c r="H54" s="1"/>
      <c r="I54" s="1"/>
      <c r="J54" s="1">
        <f>20*0.323772484200292</f>
        <v>6.4754496840058398</v>
      </c>
      <c r="L54" s="1"/>
      <c r="M54" s="1"/>
      <c r="N54" s="1"/>
      <c r="O54" s="1"/>
      <c r="P54" s="1"/>
      <c r="Q54" s="1"/>
      <c r="R54" s="3"/>
      <c r="T54" s="1"/>
      <c r="U54" s="1">
        <v>6.7003896508728191</v>
      </c>
      <c r="V54" s="1">
        <v>8.7265423962844419</v>
      </c>
      <c r="W54" s="1"/>
      <c r="X54" s="1"/>
      <c r="Y54" s="1">
        <v>9.4999999999999982</v>
      </c>
      <c r="Z54" s="1">
        <v>4.25</v>
      </c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>
        <v>3.5421817985582607</v>
      </c>
      <c r="AN54" s="1"/>
      <c r="AO54" s="1"/>
      <c r="AP54" s="1"/>
      <c r="AQ54" s="1"/>
      <c r="AR54" s="1"/>
      <c r="AS54" s="1"/>
      <c r="AT54" s="1"/>
      <c r="AU54" s="1"/>
      <c r="AV54" s="1">
        <v>4.6079133758790771</v>
      </c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>
        <f>20*9*0.0302771048781901</f>
        <v>5.4498788780742178</v>
      </c>
      <c r="CN54" s="1">
        <f>20*9*0.0294360741871292</f>
        <v>5.2984933536832557</v>
      </c>
      <c r="CQ54" s="1"/>
      <c r="CR54" s="1"/>
      <c r="CS54" s="1">
        <f>(2.2046*30)*20*(1/112)*0.618787049703602</f>
        <v>7.3080960523744345</v>
      </c>
      <c r="CT54" s="1">
        <f>(2.2046*30)*20*(1/112)*0.619994399327919</f>
        <v>7.3223552826339127</v>
      </c>
      <c r="CU54" s="1"/>
      <c r="CV54" s="1">
        <f>20*9*0.0593047593047593</f>
        <v>10.674856674856674</v>
      </c>
    </row>
    <row r="55" spans="1:103" x14ac:dyDescent="0.25">
      <c r="A55" s="8">
        <f t="shared" si="3"/>
        <v>1888</v>
      </c>
      <c r="C55" s="1">
        <v>4.1794871794871797</v>
      </c>
      <c r="D55" s="1"/>
      <c r="E55" s="1"/>
      <c r="F55" s="1"/>
      <c r="G55" s="1"/>
      <c r="H55" s="1"/>
      <c r="J55" s="1">
        <f>20*0.316666666666667</f>
        <v>6.3333333333333393</v>
      </c>
      <c r="K55" s="1"/>
      <c r="L55" s="1"/>
      <c r="M55" s="1"/>
      <c r="N55" s="1"/>
      <c r="O55" s="1"/>
      <c r="P55" s="1"/>
      <c r="Q55" s="1"/>
      <c r="R55" s="1"/>
      <c r="T55" s="1"/>
      <c r="U55" s="1">
        <v>5.1541458852867841</v>
      </c>
      <c r="V55" s="1">
        <v>8.186700767263428</v>
      </c>
      <c r="W55" s="1"/>
      <c r="X55" s="1"/>
      <c r="Y55" s="1"/>
      <c r="Z55" s="1">
        <v>4.833333333333333</v>
      </c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>
        <v>3.5679365568728532</v>
      </c>
      <c r="AN55" s="1"/>
      <c r="AO55" s="1"/>
      <c r="AP55" s="1"/>
      <c r="AQ55" s="1"/>
      <c r="AR55" s="1"/>
      <c r="AS55" s="1">
        <v>6.4</v>
      </c>
      <c r="AT55" s="1"/>
      <c r="AU55" s="1"/>
      <c r="AV55" s="1">
        <v>4.7891706555695128</v>
      </c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3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>
        <f>20*9*0.0322767582695235</f>
        <v>5.8098164885142305</v>
      </c>
      <c r="CN55" s="1">
        <f>20*9*0.0322767582695235</f>
        <v>5.8098164885142305</v>
      </c>
      <c r="CQ55" s="1"/>
      <c r="CR55" s="1"/>
      <c r="CS55" s="1"/>
      <c r="CT55" s="1"/>
      <c r="CU55" s="1"/>
      <c r="CV55" s="1">
        <f>20*9*0.0559377559377559</f>
        <v>10.068796068796061</v>
      </c>
      <c r="CY55" s="14">
        <v>11.7734375</v>
      </c>
    </row>
    <row r="56" spans="1:103" x14ac:dyDescent="0.25">
      <c r="A56" s="8">
        <f t="shared" si="3"/>
        <v>1889</v>
      </c>
      <c r="C56" s="1">
        <v>3.8717948717948723</v>
      </c>
      <c r="D56" s="1"/>
      <c r="E56" s="1"/>
      <c r="F56" s="1"/>
      <c r="G56" s="1"/>
      <c r="H56" s="1"/>
      <c r="J56" s="1">
        <f>20*0.3025</f>
        <v>6.05</v>
      </c>
      <c r="K56" s="1"/>
      <c r="L56" s="1"/>
      <c r="M56" s="1"/>
      <c r="N56" s="1"/>
      <c r="O56" s="1"/>
      <c r="P56" s="1"/>
      <c r="Q56" s="1"/>
      <c r="R56" s="3"/>
      <c r="T56" s="1"/>
      <c r="U56" s="1">
        <v>5.1541458852867841</v>
      </c>
      <c r="V56" s="1">
        <v>6.0427777777777782</v>
      </c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>
        <v>3.5407563732872118</v>
      </c>
      <c r="AN56" s="1"/>
      <c r="AO56" s="1"/>
      <c r="AP56" s="1"/>
      <c r="AQ56" s="1"/>
      <c r="AR56" s="1"/>
      <c r="AS56" s="1"/>
      <c r="AT56" s="1"/>
      <c r="AU56" s="1"/>
      <c r="AV56" s="1">
        <v>4.0320032947676054</v>
      </c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>
        <f>20*9*0.0322344737869844</f>
        <v>5.8022052816571925</v>
      </c>
      <c r="CN56" s="1">
        <f>20*9*0.0321356062654294</f>
        <v>5.784409127777292</v>
      </c>
      <c r="CQ56" s="1"/>
      <c r="CR56" s="1"/>
      <c r="CS56" s="1">
        <f>(2.2046*30)*20*(1/112)*0.547002565896898</f>
        <v>6.4602956613016156</v>
      </c>
      <c r="CT56" s="1">
        <f>(2.2046*30)*20*(1/112)*0.547022222222222</f>
        <v>6.460527809523807</v>
      </c>
      <c r="CU56" s="1"/>
      <c r="CV56" s="1">
        <f>20*9*0.0521430521430521</f>
        <v>9.3857493857493779</v>
      </c>
      <c r="CY56" s="14">
        <v>4.984375</v>
      </c>
    </row>
    <row r="57" spans="1:103" x14ac:dyDescent="0.25">
      <c r="A57" s="8">
        <f t="shared" si="3"/>
        <v>1890</v>
      </c>
      <c r="C57" s="1">
        <v>3.5128205128205132</v>
      </c>
      <c r="D57" s="1"/>
      <c r="E57" s="1"/>
      <c r="F57" s="1"/>
      <c r="G57" s="1"/>
      <c r="H57" s="1"/>
      <c r="I57" s="1"/>
      <c r="J57" s="1">
        <f>20*0.319323628617078</f>
        <v>6.3864725723415603</v>
      </c>
      <c r="L57" s="1"/>
      <c r="M57" s="1"/>
      <c r="N57" s="1"/>
      <c r="O57" s="1"/>
      <c r="P57" s="1"/>
      <c r="Q57" s="1"/>
      <c r="R57" s="1"/>
      <c r="T57" s="1"/>
      <c r="U57" s="1">
        <v>5.2923346226561385</v>
      </c>
      <c r="V57" s="1">
        <v>6.4832558139534875</v>
      </c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>
        <v>3.5446081030319099</v>
      </c>
      <c r="AN57" s="1"/>
      <c r="AO57" s="1"/>
      <c r="AP57" s="1"/>
      <c r="AQ57" s="1"/>
      <c r="AR57" s="1"/>
      <c r="AS57" s="1">
        <v>4.8187571624732861</v>
      </c>
      <c r="AT57" s="1"/>
      <c r="AU57" s="1"/>
      <c r="AV57" s="1">
        <v>3.8304137511853642</v>
      </c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>
        <f>(2.2046*30)*20*0.00428240740740741</f>
        <v>5.6645972222222269</v>
      </c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4">
        <v>0.87833900578508928</v>
      </c>
      <c r="CI57" s="14">
        <v>4.9093634284702823</v>
      </c>
      <c r="CJ57" s="1"/>
      <c r="CL57" s="1"/>
      <c r="CM57" s="1">
        <f>20*9*0.0329511511779733</f>
        <v>5.9312072120351944</v>
      </c>
      <c r="CN57" s="1">
        <f>20*9*0.0359467103759708</f>
        <v>6.4704078676747443</v>
      </c>
      <c r="CP57" s="1">
        <f>9*20*0.0437037037037037</f>
        <v>7.8666666666666663</v>
      </c>
      <c r="CQ57" s="1"/>
      <c r="CR57" s="1"/>
      <c r="CS57" s="1">
        <f>(2.2046*30)*20*(1/112)*0.615384615384615</f>
        <v>7.2679120879120838</v>
      </c>
      <c r="CT57" s="1">
        <f>(2.2046*30)*20*(1/112)*0.635866666666667</f>
        <v>7.5098124285714336</v>
      </c>
      <c r="CU57" s="1"/>
      <c r="CV57" s="1">
        <f>20*9*0.0787332787332787</f>
        <v>14.171990171990167</v>
      </c>
      <c r="CY57" s="14">
        <v>4.828125</v>
      </c>
    </row>
    <row r="58" spans="1:103" x14ac:dyDescent="0.25">
      <c r="A58" s="8">
        <f t="shared" si="3"/>
        <v>1891</v>
      </c>
      <c r="C58" s="1">
        <v>3.1602564102564101</v>
      </c>
      <c r="D58" s="1"/>
      <c r="E58" s="1">
        <v>4.1116230039920154</v>
      </c>
      <c r="F58" s="1"/>
      <c r="G58" s="1"/>
      <c r="H58" s="1"/>
      <c r="I58" s="1"/>
      <c r="J58" s="3">
        <f>20*0.344378541369827</f>
        <v>6.8875708273965399</v>
      </c>
      <c r="K58" s="1"/>
      <c r="L58" s="1"/>
      <c r="M58" s="1"/>
      <c r="N58" s="1"/>
      <c r="O58" s="1"/>
      <c r="P58" s="1"/>
      <c r="Q58" s="1"/>
      <c r="R58" s="1"/>
      <c r="T58" s="1"/>
      <c r="U58" s="1">
        <v>4.5517132493441723</v>
      </c>
      <c r="V58" s="1">
        <v>6.4747619047619045</v>
      </c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>
        <v>3.5438201728382857</v>
      </c>
      <c r="AN58" s="1"/>
      <c r="AO58" s="1"/>
      <c r="AP58" s="1"/>
      <c r="AQ58" s="1"/>
      <c r="AR58" s="1"/>
      <c r="AS58" s="1"/>
      <c r="AT58" s="1"/>
      <c r="AU58" s="1"/>
      <c r="AV58" s="1">
        <v>4.2244352570467703</v>
      </c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>
        <f>(2.2046*30)*20*0.000915827102683721</f>
        <v>1.211419458345919</v>
      </c>
      <c r="BR58" s="1">
        <f>(2.2046*30)*20*0.00416666666666667</f>
        <v>5.5115000000000052</v>
      </c>
      <c r="BS58" s="3"/>
      <c r="BT58" s="3"/>
      <c r="BU58" s="3"/>
      <c r="BV58" s="1"/>
      <c r="BW58" s="1"/>
      <c r="BX58" s="1"/>
      <c r="BY58" s="14">
        <f>(2.2046*30)*20*0.00679444444444444</f>
        <v>8.9874193333333281</v>
      </c>
      <c r="CA58" s="1"/>
      <c r="CB58" s="1"/>
      <c r="CC58" s="1"/>
      <c r="CD58" s="1"/>
      <c r="CE58" s="1"/>
      <c r="CF58" s="1"/>
      <c r="CH58" s="14">
        <v>0.41741726036616195</v>
      </c>
      <c r="CI58" s="14">
        <v>4.0647525451190321</v>
      </c>
      <c r="CJ58" s="1">
        <f>(2.2046*30)*20*(1/112)*0.848036715961244</f>
        <v>10.015616485757993</v>
      </c>
      <c r="CK58" s="1"/>
      <c r="CL58" s="1"/>
      <c r="CM58" s="1">
        <f>20*9*0.029683090194294</f>
        <v>5.3429562349729203</v>
      </c>
      <c r="CN58" s="1">
        <f>20*9*0.0339235316506217</f>
        <v>6.1062356971119067</v>
      </c>
      <c r="CP58" s="1"/>
      <c r="CQ58" s="1"/>
      <c r="CR58" s="1"/>
      <c r="CS58" s="1">
        <f>(2.2046*30)*20*(1/112)*0.445697827913117</f>
        <v>5.2638505254495964</v>
      </c>
      <c r="CT58" s="1">
        <f>(2.2046*30)*20*(1/112)*0.628955223880597</f>
        <v>7.4281858208955232</v>
      </c>
      <c r="CU58" s="1"/>
      <c r="CV58" s="1">
        <f>20*9*0.0434070434070434</f>
        <v>7.8132678132678119</v>
      </c>
      <c r="CY58" s="14">
        <v>4.405598958333333</v>
      </c>
    </row>
    <row r="59" spans="1:103" x14ac:dyDescent="0.25">
      <c r="A59" s="8">
        <f t="shared" si="3"/>
        <v>1892</v>
      </c>
      <c r="C59" s="1">
        <v>2.891025641025641</v>
      </c>
      <c r="D59" s="1"/>
      <c r="E59" s="1">
        <v>3.626891529441119</v>
      </c>
      <c r="F59" s="1"/>
      <c r="G59" s="1"/>
      <c r="H59" s="1"/>
      <c r="I59" s="1"/>
      <c r="J59" s="3">
        <f>20*0.249995689134896</f>
        <v>4.9999137826979201</v>
      </c>
      <c r="K59" s="1"/>
      <c r="L59" s="1"/>
      <c r="M59" s="1"/>
      <c r="N59" s="1"/>
      <c r="O59" s="1"/>
      <c r="P59" s="1"/>
      <c r="Q59" s="1"/>
      <c r="R59" s="1"/>
      <c r="T59" s="1"/>
      <c r="U59" s="1">
        <v>4.1233167082294271</v>
      </c>
      <c r="V59" s="1">
        <v>5.7553333333333336</v>
      </c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>
        <v>3.5431327198464642</v>
      </c>
      <c r="AN59" s="1"/>
      <c r="AO59" s="1"/>
      <c r="AP59" s="1"/>
      <c r="AQ59" s="1"/>
      <c r="AR59" s="1"/>
      <c r="AS59" s="1"/>
      <c r="AT59" s="1"/>
      <c r="AU59" s="1"/>
      <c r="AV59" s="1">
        <v>2.9736743459028845</v>
      </c>
      <c r="AW59" s="1"/>
      <c r="AX59" s="1"/>
      <c r="AY59" s="1"/>
      <c r="AZ59" s="1"/>
      <c r="BA59" s="3"/>
      <c r="BB59" s="3"/>
      <c r="BC59" s="3"/>
      <c r="BD59" s="3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>
        <f>(2.2046*30)*20*0.00445601851851852</f>
        <v>5.8942430555555578</v>
      </c>
      <c r="BS59" s="3"/>
      <c r="BT59" s="3"/>
      <c r="BU59" s="3"/>
      <c r="BV59" s="1"/>
      <c r="BW59" s="1"/>
      <c r="BX59" s="1"/>
      <c r="BY59" s="14">
        <f>(2.2046*30)*20*0.00730769230769231</f>
        <v>9.6663230769230815</v>
      </c>
      <c r="CA59" s="1"/>
      <c r="CB59" s="1"/>
      <c r="CC59" s="1"/>
      <c r="CD59" s="1"/>
      <c r="CE59" s="1"/>
      <c r="CF59" s="1"/>
      <c r="CH59" s="14">
        <v>0.26915878159574202</v>
      </c>
      <c r="CI59" s="14">
        <v>3.4880028409530408</v>
      </c>
      <c r="CJ59" s="1">
        <f>(2.2046*30)*20*(1/112)*0.709905020352782</f>
        <v>8.3842318278736254</v>
      </c>
      <c r="CK59" s="1"/>
      <c r="CL59" s="1"/>
      <c r="CM59" s="1">
        <f>20*9*0.0259343282188941</f>
        <v>4.6681790794009377</v>
      </c>
      <c r="CN59" s="1">
        <f>20*9*0.0280539608137076</f>
        <v>5.049712946467368</v>
      </c>
      <c r="CP59" s="1"/>
      <c r="CQ59" s="1"/>
      <c r="CR59" s="1"/>
      <c r="CS59" s="1">
        <f>(2.2046*30)*20*(1/112)*0.664</f>
        <v>7.8420771428571445</v>
      </c>
      <c r="CT59" s="1">
        <f>(2.2046*30)*20*(1/112)*0.596091205211726</f>
        <v>7.0400500232666321</v>
      </c>
      <c r="CU59" s="1"/>
      <c r="CV59" s="1">
        <f>20*20*0.0417320546361218</f>
        <v>16.69282185444872</v>
      </c>
      <c r="CY59" s="14">
        <v>3.984375</v>
      </c>
    </row>
    <row r="60" spans="1:103" x14ac:dyDescent="0.25">
      <c r="A60" s="8">
        <f t="shared" si="3"/>
        <v>1893</v>
      </c>
      <c r="C60" s="1">
        <v>2.525641025641026</v>
      </c>
      <c r="D60" s="1"/>
      <c r="E60" s="1">
        <v>3.2727969061876245</v>
      </c>
      <c r="F60" s="1"/>
      <c r="G60" s="1"/>
      <c r="H60" s="1"/>
      <c r="I60" s="1"/>
      <c r="J60" s="3">
        <f>20*0.249993361833196</f>
        <v>4.9998672366639205</v>
      </c>
      <c r="K60" s="1"/>
      <c r="L60" s="1"/>
      <c r="M60" s="1"/>
      <c r="N60" s="1"/>
      <c r="O60" s="1"/>
      <c r="P60" s="1"/>
      <c r="Q60" s="1"/>
      <c r="R60" s="1"/>
      <c r="T60" s="1"/>
      <c r="U60" s="1">
        <v>4.1233167082294271</v>
      </c>
      <c r="V60" s="1">
        <v>6.4285714285714288</v>
      </c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>
        <v>3.5431327198464642</v>
      </c>
      <c r="AN60" s="1"/>
      <c r="AO60" s="1"/>
      <c r="AP60" s="1"/>
      <c r="AQ60" s="1"/>
      <c r="AR60" s="1"/>
      <c r="AS60" s="1"/>
      <c r="AT60" s="1"/>
      <c r="AU60" s="1"/>
      <c r="AV60" s="1">
        <v>2.6625344754422859</v>
      </c>
      <c r="AW60" s="1"/>
      <c r="AX60" s="1"/>
      <c r="AY60" s="1"/>
      <c r="AZ60" s="1"/>
      <c r="BA60" s="3"/>
      <c r="BB60" s="3"/>
      <c r="BC60" s="3"/>
      <c r="BD60" s="3"/>
      <c r="BE60" s="1"/>
      <c r="BF60" s="1"/>
      <c r="BG60" s="1"/>
      <c r="BH60" s="1"/>
      <c r="BI60" s="1"/>
      <c r="BJ60" s="1"/>
      <c r="BK60" s="1"/>
      <c r="BL60" s="3"/>
      <c r="BM60" s="1"/>
      <c r="BN60" s="1"/>
      <c r="BO60" s="1"/>
      <c r="BP60" s="1"/>
      <c r="BQ60" s="1">
        <f>(2.2046*30)*20*0.00179711274970274</f>
        <v>2.3771488607967965</v>
      </c>
      <c r="BR60" s="1">
        <f>(2.2046*30)*20*0.00376157407407407</f>
        <v>4.9756597222222174</v>
      </c>
      <c r="BS60" s="3"/>
      <c r="BT60" s="3"/>
      <c r="BU60" s="3"/>
      <c r="BV60" s="1"/>
      <c r="BW60" s="1"/>
      <c r="BX60" s="1"/>
      <c r="CA60" s="1"/>
      <c r="CB60" s="1"/>
      <c r="CC60" s="1"/>
      <c r="CD60" s="1"/>
      <c r="CE60" s="1"/>
      <c r="CF60" s="1"/>
      <c r="CH60" s="14">
        <v>0.25210351062057229</v>
      </c>
      <c r="CI60" s="14">
        <v>4.1635276754003607</v>
      </c>
      <c r="CJ60" s="1">
        <f>(2.2046*30)*20*(1/112)*0.709779179810726</f>
        <v>8.3827456061288945</v>
      </c>
      <c r="CK60" s="1"/>
      <c r="CL60" s="1"/>
      <c r="CM60" s="1">
        <f>20*9*0.0224554999225721</f>
        <v>4.041989986062978</v>
      </c>
      <c r="CN60" s="1">
        <f>20*9*0.0225215864310184</f>
        <v>4.0538855575833121</v>
      </c>
      <c r="CP60" s="1"/>
      <c r="CQ60" s="1"/>
      <c r="CR60" s="1"/>
      <c r="CS60" s="1">
        <f>(2.2046*30)*20*(1/112)*0.609622641509434</f>
        <v>7.1998611185983847</v>
      </c>
      <c r="CT60" s="1">
        <f>(2.2046*30)*20*(1/112)*0.603125</f>
        <v>7.1231216517857154</v>
      </c>
      <c r="CU60" s="1"/>
      <c r="CV60" s="1">
        <f>20*9*0.0610555555555556</f>
        <v>10.990000000000007</v>
      </c>
      <c r="CY60" s="14">
        <v>3.171875</v>
      </c>
    </row>
    <row r="61" spans="1:103" x14ac:dyDescent="0.25">
      <c r="A61" s="8">
        <f t="shared" si="3"/>
        <v>1894</v>
      </c>
      <c r="C61" s="1">
        <v>2.3461538461538463</v>
      </c>
      <c r="D61" s="1"/>
      <c r="E61" s="1">
        <v>2.9737072729540928</v>
      </c>
      <c r="G61" s="1"/>
      <c r="H61" s="1"/>
      <c r="I61" s="1"/>
      <c r="J61" s="3">
        <f>20*0.250358241560029</f>
        <v>5.0071648312005799</v>
      </c>
      <c r="K61" s="1"/>
      <c r="L61" s="1"/>
      <c r="M61" s="1"/>
      <c r="N61" s="1"/>
      <c r="O61" s="1"/>
      <c r="P61" s="1"/>
      <c r="Q61" s="1"/>
      <c r="R61" s="1"/>
      <c r="T61" s="1"/>
      <c r="U61" s="1">
        <v>4.1233167082294271</v>
      </c>
      <c r="V61" s="1">
        <v>5.5692307692307699</v>
      </c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>
        <v>3.6928904909062577</v>
      </c>
      <c r="AN61" s="1"/>
      <c r="AO61" s="1"/>
      <c r="AP61" s="1"/>
      <c r="AQ61" s="1"/>
      <c r="AR61" s="1"/>
      <c r="AS61" s="1">
        <v>3.76</v>
      </c>
      <c r="AT61" s="1"/>
      <c r="AU61" s="1"/>
      <c r="AV61" s="1">
        <v>2.9526105998720511</v>
      </c>
      <c r="AW61" s="1"/>
      <c r="AX61" s="1"/>
      <c r="AY61" s="1"/>
      <c r="AZ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3">
        <f>9*20*0.0422222222222222</f>
        <v>7.5999999999999961</v>
      </c>
      <c r="BM61" s="1"/>
      <c r="BN61" s="1"/>
      <c r="BO61" s="1"/>
      <c r="BP61" s="1"/>
      <c r="BQ61" s="1"/>
      <c r="BS61" s="1"/>
      <c r="BT61" s="1"/>
      <c r="BU61" s="1"/>
      <c r="BV61" s="1"/>
      <c r="BW61" s="1"/>
      <c r="BX61" s="1"/>
      <c r="CA61" s="1"/>
      <c r="CB61" s="1"/>
      <c r="CC61" s="1"/>
      <c r="CD61" s="1"/>
      <c r="CE61" s="1"/>
      <c r="CF61" s="1"/>
      <c r="CH61" s="14">
        <v>0.22041029616624844</v>
      </c>
      <c r="CI61" s="14">
        <v>4.2743853863668901</v>
      </c>
      <c r="CJ61" s="1">
        <f>(2.2046*30)*20*(1/112)*0.608531746031746</f>
        <v>7.186977253401361</v>
      </c>
      <c r="CK61" s="1"/>
      <c r="CM61" s="1">
        <f>20*9*0.0653533778955805</f>
        <v>11.76360802120449</v>
      </c>
      <c r="CN61" s="1">
        <f>20*9*0.0199690876903163</f>
        <v>3.5944357842569339</v>
      </c>
      <c r="CP61" s="1"/>
      <c r="CQ61" s="1"/>
      <c r="CR61" s="1"/>
      <c r="CS61" s="1">
        <f>(2.2046*30)*20*(1/112)*0.565454545454545</f>
        <v>6.6782201298701249</v>
      </c>
      <c r="CT61" s="1">
        <f>(2.2046*30)*20*(1/112)*0.649775112443778</f>
        <v>7.6740761405011773</v>
      </c>
      <c r="CU61" s="1"/>
      <c r="CV61" s="1">
        <f>20*9*0.0617222222222222</f>
        <v>11.109999999999996</v>
      </c>
      <c r="CY61" s="14">
        <v>3.013020833333333</v>
      </c>
    </row>
    <row r="62" spans="1:103" x14ac:dyDescent="0.25">
      <c r="A62" s="8">
        <f t="shared" si="3"/>
        <v>1895</v>
      </c>
      <c r="C62" s="1">
        <v>2.9230769230769234</v>
      </c>
      <c r="D62" s="1"/>
      <c r="E62" s="1">
        <v>2.9702694610778448</v>
      </c>
      <c r="G62" s="1"/>
      <c r="H62" s="1"/>
      <c r="I62" s="1"/>
      <c r="J62" s="3">
        <f>20*0.25</f>
        <v>5</v>
      </c>
      <c r="K62" s="1"/>
      <c r="L62" s="1"/>
      <c r="M62" s="1"/>
      <c r="N62" s="1"/>
      <c r="O62" s="1"/>
      <c r="P62" s="1"/>
      <c r="Q62" s="1"/>
      <c r="R62" s="3"/>
      <c r="T62" s="1"/>
      <c r="U62" s="1">
        <v>7.2158042394014963</v>
      </c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>
        <v>4.7107177661776358</v>
      </c>
      <c r="AN62" s="1"/>
      <c r="AO62" s="1"/>
      <c r="AP62" s="1"/>
      <c r="AQ62" s="1"/>
      <c r="AR62" s="1"/>
      <c r="AS62" s="1"/>
      <c r="AT62" s="1"/>
      <c r="AU62" s="1"/>
      <c r="AV62" s="1">
        <v>3.2478716598592556</v>
      </c>
      <c r="AW62" s="1"/>
      <c r="AX62" s="1"/>
      <c r="AY62" s="3">
        <f>9*20*0.088</f>
        <v>15.84</v>
      </c>
      <c r="AZ62" s="1"/>
      <c r="BA62" s="3"/>
      <c r="BB62" s="3"/>
      <c r="BC62" s="3"/>
      <c r="BD62" s="3"/>
      <c r="BE62" s="1"/>
      <c r="BF62" s="1"/>
      <c r="BG62" s="1"/>
      <c r="BH62" s="1"/>
      <c r="BI62" s="1"/>
      <c r="BJ62" s="1"/>
      <c r="BK62" s="1"/>
      <c r="BL62" s="3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CA62" s="1"/>
      <c r="CB62" s="1"/>
      <c r="CC62" s="1"/>
      <c r="CD62" s="1"/>
      <c r="CE62" s="1"/>
      <c r="CF62" s="1"/>
      <c r="CH62" s="14">
        <v>0.54756050779707344</v>
      </c>
      <c r="CI62" s="14">
        <v>4.5459339999843369</v>
      </c>
      <c r="CJ62" s="1">
        <f>(2.2046*30)*20*(1/112)*0.583298969072165</f>
        <v>6.888969145802653</v>
      </c>
      <c r="CK62" s="1"/>
      <c r="CM62" s="1">
        <f>20*9*0.0673295059528982</f>
        <v>12.119311071521677</v>
      </c>
      <c r="CN62" s="1"/>
      <c r="CP62" s="1"/>
      <c r="CQ62" s="1"/>
      <c r="CR62" s="1"/>
      <c r="CS62" s="1">
        <f>(2.2046*30)*20*(1/112)*0.594130434782609</f>
        <v>7.0168926242236065</v>
      </c>
      <c r="CT62" s="1">
        <f>(2.2046*30)*20*(1/112)*0.598894348894349</f>
        <v>7.0731561512811538</v>
      </c>
      <c r="CU62" s="1"/>
      <c r="CV62" s="1">
        <f>20*9*0.0617407407407407</f>
        <v>11.113333333333326</v>
      </c>
      <c r="CY62" s="14">
        <v>3.3046875</v>
      </c>
    </row>
    <row r="63" spans="1:103" x14ac:dyDescent="0.25">
      <c r="A63" s="8">
        <f t="shared" si="3"/>
        <v>1896</v>
      </c>
      <c r="C63" s="1">
        <v>3.025641025641026</v>
      </c>
      <c r="D63" s="1"/>
      <c r="E63" s="1">
        <v>3.8056577470059896</v>
      </c>
      <c r="G63" s="1"/>
      <c r="H63" s="1"/>
      <c r="I63" s="1"/>
      <c r="J63" s="3">
        <f>20*0.246298042260551</f>
        <v>4.9259608452110202</v>
      </c>
      <c r="K63" s="1"/>
      <c r="L63" s="1"/>
      <c r="M63" s="1"/>
      <c r="N63" s="1"/>
      <c r="O63" s="1"/>
      <c r="P63" s="1"/>
      <c r="Q63" s="1"/>
      <c r="R63" s="3"/>
      <c r="T63" s="1"/>
      <c r="U63" s="1">
        <v>7.1951876558603489</v>
      </c>
      <c r="V63" s="1"/>
      <c r="W63" s="1"/>
      <c r="X63" s="1"/>
      <c r="Y63" s="1"/>
      <c r="Z63" s="1">
        <v>3.4230163620182101</v>
      </c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>
        <v>4.2514522997507935</v>
      </c>
      <c r="AN63" s="1"/>
      <c r="AO63" s="1"/>
      <c r="AP63" s="1"/>
      <c r="AQ63" s="1"/>
      <c r="AR63" s="1"/>
      <c r="AS63" s="1"/>
      <c r="AT63" s="1"/>
      <c r="AU63" s="1"/>
      <c r="AV63" s="1">
        <v>3.2887398314593512</v>
      </c>
      <c r="AW63" s="1"/>
      <c r="AX63" s="1"/>
      <c r="AZ63" s="1"/>
      <c r="BA63" s="3"/>
      <c r="BB63" s="3"/>
      <c r="BC63" s="3"/>
      <c r="BD63" s="3"/>
      <c r="BE63" s="1"/>
      <c r="BF63" s="1"/>
      <c r="BG63" s="1"/>
      <c r="BH63" s="1"/>
      <c r="BI63" s="1"/>
      <c r="BJ63" s="1"/>
      <c r="BK63" s="1"/>
      <c r="BL63" s="3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CA63" s="1"/>
      <c r="CB63" s="1"/>
      <c r="CC63" s="1"/>
      <c r="CD63" s="1"/>
      <c r="CE63" s="1"/>
      <c r="CF63" s="1"/>
      <c r="CH63" s="14">
        <v>0.51840569671693737</v>
      </c>
      <c r="CI63" s="14">
        <v>4.6110822497453912</v>
      </c>
      <c r="CJ63" s="1"/>
      <c r="CK63" s="1">
        <f>9*20*0.0261452991452991</f>
        <v>4.7061538461538381</v>
      </c>
      <c r="CM63" s="1">
        <f>20*9*0.0695879380184043</f>
        <v>12.525828843312773</v>
      </c>
      <c r="CN63" s="1"/>
      <c r="CP63" s="1"/>
      <c r="CQ63" s="1"/>
      <c r="CR63" s="1"/>
      <c r="CS63" s="1">
        <f>(2.2046*30)*20*(1/112)*0.411777777777778</f>
        <v>4.8632426190476226</v>
      </c>
      <c r="CT63" s="1">
        <f>(2.2046*30)*20*(1/112)*0.612</f>
        <v>7.227938571428572</v>
      </c>
      <c r="CU63" s="1"/>
      <c r="CV63" s="1">
        <f>20*9*0.061</f>
        <v>10.98</v>
      </c>
      <c r="CY63" s="14">
        <v>5.4375</v>
      </c>
    </row>
    <row r="64" spans="1:103" x14ac:dyDescent="0.25">
      <c r="A64" s="8">
        <f t="shared" si="3"/>
        <v>1897</v>
      </c>
      <c r="C64" s="1">
        <v>2.7628205128205128</v>
      </c>
      <c r="D64" s="1"/>
      <c r="E64" s="1">
        <v>4.2835135978043919</v>
      </c>
      <c r="F64" s="3">
        <f>20*0.369557861493345</f>
        <v>7.3911572298669004</v>
      </c>
      <c r="G64" s="1"/>
      <c r="I64" s="1"/>
      <c r="J64" s="3">
        <f>20*0.249997369224132</f>
        <v>4.9999473844826401</v>
      </c>
      <c r="K64" s="1"/>
      <c r="L64" s="1"/>
      <c r="M64" s="1"/>
      <c r="N64" s="1"/>
      <c r="O64" s="1"/>
      <c r="P64" s="1"/>
      <c r="Q64" s="1"/>
      <c r="R64" s="1"/>
      <c r="T64" s="1"/>
      <c r="U64" s="1">
        <v>4.1233167082294271</v>
      </c>
      <c r="V64" s="1"/>
      <c r="W64" s="1"/>
      <c r="X64" s="1"/>
      <c r="Y64" s="1"/>
      <c r="Z64" s="1">
        <v>3.06</v>
      </c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>
        <v>2.798137167845705</v>
      </c>
      <c r="AN64" s="1"/>
      <c r="AO64" s="1"/>
      <c r="AP64" s="1"/>
      <c r="AQ64" s="1"/>
      <c r="AR64" s="1"/>
      <c r="AS64" s="1"/>
      <c r="AT64" s="1"/>
      <c r="AU64" s="1"/>
      <c r="AV64" s="1">
        <v>2.9526105998720511</v>
      </c>
      <c r="AW64" s="1"/>
      <c r="AX64" s="1"/>
      <c r="AZ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3"/>
      <c r="BM64" s="1"/>
      <c r="BN64" s="1"/>
      <c r="BO64" s="1"/>
      <c r="BP64" s="1"/>
      <c r="BQ64" s="1"/>
      <c r="BR64" s="1">
        <f>(2.2046*30)*20*0.00280583613916947</f>
        <v>3.7114478114478091</v>
      </c>
      <c r="BS64" s="3"/>
      <c r="BT64" s="3"/>
      <c r="BU64" s="3"/>
      <c r="BV64" s="1"/>
      <c r="BW64" s="1"/>
      <c r="BX64" s="1"/>
      <c r="CA64" s="1"/>
      <c r="CB64" s="1"/>
      <c r="CC64" s="1"/>
      <c r="CD64" s="1"/>
      <c r="CE64" s="1"/>
      <c r="CF64" s="1"/>
      <c r="CH64" s="14">
        <v>0.46878196493379126</v>
      </c>
      <c r="CI64" s="14">
        <v>4.4612416996199133</v>
      </c>
      <c r="CJ64" s="1"/>
      <c r="CK64" s="1">
        <f>9*20*0.0259782135076253</f>
        <v>4.6760784313725541</v>
      </c>
      <c r="CM64" s="1">
        <f>20*9*0.0746976405666116</f>
        <v>13.445575301990088</v>
      </c>
      <c r="CN64" s="1"/>
      <c r="CP64" s="1"/>
      <c r="CQ64" s="1"/>
      <c r="CR64" s="1"/>
      <c r="CS64" s="1">
        <f>(2.2046*30)*20*(1/112)*0.375</f>
        <v>4.4288839285714294</v>
      </c>
      <c r="CT64" s="1">
        <f>(2.2046*30)*20*(1/112)*0.375528364849833</f>
        <v>4.4351241061496891</v>
      </c>
      <c r="CU64" s="1"/>
      <c r="CV64" s="1">
        <f>20*9*0.0577803532699366</f>
        <v>10.400463588588588</v>
      </c>
      <c r="CY64" s="14">
        <v>5.0859375</v>
      </c>
    </row>
    <row r="65" spans="1:103" x14ac:dyDescent="0.25">
      <c r="A65" s="8">
        <f t="shared" si="3"/>
        <v>1898</v>
      </c>
      <c r="C65" s="1">
        <v>2.6217948717948718</v>
      </c>
      <c r="D65" s="1"/>
      <c r="E65" s="1">
        <v>3.7128368263473059</v>
      </c>
      <c r="F65" s="1"/>
      <c r="G65" s="1"/>
      <c r="H65" s="1"/>
      <c r="I65" s="1"/>
      <c r="J65" s="1">
        <f>20*0.202135806671205</f>
        <v>4.0427161334241006</v>
      </c>
      <c r="L65" s="1"/>
      <c r="M65" s="1"/>
      <c r="N65" s="1"/>
      <c r="O65" s="1"/>
      <c r="P65" s="1"/>
      <c r="Q65" s="1"/>
      <c r="R65" s="1"/>
      <c r="T65" s="1"/>
      <c r="U65" s="1">
        <v>4.1233167082294271</v>
      </c>
      <c r="V65" s="1">
        <v>4.5714285714285712</v>
      </c>
      <c r="W65" s="1"/>
      <c r="X65" s="1"/>
      <c r="Y65" s="1"/>
      <c r="Z65" s="1">
        <v>3.0636363636363635</v>
      </c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>
        <f>20*9*0.0212962962962963</f>
        <v>3.8333333333333339</v>
      </c>
      <c r="AL65" s="1"/>
      <c r="AM65" s="1">
        <v>2.8350659124837825</v>
      </c>
      <c r="AN65" s="1"/>
      <c r="AO65" s="1"/>
      <c r="AP65" s="1"/>
      <c r="AQ65" s="1"/>
      <c r="AR65" s="1"/>
      <c r="AS65" s="1"/>
      <c r="AT65" s="1"/>
      <c r="AU65" s="1"/>
      <c r="AV65" s="1">
        <v>2.9463417875580977</v>
      </c>
      <c r="AW65" s="1"/>
      <c r="AX65" s="1"/>
      <c r="AZ65" s="1"/>
      <c r="BA65" s="3"/>
      <c r="BB65" s="3"/>
      <c r="BC65" s="3"/>
      <c r="BD65" s="3"/>
      <c r="BE65" s="1"/>
      <c r="BF65" s="1"/>
      <c r="BG65" s="1"/>
      <c r="BH65" s="1"/>
      <c r="BI65" s="1"/>
      <c r="BJ65" s="1"/>
      <c r="BK65" s="1"/>
      <c r="BL65" s="3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CA65" s="1"/>
      <c r="CB65" s="1"/>
      <c r="CC65" s="1"/>
      <c r="CD65" s="1"/>
      <c r="CE65" s="1"/>
      <c r="CF65" s="1"/>
      <c r="CH65" s="14">
        <v>0.54621328853426221</v>
      </c>
      <c r="CI65" s="14">
        <v>4.4360322075961145</v>
      </c>
      <c r="CJ65" s="1"/>
      <c r="CK65" s="1"/>
      <c r="CL65" s="1">
        <f>20*9*0.0242920634920635</f>
        <v>4.3725714285714297</v>
      </c>
      <c r="CM65" s="1">
        <f>20*9*0.0760456422057105</f>
        <v>13.68821559702789</v>
      </c>
      <c r="CN65" s="1"/>
      <c r="CP65" s="1"/>
      <c r="CQ65" s="1"/>
      <c r="CR65" s="1"/>
      <c r="CS65" s="1">
        <f>(2.2046*30)*20*(1/112)*0.250044444444444</f>
        <v>2.9531141904761857</v>
      </c>
      <c r="CT65" s="1">
        <f>(2.2046*30)*20*(1/112)*0.25</f>
        <v>2.9525892857142861</v>
      </c>
      <c r="CU65" s="1"/>
      <c r="CV65" s="1">
        <f>20*9*0.0522582071601764</f>
        <v>9.406477288831752</v>
      </c>
      <c r="CY65" s="14">
        <v>4.333333333333333</v>
      </c>
    </row>
    <row r="66" spans="1:103" x14ac:dyDescent="0.25">
      <c r="A66" s="8">
        <f t="shared" si="3"/>
        <v>1899</v>
      </c>
      <c r="C66" s="1">
        <v>2.6987179487179489</v>
      </c>
      <c r="D66" s="1"/>
      <c r="E66" s="1">
        <v>3.7506527569860282</v>
      </c>
      <c r="F66" s="1"/>
      <c r="G66" s="1"/>
      <c r="H66" s="1"/>
      <c r="I66" s="1"/>
      <c r="J66" s="1">
        <f>20*0.275007712936374</f>
        <v>5.5001542587274797</v>
      </c>
      <c r="L66" s="1"/>
      <c r="M66" s="1"/>
      <c r="N66" s="1"/>
      <c r="O66" s="1"/>
      <c r="P66" s="1"/>
      <c r="Q66" s="1"/>
      <c r="R66" s="1"/>
      <c r="T66" s="1"/>
      <c r="U66" s="1">
        <v>5.6695604738154612</v>
      </c>
      <c r="V66" s="1"/>
      <c r="W66" s="1"/>
      <c r="X66" s="1"/>
      <c r="Y66" s="1"/>
      <c r="Z66" s="1">
        <v>2.916666666666667</v>
      </c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>
        <f>20*9*0.0254901960784314</f>
        <v>4.5882352941176521</v>
      </c>
      <c r="AL66" s="1"/>
      <c r="AM66" s="1">
        <v>2.843299886867483</v>
      </c>
      <c r="AN66" s="1"/>
      <c r="AO66" s="1"/>
      <c r="AP66" s="1"/>
      <c r="AQ66" s="1"/>
      <c r="AR66" s="1"/>
      <c r="AS66" s="1"/>
      <c r="AT66" s="1"/>
      <c r="AU66" s="1"/>
      <c r="AV66" s="1">
        <v>4.2193576045275325</v>
      </c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3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CA66" s="1"/>
      <c r="CB66" s="1"/>
      <c r="CC66" s="1"/>
      <c r="CD66" s="1"/>
      <c r="CE66" s="1"/>
      <c r="CF66" s="1"/>
      <c r="CH66" s="14">
        <v>0.91744430887267558</v>
      </c>
      <c r="CI66" s="14">
        <v>4.6106456543771479</v>
      </c>
      <c r="CJ66" s="1"/>
      <c r="CK66" s="1">
        <f>9*20*0.0296368917937545</f>
        <v>5.3346405228758105</v>
      </c>
      <c r="CL66" s="1">
        <f>20*9*0.0299248308247183</f>
        <v>5.3864695484492939</v>
      </c>
      <c r="CM66" s="1">
        <f>20*9*0.0585980270909453</f>
        <v>10.547644876370153</v>
      </c>
      <c r="CN66" s="1"/>
      <c r="CP66" s="1">
        <f>9*20*0.0377777777777778</f>
        <v>6.8000000000000043</v>
      </c>
      <c r="CQ66" s="1"/>
      <c r="CR66" s="1"/>
      <c r="CS66" s="1">
        <f>(2.2046*30)*20*(1/112)*0.266696299588843</f>
        <v>3.1497785468226609</v>
      </c>
      <c r="CT66" s="1">
        <f>(2.2046*30)*20*(1/112)*0.2664</f>
        <v>3.1462791428571437</v>
      </c>
      <c r="CU66" s="1"/>
      <c r="CV66" s="1">
        <f>20*9*0.0544104133558913</f>
        <v>9.7938744040604337</v>
      </c>
      <c r="CY66" s="14">
        <v>4.7916666666666661</v>
      </c>
    </row>
    <row r="67" spans="1:103" x14ac:dyDescent="0.25">
      <c r="A67" s="8">
        <f t="shared" si="3"/>
        <v>1900</v>
      </c>
      <c r="C67" s="1">
        <v>3.1217948717948718</v>
      </c>
      <c r="D67" s="1"/>
      <c r="E67" s="1">
        <v>4.1872548652694617</v>
      </c>
      <c r="F67" s="1"/>
      <c r="G67" s="1"/>
      <c r="H67" s="1"/>
      <c r="I67" s="1"/>
      <c r="J67" s="1">
        <f>20*0.299990804174905</f>
        <v>5.9998160834981</v>
      </c>
      <c r="L67" s="1"/>
      <c r="M67" s="1"/>
      <c r="N67" s="1"/>
      <c r="O67" s="1"/>
      <c r="P67" s="1"/>
      <c r="Q67" s="1"/>
      <c r="R67" s="1"/>
      <c r="T67" s="1"/>
      <c r="U67" s="1">
        <v>5.9821889947262994</v>
      </c>
      <c r="V67" s="1"/>
      <c r="W67" s="1"/>
      <c r="X67" s="1"/>
      <c r="Y67" s="1"/>
      <c r="Z67" s="1">
        <v>7.2000000000000011</v>
      </c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>
        <f>20*9*0.0231649831649832</f>
        <v>4.1696969696969761</v>
      </c>
      <c r="AL67" s="1"/>
      <c r="AM67" s="1">
        <v>2.836688243756984</v>
      </c>
      <c r="AN67" s="1"/>
      <c r="AO67" s="1"/>
      <c r="AP67" s="1"/>
      <c r="AQ67" s="1"/>
      <c r="AR67" s="1"/>
      <c r="AS67" s="1"/>
      <c r="AT67" s="1"/>
      <c r="AU67" s="1"/>
      <c r="AV67" s="1">
        <v>4.1336548398208723</v>
      </c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>
        <f>(2.2046*30)*20*(1/112)*0.662721893491124</f>
        <v>7.8269822485207081</v>
      </c>
      <c r="BJ67" s="1"/>
      <c r="BK67" s="1"/>
      <c r="BL67" s="3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CA67" s="1"/>
      <c r="CB67" s="1"/>
      <c r="CC67" s="1"/>
      <c r="CD67" s="1"/>
      <c r="CE67" s="1"/>
      <c r="CF67" s="1"/>
      <c r="CH67" s="14">
        <v>0.88221412124504495</v>
      </c>
      <c r="CI67" s="14">
        <v>5.2347306928743587</v>
      </c>
      <c r="CJ67" s="1"/>
      <c r="CK67" s="1">
        <f>9*20*0.0351880341880342</f>
        <v>6.3338461538461557</v>
      </c>
      <c r="CL67" s="1">
        <f>20*9*0.0388750346356331</f>
        <v>6.9975062344139571</v>
      </c>
      <c r="CM67" s="1">
        <f>20*9*0.0479563933909794</f>
        <v>8.6321508103762916</v>
      </c>
      <c r="CN67" s="1"/>
      <c r="CP67" s="1">
        <f>9*20*0.0555555555555556</f>
        <v>10.000000000000009</v>
      </c>
      <c r="CQ67" s="1"/>
      <c r="CR67" s="1"/>
      <c r="CS67" s="1">
        <f>(2.2046*30)*20*(1/112)*0.333392857142857</f>
        <v>3.9374887117346926</v>
      </c>
      <c r="CT67" s="1">
        <f>(2.2046*30)*20*(1/112)*0.366333333333333</f>
        <v>4.3265274999999965</v>
      </c>
      <c r="CU67" s="1"/>
      <c r="CV67" s="1">
        <f>20*9*0.0608523512070257</f>
        <v>10.953423217264627</v>
      </c>
      <c r="CY67" s="14">
        <v>6.2291666666666661</v>
      </c>
    </row>
    <row r="68" spans="1:103" x14ac:dyDescent="0.25">
      <c r="A68" s="8">
        <f t="shared" si="3"/>
        <v>1901</v>
      </c>
      <c r="C68" s="1">
        <v>2.7884615384615383</v>
      </c>
      <c r="D68" s="1"/>
      <c r="E68" s="1">
        <v>4.9091953592814379</v>
      </c>
      <c r="F68" s="1"/>
      <c r="G68" s="1"/>
      <c r="H68" s="1"/>
      <c r="I68" s="1">
        <f>20*0.250051851497312</f>
        <v>5.0010370299462403</v>
      </c>
      <c r="J68" s="3"/>
      <c r="K68" s="1"/>
      <c r="L68" s="1"/>
      <c r="M68" s="1"/>
      <c r="N68" s="1"/>
      <c r="O68" s="1"/>
      <c r="P68" s="1"/>
      <c r="Q68" s="1"/>
      <c r="R68" s="1"/>
      <c r="T68" s="1"/>
      <c r="U68" s="1">
        <v>4.6302818772740286</v>
      </c>
      <c r="V68" s="1">
        <v>4.7301333333333337</v>
      </c>
      <c r="W68" s="1"/>
      <c r="X68" s="1"/>
      <c r="Y68" s="1"/>
      <c r="Z68" s="1">
        <v>6.166666666666667</v>
      </c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>
        <v>2.3620884798976425</v>
      </c>
      <c r="AN68" s="1"/>
      <c r="AO68" s="1"/>
      <c r="AP68" s="1"/>
      <c r="AQ68" s="1"/>
      <c r="AR68" s="1"/>
      <c r="AS68" s="1"/>
      <c r="AT68" s="1"/>
      <c r="AU68" s="1"/>
      <c r="AV68" s="1">
        <v>3.3054669167418793</v>
      </c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3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CA68" s="1"/>
      <c r="CB68" s="1"/>
      <c r="CC68" s="1"/>
      <c r="CD68" s="1"/>
      <c r="CE68" s="1"/>
      <c r="CF68" s="1"/>
      <c r="CH68" s="14">
        <v>0.35166147881473275</v>
      </c>
      <c r="CI68" s="14">
        <v>4.9545195015231238</v>
      </c>
      <c r="CJ68" s="1"/>
      <c r="CK68" s="1">
        <f>9*20*0.0284740740740741</f>
        <v>5.1253333333333382</v>
      </c>
      <c r="CL68" s="1">
        <f>20*9*0.0258304696449026</f>
        <v>4.6494845360824675</v>
      </c>
      <c r="CM68" s="1">
        <f>20*9*0.0936923716400507</f>
        <v>16.864626895209128</v>
      </c>
      <c r="CN68" s="1"/>
      <c r="CP68" s="1">
        <f>9*20*0.0277717873145952</f>
        <v>4.9989217166271356</v>
      </c>
      <c r="CQ68" s="1"/>
      <c r="CR68" s="1"/>
      <c r="CS68" s="1">
        <f>(2.2046*30)*20*(1/112)*0.366759002770083</f>
        <v>4.3315548080728128</v>
      </c>
      <c r="CT68" s="1">
        <f>(2.2046*30)*20*(1/112)*0.308181818181818</f>
        <v>3.6397373376623361</v>
      </c>
      <c r="CU68" s="1"/>
      <c r="CV68" s="1">
        <f>20*9*0.0585342789598109</f>
        <v>10.536170212765962</v>
      </c>
      <c r="CY68" s="14">
        <v>5.833333333333333</v>
      </c>
    </row>
    <row r="69" spans="1:103" x14ac:dyDescent="0.25">
      <c r="A69" s="8">
        <f t="shared" si="3"/>
        <v>1902</v>
      </c>
      <c r="C69" s="1">
        <v>2.5192307692307696</v>
      </c>
      <c r="D69" s="1"/>
      <c r="E69" s="1">
        <v>4.524160429141717</v>
      </c>
      <c r="F69" s="1"/>
      <c r="G69" s="1"/>
      <c r="H69" s="1"/>
      <c r="I69" s="1">
        <f>20*0.225009538344143</f>
        <v>4.5001907668828602</v>
      </c>
      <c r="J69" s="3"/>
      <c r="K69" s="1"/>
      <c r="L69" s="1"/>
      <c r="M69" s="1"/>
      <c r="N69" s="1"/>
      <c r="O69" s="1"/>
      <c r="P69" s="1"/>
      <c r="Q69" s="1"/>
      <c r="R69" s="1"/>
      <c r="T69" s="1"/>
      <c r="U69" s="1">
        <v>4.6261602092330145</v>
      </c>
      <c r="V69" s="1">
        <v>5.0081300813008136</v>
      </c>
      <c r="W69" s="1"/>
      <c r="X69" s="1"/>
      <c r="Y69" s="1"/>
      <c r="Z69" s="1">
        <v>4.3333333333333339</v>
      </c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>
        <v>2.3605960061319116</v>
      </c>
      <c r="AN69" s="1"/>
      <c r="AO69" s="1"/>
      <c r="AP69" s="1"/>
      <c r="AQ69" s="1"/>
      <c r="AR69" s="1"/>
      <c r="AS69" s="1"/>
      <c r="AT69" s="1"/>
      <c r="AU69" s="1"/>
      <c r="AV69" s="1">
        <v>2.9526105998720511</v>
      </c>
      <c r="AW69" s="1"/>
      <c r="AX69" s="1"/>
      <c r="AY69" s="1"/>
      <c r="AZ69" s="1"/>
      <c r="BA69" s="1"/>
      <c r="BB69" s="1"/>
      <c r="BC69" s="1"/>
      <c r="BD69" s="1"/>
      <c r="BE69" s="3">
        <f>(2.2046*30)*20*0.0050236100937694</f>
        <v>6.6450304876344122</v>
      </c>
      <c r="BF69" s="3">
        <f>(2.2046*30)*20*0.00557545756529668</f>
        <v>7.3749922490718376</v>
      </c>
      <c r="BG69" s="1"/>
      <c r="BH69" s="1"/>
      <c r="BI69" s="1"/>
      <c r="BJ69" s="1">
        <f>(2.2046*30)*20*(1/112)*0.717948717948718</f>
        <v>8.4792307692307709</v>
      </c>
      <c r="BK69" s="1"/>
      <c r="BL69" s="15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CA69" s="1"/>
      <c r="CB69" s="1"/>
      <c r="CC69" s="1"/>
      <c r="CD69" s="1"/>
      <c r="CE69" s="1"/>
      <c r="CF69" s="1"/>
      <c r="CH69" s="14">
        <v>0.32341309813697594</v>
      </c>
      <c r="CI69" s="14">
        <v>4.5044041138113764</v>
      </c>
      <c r="CJ69" s="1"/>
      <c r="CK69" s="1">
        <f>9*20*0.0296340296340296</f>
        <v>5.3341253341253276</v>
      </c>
      <c r="CL69" s="1">
        <f>20*9*0.0259259259259259</f>
        <v>4.6666666666666625</v>
      </c>
      <c r="CM69" s="1">
        <f>20*9*0.101847469498717</f>
        <v>18.332544509769058</v>
      </c>
      <c r="CN69" s="1"/>
      <c r="CP69" s="1">
        <f>9*20*0.0300595238095238</f>
        <v>5.4107142857142838</v>
      </c>
      <c r="CQ69" s="1"/>
      <c r="CR69" s="1"/>
      <c r="CT69" s="1"/>
      <c r="CU69" s="1"/>
      <c r="CY69" s="14">
        <v>4.833333333333333</v>
      </c>
    </row>
    <row r="70" spans="1:103" x14ac:dyDescent="0.25">
      <c r="A70" s="8">
        <f t="shared" si="3"/>
        <v>1903</v>
      </c>
      <c r="C70" s="1">
        <v>2.6666666666666665</v>
      </c>
      <c r="D70" s="1"/>
      <c r="E70" s="1">
        <v>4.5722897954091826</v>
      </c>
      <c r="F70" s="1"/>
      <c r="G70" s="1"/>
      <c r="H70" s="1"/>
      <c r="I70" s="1">
        <f>20*0.250023441162682</f>
        <v>5.0004688232536401</v>
      </c>
      <c r="J70" s="3"/>
      <c r="K70" s="1"/>
      <c r="L70" s="1"/>
      <c r="M70" s="1"/>
      <c r="N70" s="1"/>
      <c r="O70" s="1"/>
      <c r="P70" s="1"/>
      <c r="Q70" s="1"/>
      <c r="R70" s="1"/>
      <c r="T70" s="1"/>
      <c r="U70" s="1">
        <v>4.6413423129107327</v>
      </c>
      <c r="V70" s="1">
        <v>6.0121584964154229</v>
      </c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>
        <v>2.4122123733702723</v>
      </c>
      <c r="AN70" s="1"/>
      <c r="AO70" s="1"/>
      <c r="AP70" s="1"/>
      <c r="AQ70" s="1"/>
      <c r="AR70" s="1"/>
      <c r="AS70" s="1"/>
      <c r="AT70" s="1"/>
      <c r="AU70" s="1"/>
      <c r="AV70" s="1">
        <v>2.9526105998720511</v>
      </c>
      <c r="AW70" s="1"/>
      <c r="AX70" s="1"/>
      <c r="AY70" s="1"/>
      <c r="AZ70" s="1"/>
      <c r="BA70" s="1"/>
      <c r="BB70" s="1"/>
      <c r="BC70" s="1"/>
      <c r="BD70" s="1"/>
      <c r="BE70" s="3">
        <f>(2.2046*30)*20*0.00489497839937026</f>
        <v>6.4748816275510066</v>
      </c>
      <c r="BF70" s="3">
        <f>(2.2046*30)*20*0.00596370741380693</f>
        <v>7.888553618687256</v>
      </c>
      <c r="BG70" s="1"/>
      <c r="BH70" s="1"/>
      <c r="BI70" s="1">
        <f>(2.2046*30)*20*(1/112)*0.593303438861247</f>
        <v>7.0071255070366361</v>
      </c>
      <c r="BK70" s="1"/>
      <c r="BL70" s="13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CA70" s="1"/>
      <c r="CB70" s="1"/>
      <c r="CC70" s="1"/>
      <c r="CD70" s="1"/>
      <c r="CE70" s="1"/>
      <c r="CF70" s="1"/>
      <c r="CH70" s="14">
        <v>0.49285177890479098</v>
      </c>
      <c r="CI70" s="14">
        <v>4.4904273189103181</v>
      </c>
      <c r="CJ70" s="1"/>
      <c r="CK70" s="1">
        <f>9*20*0.033336555813354</f>
        <v>6.0005800464037202</v>
      </c>
      <c r="CL70" s="1">
        <f>20*9*0.0333400823378552</f>
        <v>6.001214820813936</v>
      </c>
      <c r="CM70" s="1">
        <f>20*9*0.0873146666915099</f>
        <v>15.716640004471783</v>
      </c>
      <c r="CN70" s="1"/>
      <c r="CP70" s="1">
        <f>(2.2046*30)*20*(1/112)*0.497814934448033</f>
        <v>5.8793721668792873</v>
      </c>
      <c r="CR70" s="1"/>
      <c r="CU70" s="1"/>
      <c r="CY70" s="14">
        <v>5.333333333333333</v>
      </c>
    </row>
    <row r="71" spans="1:103" x14ac:dyDescent="0.25">
      <c r="A71" s="8">
        <f t="shared" si="3"/>
        <v>1904</v>
      </c>
      <c r="C71" s="1">
        <v>2.865384615384615</v>
      </c>
      <c r="D71" s="1"/>
      <c r="E71" s="1">
        <v>5.6208224176646722</v>
      </c>
      <c r="F71" s="1"/>
      <c r="G71" s="1"/>
      <c r="H71" s="1"/>
      <c r="I71" s="1">
        <f>20*0.25</f>
        <v>5</v>
      </c>
      <c r="J71" s="3"/>
      <c r="K71" s="1"/>
      <c r="L71" s="1"/>
      <c r="M71" s="1"/>
      <c r="N71" s="1"/>
      <c r="O71" s="1"/>
      <c r="P71" s="1"/>
      <c r="Q71" s="1"/>
      <c r="R71" s="3"/>
      <c r="T71" s="1"/>
      <c r="U71" s="1">
        <v>5.0630398309093207</v>
      </c>
      <c r="V71" s="1">
        <v>5.8271604938271606</v>
      </c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>
        <v>3.5693951871201195</v>
      </c>
      <c r="AN71" s="1"/>
      <c r="AO71" s="1"/>
      <c r="AP71" s="1"/>
      <c r="AQ71" s="1"/>
      <c r="AR71" s="1"/>
      <c r="AS71" s="1"/>
      <c r="AT71" s="1"/>
      <c r="AU71" s="1"/>
      <c r="AV71" s="1">
        <v>3.6907632498400638</v>
      </c>
      <c r="AW71" s="1"/>
      <c r="AX71" s="1"/>
      <c r="AY71" s="1"/>
      <c r="AZ71" s="3"/>
      <c r="BA71" s="3"/>
      <c r="BB71" s="3"/>
      <c r="BC71" s="1"/>
      <c r="BD71" s="1"/>
      <c r="BE71" s="3">
        <f>(2.2046*30)*20*0.00438412726217826</f>
        <v>5.7991481773189157</v>
      </c>
      <c r="BF71" s="3">
        <f>(2.2046*30)*20*0.0053213901156349</f>
        <v>7.0389219893572212</v>
      </c>
      <c r="BG71" s="1"/>
      <c r="BH71" s="1">
        <f>(2.2046*30)*20*(1/112)*0.969327702000969</f>
        <v>11.448106349096445</v>
      </c>
      <c r="BI71" s="1">
        <f>(2.2046*30)*20*(1/112)*0.571741276691772</f>
        <v>6.7524686710429327</v>
      </c>
      <c r="BJ71" s="1">
        <f>(2.2046*30)*20*(1/112)*0.781924346280782</f>
        <v>9.234805788271137</v>
      </c>
      <c r="BK71" s="1"/>
      <c r="BL71" s="15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CA71" s="1"/>
      <c r="CB71" s="1"/>
      <c r="CC71" s="1"/>
      <c r="CD71" s="1"/>
      <c r="CE71" s="1"/>
      <c r="CF71" s="1"/>
      <c r="CH71" s="14">
        <v>0.79591079186421043</v>
      </c>
      <c r="CI71" s="14">
        <v>4.8066769391015063</v>
      </c>
      <c r="CJ71" s="1"/>
      <c r="CK71" s="1">
        <f>9*20*0.0321021256317557</f>
        <v>5.7783826137160261</v>
      </c>
      <c r="CL71" s="1">
        <f>20*9*0.0333238447670557</f>
        <v>5.9982920580700263</v>
      </c>
      <c r="CM71" s="1">
        <f>20*9*0.0894550825946525</f>
        <v>16.101914867037451</v>
      </c>
      <c r="CN71" s="1"/>
      <c r="CP71" s="1">
        <f>(2.2046*30)*20*(1/112)*0.254888268156425</f>
        <v>3.0103214784517216</v>
      </c>
      <c r="CR71" s="1"/>
      <c r="CU71" s="1"/>
      <c r="CY71" s="14">
        <v>5.333333333333333</v>
      </c>
    </row>
    <row r="72" spans="1:103" x14ac:dyDescent="0.25">
      <c r="A72" s="8">
        <f t="shared" ref="A72:A103" si="4">A71+1</f>
        <v>1905</v>
      </c>
      <c r="C72" s="1">
        <v>2.6025641025641026</v>
      </c>
      <c r="D72" s="1"/>
      <c r="E72" s="1">
        <v>5.6380114770459082</v>
      </c>
      <c r="F72" s="1"/>
      <c r="G72" s="1"/>
      <c r="H72" s="1"/>
      <c r="I72" s="1">
        <f>20*0.274999568153944</f>
        <v>5.4999913630788804</v>
      </c>
      <c r="J72" s="3"/>
      <c r="K72" s="1"/>
      <c r="L72" s="1"/>
      <c r="M72" s="1"/>
      <c r="N72" s="1"/>
      <c r="O72" s="1"/>
      <c r="P72" s="1"/>
      <c r="Q72" s="1"/>
      <c r="R72" s="3"/>
      <c r="T72" s="1"/>
      <c r="U72" s="1">
        <v>4.6432131627453126</v>
      </c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>
        <v>3.4489183645229113</v>
      </c>
      <c r="AN72" s="1"/>
      <c r="AO72" s="1"/>
      <c r="AP72" s="1"/>
      <c r="AQ72" s="1"/>
      <c r="AR72" s="1"/>
      <c r="AS72" s="1">
        <v>5.1727922503380466</v>
      </c>
      <c r="AT72" s="1"/>
      <c r="AU72" s="1"/>
      <c r="AV72" s="1">
        <v>4.059718764243061</v>
      </c>
      <c r="AW72" s="1"/>
      <c r="AX72" s="1"/>
      <c r="AY72" s="3"/>
      <c r="AZ72" s="3"/>
      <c r="BA72" s="3"/>
      <c r="BB72" s="16">
        <f>(2.2046*30)*20*0.0104523605333978</f>
        <v>13.825964419157277</v>
      </c>
      <c r="BC72" s="1"/>
      <c r="BD72" s="1"/>
      <c r="BE72" s="3">
        <f>(2.2046*30)*20*0.00468177231226982</f>
        <v>6.1928611437780283</v>
      </c>
      <c r="BF72" s="3">
        <f>(2.2046*30)*20*0.00701136822667205</f>
        <v>9.2743574355127212</v>
      </c>
      <c r="BG72" s="1"/>
      <c r="BH72" s="1">
        <f>(2.2046*30)*20*(1/112)*0.622128809488065</f>
        <v>7.3475634289145804</v>
      </c>
      <c r="BI72" s="1"/>
      <c r="BJ72" s="1"/>
      <c r="BK72" s="1">
        <f>9*20*0.0555555555555556</f>
        <v>10.000000000000009</v>
      </c>
      <c r="BL72" s="3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Z72" s="3"/>
      <c r="CA72" s="1"/>
      <c r="CB72" s="1"/>
      <c r="CC72" s="1"/>
      <c r="CD72" s="1"/>
      <c r="CE72" s="1"/>
      <c r="CF72" s="1"/>
      <c r="CH72" s="14">
        <v>0.85189311728375205</v>
      </c>
      <c r="CI72" s="14">
        <v>5.0841292433327112</v>
      </c>
      <c r="CJ72" s="1"/>
      <c r="CK72" s="1">
        <f>9*20*0.0295585436816859</f>
        <v>5.3205378627034614</v>
      </c>
      <c r="CL72" s="1">
        <f>20*9*0.034246621507768</f>
        <v>6.16439187139824</v>
      </c>
      <c r="CM72" s="1">
        <f>20*9*0.0580357142857143</f>
        <v>10.446428571428575</v>
      </c>
      <c r="CN72" s="1"/>
      <c r="CP72" s="1">
        <f>(2.2046*30)*20*(1/112)*0.387142545295787</f>
        <v>4.572291725137994</v>
      </c>
      <c r="CR72" s="1"/>
      <c r="CU72" s="1"/>
      <c r="CY72" s="14">
        <v>5.333333333333333</v>
      </c>
    </row>
    <row r="73" spans="1:103" x14ac:dyDescent="0.25">
      <c r="A73" s="8">
        <f t="shared" si="4"/>
        <v>1906</v>
      </c>
      <c r="C73" s="1">
        <v>2.7115384615384617</v>
      </c>
      <c r="D73" s="1"/>
      <c r="E73" s="1">
        <v>5.2082849925149715</v>
      </c>
      <c r="F73" s="1"/>
      <c r="G73" s="1"/>
      <c r="H73" s="1"/>
      <c r="I73" s="1">
        <f>20*0.325</f>
        <v>6.5</v>
      </c>
      <c r="J73" s="3"/>
      <c r="K73" s="1"/>
      <c r="L73" s="1"/>
      <c r="M73" s="1"/>
      <c r="N73" s="1"/>
      <c r="O73" s="1"/>
      <c r="P73" s="1"/>
      <c r="Q73" s="1"/>
      <c r="R73" s="3"/>
      <c r="T73" s="1"/>
      <c r="U73" s="1">
        <v>6.4114071995375639</v>
      </c>
      <c r="V73" s="1">
        <v>6.1363636363636367</v>
      </c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>
        <v>3.7785970166999334</v>
      </c>
      <c r="AN73" s="1"/>
      <c r="AO73" s="1"/>
      <c r="AP73" s="1"/>
      <c r="AQ73" s="1"/>
      <c r="AR73" s="1"/>
      <c r="AS73" s="1">
        <v>4.208851002632243</v>
      </c>
      <c r="AT73" s="1"/>
      <c r="AU73" s="1"/>
      <c r="AV73" s="1">
        <v>3.6898680853361006</v>
      </c>
      <c r="AW73" s="1"/>
      <c r="AX73" s="1"/>
      <c r="AY73" s="3"/>
      <c r="AZ73" s="3"/>
      <c r="BA73" s="3"/>
      <c r="BB73" s="16">
        <f>(2.2046*30)*20*0.00865938816227001</f>
        <v>11.45429228552428</v>
      </c>
      <c r="BC73" s="1"/>
      <c r="BD73" s="1"/>
      <c r="BE73" s="3">
        <f>(2.2046*30)*20*0.00458939825811944</f>
        <v>6.0706724399100711</v>
      </c>
      <c r="BF73" s="3">
        <f>(2.2046*30)*20*0.00854875654450262</f>
        <v>11.307953206806287</v>
      </c>
      <c r="BG73" s="1"/>
      <c r="BH73" s="1"/>
      <c r="BI73" s="1"/>
      <c r="BJ73" s="1"/>
      <c r="BK73" s="1">
        <f>9*20*0.0555555555555556</f>
        <v>10.000000000000009</v>
      </c>
      <c r="BL73" s="3"/>
      <c r="BM73" s="1"/>
      <c r="BN73" s="1"/>
      <c r="BO73" s="1"/>
      <c r="BP73" s="1"/>
      <c r="BQ73" s="1"/>
      <c r="BR73" s="1"/>
      <c r="BS73" s="1">
        <f>(2.2046*30)*20*0.00188354070002932</f>
        <v>2.4914722963707838</v>
      </c>
      <c r="BT73" s="1"/>
      <c r="BU73" s="1"/>
      <c r="BV73" s="3">
        <f>(2.2046*30)*20*0.00115547734776719</f>
        <v>1.5284192165325285</v>
      </c>
      <c r="BW73" s="1"/>
      <c r="BX73" s="1"/>
      <c r="BY73" s="1">
        <f>(2.2046*30)*20*0.00131392999177575</f>
        <v>1.7380140359212914</v>
      </c>
      <c r="BZ73" s="3">
        <f>(2.2046*30)*20*0.00345849802371542</f>
        <v>4.5747628458498104</v>
      </c>
      <c r="CA73" s="1"/>
      <c r="CB73" s="1"/>
      <c r="CC73" s="1"/>
      <c r="CD73" s="1"/>
      <c r="CE73" s="1"/>
      <c r="CF73" s="1"/>
      <c r="CH73" s="14">
        <v>1.0938172433029425</v>
      </c>
      <c r="CI73" s="14">
        <v>4.6582846235768658</v>
      </c>
      <c r="CJ73" s="1"/>
      <c r="CK73" s="1">
        <f>9*20*0.0296296296296296</f>
        <v>5.3333333333333277</v>
      </c>
      <c r="CL73" s="1">
        <f>20*9*0.0314827603846941</f>
        <v>5.6668968692449386</v>
      </c>
      <c r="CM73" s="1">
        <f>20*9*0.0456805555555556</f>
        <v>8.2225000000000072</v>
      </c>
      <c r="CN73" s="1"/>
      <c r="CP73" s="1">
        <f>(2.2046*30)*20*(1/112)*0.648148148148148</f>
        <v>7.6548611111111109</v>
      </c>
      <c r="CR73" s="1"/>
      <c r="CS73" s="1">
        <f>(2.2046*30)*20*(1/112)*0.711711711711712</f>
        <v>8.4055694980695019</v>
      </c>
      <c r="CU73" s="1"/>
      <c r="CY73" s="14">
        <v>5.833333333333333</v>
      </c>
    </row>
    <row r="74" spans="1:103" x14ac:dyDescent="0.25">
      <c r="A74" s="8">
        <f t="shared" si="4"/>
        <v>1907</v>
      </c>
      <c r="C74" s="1">
        <v>2.6089743589743595</v>
      </c>
      <c r="D74" s="1"/>
      <c r="E74" s="1">
        <v>5.3629865269461083</v>
      </c>
      <c r="F74" s="1"/>
      <c r="G74" s="1"/>
      <c r="H74" s="1"/>
      <c r="I74" s="1">
        <f>20*0.29999282142088</f>
        <v>5.9998564284176004</v>
      </c>
      <c r="J74" s="3"/>
      <c r="K74" s="3"/>
      <c r="L74" s="1"/>
      <c r="M74" s="1"/>
      <c r="N74" s="1"/>
      <c r="O74" s="1"/>
      <c r="P74" s="1"/>
      <c r="Q74" s="1"/>
      <c r="R74" s="1"/>
      <c r="T74" s="3"/>
      <c r="U74" s="3">
        <v>5.6373900859106811</v>
      </c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>
        <f>20*(1/2240)*8.58105549332773*(2.2046*30)</f>
        <v>5.0672665019438341</v>
      </c>
      <c r="AL74" s="1">
        <f>(20*2.2046*30)*(1/2240)*14.1476274165202</f>
        <v>8.3544266256590429</v>
      </c>
      <c r="AM74" s="1">
        <v>3.797910756133783</v>
      </c>
      <c r="AN74" s="1"/>
      <c r="AO74" s="1"/>
      <c r="AP74" s="1"/>
      <c r="AQ74" s="1"/>
      <c r="AR74" s="1"/>
      <c r="AS74" s="1">
        <v>4.6685884020234081</v>
      </c>
      <c r="AT74" s="1"/>
      <c r="AU74" s="1"/>
      <c r="AV74" s="1">
        <v>3.5629446091529617</v>
      </c>
      <c r="AW74" s="1"/>
      <c r="AX74" s="1"/>
      <c r="AY74" s="3"/>
      <c r="AZ74" s="3"/>
      <c r="BA74" s="3"/>
      <c r="BB74" s="13"/>
      <c r="BC74" s="1"/>
      <c r="BD74" s="1"/>
      <c r="BE74" s="3">
        <f>(2.2046*30)*20*0.00480901028279857</f>
        <v>6.3611664416746372</v>
      </c>
      <c r="BF74" s="3">
        <f>(2.2046*30)*20*0.00540192136521285</f>
        <v>7.1454455050489507</v>
      </c>
      <c r="BG74" s="1"/>
      <c r="BH74" s="1"/>
      <c r="BI74" s="1"/>
      <c r="BJ74" s="1"/>
      <c r="BK74" s="1">
        <f>9*20*0.048</f>
        <v>8.64</v>
      </c>
      <c r="BL74" s="3"/>
      <c r="BM74" s="1"/>
      <c r="BN74" s="1"/>
      <c r="BO74" s="1"/>
      <c r="BP74" s="1"/>
      <c r="BQ74" s="1"/>
      <c r="BR74" s="1"/>
      <c r="BS74" s="1">
        <f>(2.2046*30)*20*0.00207947203711977</f>
        <v>2.7506424318205474</v>
      </c>
      <c r="BT74" s="1"/>
      <c r="BU74" s="1"/>
      <c r="BV74" s="3">
        <f>(2.2046*30)*20*0.00126199457128794</f>
        <v>1.6693159391168357</v>
      </c>
      <c r="BW74" s="1"/>
      <c r="BX74" s="1"/>
      <c r="BY74" s="1">
        <f>(2.2046*30)*20*0.000937577144861833</f>
        <v>1.2401895441374384</v>
      </c>
      <c r="BZ74" s="3">
        <f>(2.2046*30)*20*0.00273765354273981</f>
        <v>3.621258600194512</v>
      </c>
      <c r="CA74" s="1"/>
      <c r="CB74" s="1"/>
      <c r="CC74" s="1"/>
      <c r="CD74" s="1"/>
      <c r="CE74" s="1"/>
      <c r="CF74" s="1"/>
      <c r="CH74" s="14">
        <v>1.3679300463831459</v>
      </c>
      <c r="CI74" s="14">
        <v>5.663307026762717</v>
      </c>
      <c r="CJ74" s="1"/>
      <c r="CK74" s="1">
        <f>9*20*0.0296296296296296</f>
        <v>5.3333333333333277</v>
      </c>
      <c r="CL74" s="1">
        <f>20*9*0.0296296296296296</f>
        <v>5.3333333333333277</v>
      </c>
      <c r="CM74" s="1">
        <f>20*9*0.0461308016877637</f>
        <v>8.3035443037974659</v>
      </c>
      <c r="CN74" s="1"/>
      <c r="CP74" s="1">
        <f>(2.2046*30)*20*(1/112)*0.43111753371869</f>
        <v>5.0916520437654862</v>
      </c>
      <c r="CR74" s="1"/>
      <c r="CS74" s="1">
        <f>(2.2046*30)*20*(1/112)*0.458712559986762</f>
        <v>5.4175591593579409</v>
      </c>
      <c r="CT74" s="3">
        <f>(2.2046*30)*20*(1/112)*1.29487179487179</f>
        <v>15.292898351648297</v>
      </c>
      <c r="CU74" s="1"/>
      <c r="CY74" s="14">
        <v>5.875</v>
      </c>
    </row>
    <row r="75" spans="1:103" x14ac:dyDescent="0.25">
      <c r="A75" s="8">
        <f t="shared" si="4"/>
        <v>1908</v>
      </c>
      <c r="C75" s="1">
        <v>2.6474358974358974</v>
      </c>
      <c r="D75" s="1"/>
      <c r="E75" s="1">
        <v>5.5520661801397209</v>
      </c>
      <c r="F75" s="1"/>
      <c r="G75" s="1"/>
      <c r="H75" s="1"/>
      <c r="I75" s="1">
        <f>20*0.299995943886568</f>
        <v>5.9999188777313597</v>
      </c>
      <c r="J75" s="3"/>
      <c r="K75" s="3"/>
      <c r="L75" s="1"/>
      <c r="M75" s="1"/>
      <c r="N75" s="1"/>
      <c r="O75" s="1"/>
      <c r="P75" s="1"/>
      <c r="Q75" s="1"/>
      <c r="R75" s="3"/>
      <c r="T75" s="1"/>
      <c r="U75" s="1">
        <v>5.8638601395591889</v>
      </c>
      <c r="V75" s="1">
        <v>6</v>
      </c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>
        <v>3.3039185199557282</v>
      </c>
      <c r="AN75" s="1"/>
      <c r="AO75" s="1"/>
      <c r="AP75" s="1"/>
      <c r="AQ75" s="1"/>
      <c r="AR75" s="1"/>
      <c r="AS75" s="1">
        <v>13.694701066217155</v>
      </c>
      <c r="AT75" s="1"/>
      <c r="AU75" s="1"/>
      <c r="AV75" s="1">
        <v>3.6912780903980194</v>
      </c>
      <c r="AW75" s="1"/>
      <c r="AX75" s="1"/>
      <c r="AY75" s="3"/>
      <c r="AZ75" s="3"/>
      <c r="BA75" s="3"/>
      <c r="BB75" s="3"/>
      <c r="BC75" s="1"/>
      <c r="BD75" s="1"/>
      <c r="BE75" s="3">
        <f>(2.2046*30)*20*0.00488843902098833</f>
        <v>6.4662315994025237</v>
      </c>
      <c r="BF75" s="3">
        <f>(2.2046*30)*20*0.00602643020102449</f>
        <v>7.9715208127071557</v>
      </c>
      <c r="BG75" s="1"/>
      <c r="BH75" s="1"/>
      <c r="BI75" s="1"/>
      <c r="BJ75" s="1"/>
      <c r="BK75" s="3">
        <f>9*20*0.111111111111111</f>
        <v>19.999999999999979</v>
      </c>
      <c r="BL75" s="3"/>
      <c r="BM75" s="1"/>
      <c r="BN75" s="1"/>
      <c r="BO75" s="1"/>
      <c r="BP75" s="1"/>
      <c r="BQ75" s="1"/>
      <c r="BR75" s="1"/>
      <c r="BS75" s="1">
        <f>(2.2046*30)*20*0.00228220982898138</f>
        <v>3.0188158733834105</v>
      </c>
      <c r="BT75" s="1"/>
      <c r="BU75" s="1"/>
      <c r="BV75" s="3">
        <f>(2.2046*30)*20*0.00117689481237134</f>
        <v>1.5567493820123139</v>
      </c>
      <c r="BW75" s="1"/>
      <c r="BX75" s="1"/>
      <c r="BY75" s="1">
        <f>(2.2046*30)*20*0.00119615286448733</f>
        <v>1.5822231630292609</v>
      </c>
      <c r="BZ75" s="3">
        <f>(2.2046*30)*20*0.00285571499964304</f>
        <v>3.7774255729278279</v>
      </c>
      <c r="CA75" s="1"/>
      <c r="CB75" s="1">
        <f>(2.2046*30)*20*0.00135671250193051</f>
        <v>1.7946050290536015</v>
      </c>
      <c r="CC75" s="3"/>
      <c r="CD75" s="1"/>
      <c r="CE75" s="1"/>
      <c r="CF75" s="1"/>
      <c r="CH75" s="14">
        <v>1.0618357870644426</v>
      </c>
      <c r="CI75" s="14">
        <v>5.56788074526155</v>
      </c>
      <c r="CJ75" s="1"/>
      <c r="CK75" s="1"/>
      <c r="CL75" s="1">
        <f>20*9*0.0296296296296296</f>
        <v>5.3333333333333277</v>
      </c>
      <c r="CM75" s="1">
        <f>20*9*0.0804042806183115</f>
        <v>14.472770511296069</v>
      </c>
      <c r="CN75" s="1"/>
      <c r="CP75" s="1">
        <f>(2.2046*30)*20*(1/112)*0.472536496350365</f>
        <v>5.5808247849322221</v>
      </c>
      <c r="CR75" s="1"/>
      <c r="CS75" s="1">
        <f>(2.2046*30)*20*(1/112)*0.290392422192152</f>
        <v>3.4296382176686699</v>
      </c>
      <c r="CT75" s="1"/>
      <c r="CU75" s="1"/>
      <c r="CY75" s="14">
        <v>6.0416666666666661</v>
      </c>
    </row>
    <row r="76" spans="1:103" x14ac:dyDescent="0.25">
      <c r="A76" s="8">
        <f t="shared" si="4"/>
        <v>1909</v>
      </c>
      <c r="C76" s="1">
        <v>2.4038461538461542</v>
      </c>
      <c r="D76" s="1"/>
      <c r="E76" s="1">
        <v>5.5692552395209596</v>
      </c>
      <c r="F76" s="1"/>
      <c r="G76" s="1"/>
      <c r="H76" s="1"/>
      <c r="I76" s="1">
        <f>20*0.249997607128842</f>
        <v>4.9999521425768396</v>
      </c>
      <c r="J76" s="3"/>
      <c r="K76" s="1">
        <f>20*0.208333333333333</f>
        <v>4.1666666666666599</v>
      </c>
      <c r="L76" s="1"/>
      <c r="M76" s="1"/>
      <c r="N76" s="1"/>
      <c r="O76" s="1"/>
      <c r="P76" s="1"/>
      <c r="Q76" s="1"/>
      <c r="R76" s="3"/>
      <c r="T76" s="1"/>
      <c r="U76" s="1">
        <v>5.5481788133217256</v>
      </c>
      <c r="V76" s="1">
        <v>6.25</v>
      </c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M76" s="1">
        <v>3.3292996527205125</v>
      </c>
      <c r="AN76" s="1"/>
      <c r="AO76" s="1"/>
      <c r="AP76" s="1"/>
      <c r="AQ76" s="1"/>
      <c r="AR76" s="1"/>
      <c r="AS76" s="1"/>
      <c r="AT76" s="1"/>
      <c r="AU76" s="1"/>
      <c r="AV76" s="1">
        <v>3.5701395335244719</v>
      </c>
      <c r="AW76" s="1"/>
      <c r="AX76" s="1"/>
      <c r="AY76" s="3"/>
      <c r="AZ76" s="3"/>
      <c r="BA76" s="3"/>
      <c r="BB76" s="3"/>
      <c r="BC76" s="1"/>
      <c r="BD76" s="1"/>
      <c r="BE76" s="3">
        <f>(2.2046*30)*20*0.0046809388230997</f>
        <v>6.1917586376433604</v>
      </c>
      <c r="BF76" s="3">
        <f>(2.2046*30)*20*0.00651890482398957</f>
        <v>8.6229465449804454</v>
      </c>
      <c r="BG76" s="1"/>
      <c r="BH76" s="1"/>
      <c r="BI76" s="1"/>
      <c r="BJ76" s="1"/>
      <c r="BK76" s="3">
        <f>9*20*0.166666666666667*((2.2046*30)/110)</f>
        <v>18.037636363636398</v>
      </c>
      <c r="BL76" s="3">
        <f>9*20*0.111111111111111</f>
        <v>19.999999999999979</v>
      </c>
      <c r="BM76" s="1"/>
      <c r="BN76" s="1"/>
      <c r="BO76" s="1"/>
      <c r="BP76" s="1"/>
      <c r="BQ76" s="1"/>
      <c r="BR76" s="1"/>
      <c r="BS76" s="1">
        <f>(2.2046*30)*20*0.00153670501480752</f>
        <v>2.0326919253867954</v>
      </c>
      <c r="BT76" s="1"/>
      <c r="BU76" s="1"/>
      <c r="BV76" s="3">
        <f>(2.2046*30)*20*0.00106342159669736</f>
        <v>1.4066515512474003</v>
      </c>
      <c r="BW76" s="1"/>
      <c r="BX76" s="1"/>
      <c r="BY76" s="1">
        <f>(2.2046*30)*20*0.00148009079966648</f>
        <v>1.9578049061668334</v>
      </c>
      <c r="BZ76" s="3"/>
      <c r="CA76" s="1"/>
      <c r="CB76" s="1">
        <f>(2.2046*30)*20*0.00130040195262273</f>
        <v>1.7201196868512425</v>
      </c>
      <c r="CC76" s="3"/>
      <c r="CD76" s="1"/>
      <c r="CE76" s="1"/>
      <c r="CF76" s="1"/>
      <c r="CH76" s="14">
        <v>1.1073154608231122</v>
      </c>
      <c r="CI76" s="14">
        <v>5.7713438329119811</v>
      </c>
      <c r="CJ76" s="1"/>
      <c r="CK76" s="1"/>
      <c r="CL76" s="1">
        <f>20*9*0.0296296296296296</f>
        <v>5.3333333333333277</v>
      </c>
      <c r="CM76" s="1">
        <f>20*9*0.0825832055560566</f>
        <v>14.864977000090187</v>
      </c>
      <c r="CN76" s="1"/>
      <c r="CP76" s="1">
        <f>(2.2046*30)*20*(1/112)*0.595263157894737</f>
        <v>7.0302704887218077</v>
      </c>
      <c r="CR76" s="1"/>
      <c r="CS76" s="1">
        <f>(2.2046*30)*20*(1/112)*0.447365653591335</f>
        <v>5.2835481423613784</v>
      </c>
      <c r="CT76" s="1">
        <f>(2.2046*30)*20*(1/112)*0.452247191011236</f>
        <v>5.3412008426966304</v>
      </c>
      <c r="CU76" s="1"/>
      <c r="CY76" s="14">
        <v>6.208333333333333</v>
      </c>
    </row>
    <row r="77" spans="1:103" x14ac:dyDescent="0.25">
      <c r="A77" s="8">
        <f t="shared" si="4"/>
        <v>1910</v>
      </c>
      <c r="C77" s="1">
        <v>2.0512820512820515</v>
      </c>
      <c r="D77" s="1"/>
      <c r="E77" s="1">
        <v>5.0535834580838337</v>
      </c>
      <c r="F77" s="1"/>
      <c r="G77" s="1"/>
      <c r="H77" s="1"/>
      <c r="I77" s="1">
        <f>20*0.25</f>
        <v>5</v>
      </c>
      <c r="J77" s="3"/>
      <c r="K77" s="1"/>
      <c r="L77" s="1"/>
      <c r="M77" s="1"/>
      <c r="N77" s="1"/>
      <c r="O77" s="1"/>
      <c r="P77" s="1"/>
      <c r="Q77" s="1"/>
      <c r="R77" s="1"/>
      <c r="T77" s="3"/>
      <c r="U77" s="3">
        <v>4.7657595172225689</v>
      </c>
      <c r="V77" s="1">
        <v>6.25</v>
      </c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0"/>
      <c r="AI77" s="1"/>
      <c r="AJ77" s="1"/>
      <c r="AK77" s="1"/>
      <c r="AL77" s="1">
        <f>(20*2.2046*30)*(1/2240)*12.1794871794872</f>
        <v>7.1922046703296818</v>
      </c>
      <c r="AM77" s="1"/>
      <c r="AN77" s="1"/>
      <c r="AO77" s="1"/>
      <c r="AP77" s="1"/>
      <c r="AQ77" s="1"/>
      <c r="AR77" s="1"/>
      <c r="AS77" s="1">
        <v>3.4123059173358286</v>
      </c>
      <c r="AT77" s="1"/>
      <c r="AU77" s="1"/>
      <c r="AV77" s="1">
        <v>3.6906749012284576</v>
      </c>
      <c r="AW77" s="1"/>
      <c r="AX77" s="1"/>
      <c r="AY77" s="3">
        <f>9*20*0.173737373737374*((2.2046*30)/(1.579*112))</f>
        <v>11.695442619445172</v>
      </c>
      <c r="AZ77" s="3"/>
      <c r="BA77" s="3"/>
      <c r="BB77" s="3"/>
      <c r="BC77" s="1"/>
      <c r="BD77" s="1"/>
      <c r="BE77" s="3">
        <f>(2.2046*30)*20*0.00437375434145043</f>
        <v>5.7854272926969719</v>
      </c>
      <c r="BF77" s="3">
        <f>(2.2046*30)*20*0.00493096646942801</f>
        <v>6.522485207100595</v>
      </c>
      <c r="BG77" s="1"/>
      <c r="BH77" s="1">
        <f>(2.2046*30)*20*(1/112)*1</f>
        <v>11.810357142857145</v>
      </c>
      <c r="BI77" s="1"/>
      <c r="BJ77" s="1"/>
      <c r="BK77" s="3">
        <f>9*20*0.122222222222222*((2.2046*30)/110)</f>
        <v>13.227599999999978</v>
      </c>
      <c r="BL77" s="3">
        <f>9*20*0.0833333333333333</f>
        <v>14.999999999999995</v>
      </c>
      <c r="BM77" s="3"/>
      <c r="BN77" s="1"/>
      <c r="BO77" s="1"/>
      <c r="BP77" s="1"/>
      <c r="BQ77" s="1"/>
      <c r="BR77" s="1"/>
      <c r="BS77" s="1">
        <f>(2.2046*30)*20*0.00122968453231339</f>
        <v>1.62657751196286</v>
      </c>
      <c r="BT77" s="1"/>
      <c r="BU77" s="1"/>
      <c r="BV77" s="3">
        <f>(2.2046*30)*20*0.000806066017426895</f>
        <v>1.0662318852116</v>
      </c>
      <c r="BW77" s="1"/>
      <c r="BX77" s="1"/>
      <c r="BY77" s="1">
        <f>(2.2046*30)*20*0.00145009407818943</f>
        <v>1.9181264428658509</v>
      </c>
      <c r="BZ77" s="3"/>
      <c r="CA77" s="1"/>
      <c r="CB77" s="1">
        <f>(2.2046*30)*20*0.00104064700469058</f>
        <v>1.3765262319245117</v>
      </c>
      <c r="CC77" s="3"/>
      <c r="CD77" s="1"/>
      <c r="CE77" s="1"/>
      <c r="CF77" s="3"/>
      <c r="CH77" s="14">
        <v>0.74018576711775508</v>
      </c>
      <c r="CI77" s="14">
        <v>5.0176803581456255</v>
      </c>
      <c r="CJ77" s="1"/>
      <c r="CK77" s="3">
        <f>20*9*0.0297346716464364</f>
        <v>5.3522408963585519</v>
      </c>
      <c r="CL77" s="1">
        <f>20*9*0.0296159734351079</f>
        <v>5.3308752183194219</v>
      </c>
      <c r="CM77" s="1">
        <f>20*9*0.0343711340206186</f>
        <v>6.1868041237113482</v>
      </c>
      <c r="CN77" s="1"/>
      <c r="CQ77" s="1"/>
      <c r="CR77" s="1"/>
      <c r="CS77" s="1">
        <f>(2.2046*30)*20*(1/112)*0.458891337514833</f>
        <v>5.4196705858135772</v>
      </c>
      <c r="CT77" s="1">
        <f>(2.2046*30)*20*(1/112)*0.432705248990579</f>
        <v>5.1104035281676641</v>
      </c>
      <c r="CU77" s="1"/>
      <c r="CY77" s="14">
        <v>6.333333333333333</v>
      </c>
    </row>
    <row r="78" spans="1:103" x14ac:dyDescent="0.25">
      <c r="A78" s="8">
        <f t="shared" si="4"/>
        <v>1911</v>
      </c>
      <c r="C78" s="1">
        <v>1.846153846153846</v>
      </c>
      <c r="D78" s="1"/>
      <c r="E78" s="1">
        <v>4.4554041916167666</v>
      </c>
      <c r="F78" s="1"/>
      <c r="G78" s="1"/>
      <c r="H78" s="1"/>
      <c r="I78" s="1">
        <f>20*0.274995006990214</f>
        <v>5.4999001398042804</v>
      </c>
      <c r="J78" s="3"/>
      <c r="K78" s="3"/>
      <c r="L78" s="1"/>
      <c r="M78" s="1"/>
      <c r="N78" s="1"/>
      <c r="O78" s="1"/>
      <c r="P78" s="1"/>
      <c r="Q78" s="1"/>
      <c r="R78" s="3"/>
      <c r="T78" s="3"/>
      <c r="U78" s="3">
        <v>4.9101057030527935</v>
      </c>
      <c r="V78" s="1">
        <v>6.6666666666666661</v>
      </c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>
        <v>3.6541612003154342</v>
      </c>
      <c r="AW78" s="1"/>
      <c r="AX78" s="1"/>
      <c r="AY78" s="3">
        <f>9*20*0.232804232804233*((2.2046*30)/(1.579*112))</f>
        <v>15.671634074782558</v>
      </c>
      <c r="AZ78" s="3"/>
      <c r="BA78" s="3"/>
      <c r="BB78" s="3"/>
      <c r="BC78" s="1"/>
      <c r="BD78" s="1"/>
      <c r="BE78" s="3">
        <f>(2.2046*30)*20*0.00514026742125887</f>
        <v>6.7993401341443844</v>
      </c>
      <c r="BF78" s="3">
        <f>(2.2046*30)*20*0.00615384615384615</f>
        <v>8.140061538461536</v>
      </c>
      <c r="BG78" s="1"/>
      <c r="BH78" s="1">
        <f>(2.2046*30)*20*(1/112)*1.1125</f>
        <v>13.139022321428573</v>
      </c>
      <c r="BI78" s="1"/>
      <c r="BJ78" s="1"/>
      <c r="BK78" s="3">
        <f>9*20*0.116666666666667*((2.2046*30)/110)</f>
        <v>12.626345454545492</v>
      </c>
      <c r="BL78" s="1"/>
      <c r="BM78" s="3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CA78" s="1"/>
      <c r="CB78" s="1"/>
      <c r="CC78" s="1"/>
      <c r="CD78" s="1"/>
      <c r="CE78" s="1"/>
      <c r="CF78" s="3"/>
      <c r="CH78" s="14">
        <v>1.1204900060273351</v>
      </c>
      <c r="CI78" s="14">
        <v>5.3282042244656491</v>
      </c>
      <c r="CJ78" s="1"/>
      <c r="CK78" s="3">
        <f>20*9*0.0291704545454545</f>
        <v>5.2506818181818096</v>
      </c>
      <c r="CL78" s="1">
        <f>20*9*0.0333349236641221</f>
        <v>6.0002862595419781</v>
      </c>
      <c r="CM78" s="1">
        <f>20*9*0.0281283290994018</f>
        <v>5.0630992378923239</v>
      </c>
      <c r="CN78" s="1"/>
      <c r="CQ78" s="1"/>
      <c r="CR78" s="1"/>
      <c r="CS78" s="1">
        <f>(2.2046*30)*20*(1/112)*0.403261085702923</f>
        <v>4.7626574439678437</v>
      </c>
      <c r="CT78" s="1">
        <f>(2.2046*30)*20*(1/112)*0.373679935012185</f>
        <v>4.4132934896135527</v>
      </c>
      <c r="CU78" s="1"/>
      <c r="CY78" s="14">
        <v>6.4166666666666661</v>
      </c>
    </row>
    <row r="79" spans="1:103" x14ac:dyDescent="0.25">
      <c r="A79" s="8">
        <f t="shared" si="4"/>
        <v>1912</v>
      </c>
      <c r="C79" s="1">
        <v>2.2179487179487181</v>
      </c>
      <c r="D79" s="1"/>
      <c r="E79" s="1">
        <v>3.7953443113772463</v>
      </c>
      <c r="F79" s="1"/>
      <c r="G79" s="1"/>
      <c r="H79" s="1"/>
      <c r="I79" s="1">
        <f>20*0.275</f>
        <v>5.5</v>
      </c>
      <c r="J79" s="3"/>
      <c r="K79" s="3">
        <f>20*0.26873207114171</f>
        <v>5.3746414228342001</v>
      </c>
      <c r="L79" s="1"/>
      <c r="M79" s="1"/>
      <c r="N79" s="1"/>
      <c r="O79" s="1"/>
      <c r="P79" s="1"/>
      <c r="Q79" s="1"/>
      <c r="R79" s="3"/>
      <c r="T79" s="3"/>
      <c r="U79" s="3">
        <v>5.668594024998086</v>
      </c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>
        <v>4.3872786037369318</v>
      </c>
      <c r="AW79" s="1"/>
      <c r="AX79" s="1"/>
      <c r="AY79" s="3">
        <f>9*20*0.202020202020202*((2.2046*30)/(1.579*112))</f>
        <v>13.59935188307576</v>
      </c>
      <c r="AZ79" s="3"/>
      <c r="BA79" s="3"/>
      <c r="BB79" s="16">
        <f>(2.2046*30)*20*0.0152014652014652</f>
        <v>20.107890109890111</v>
      </c>
      <c r="BC79" s="1"/>
      <c r="BD79" s="1"/>
      <c r="BE79" s="1">
        <f>(2.2046*30)*20*0.00535329408488397</f>
        <v>7.081123283721122</v>
      </c>
      <c r="BF79" s="1">
        <f>(2.2046*30)*20*0.0140868690256582</f>
        <v>18.633546872379643</v>
      </c>
      <c r="BG79" s="1"/>
      <c r="BH79" s="1">
        <f>(2.2046*30)*20*(1/112)*1.04347826086957</f>
        <v>12.323850931677077</v>
      </c>
      <c r="BI79" s="3"/>
      <c r="BJ79" s="1"/>
      <c r="BK79" s="3">
        <f>9*20*0.277777777777778*((2.2046*30)/110)</f>
        <v>30.062727272727301</v>
      </c>
      <c r="BL79" s="1"/>
      <c r="BM79" s="3"/>
      <c r="BN79" s="3">
        <f>(2.2046*30)*20*0.0177317056536861</f>
        <v>23.454790970469826</v>
      </c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H79" s="14">
        <v>1.6280624019200589</v>
      </c>
      <c r="CI79" s="14">
        <v>6.1208884533725305</v>
      </c>
      <c r="CJ79" s="1"/>
      <c r="CK79" s="3">
        <f>20*9*0.0314433962264151</f>
        <v>5.6598113207547183</v>
      </c>
      <c r="CL79" s="1">
        <f>20*9*0.0333333333333333</f>
        <v>5.9999999999999938</v>
      </c>
      <c r="CM79" s="1"/>
      <c r="CN79" s="1"/>
      <c r="CO79" s="1"/>
      <c r="CP79" s="1"/>
      <c r="CQ79" s="1"/>
      <c r="CR79" s="1"/>
      <c r="CS79" s="1">
        <f>(2.2046*30)*20*(1/112)*0.445089828447926</f>
        <v>5.2566698346230236</v>
      </c>
      <c r="CT79" s="1">
        <f>(2.2046*30)*20*(1/112)*0.472868217054264</f>
        <v>5.5847425249169493</v>
      </c>
      <c r="CU79" s="1"/>
      <c r="CY79" s="14">
        <v>6.333333333333333</v>
      </c>
    </row>
    <row r="80" spans="1:103" x14ac:dyDescent="0.25">
      <c r="A80" s="8">
        <f t="shared" si="4"/>
        <v>1913</v>
      </c>
      <c r="C80" s="1">
        <v>2.6217948717948718</v>
      </c>
      <c r="D80" s="1"/>
      <c r="E80" s="1">
        <v>4.5860410429141725</v>
      </c>
      <c r="F80" s="1"/>
      <c r="G80" s="1"/>
      <c r="H80" s="1"/>
      <c r="I80" s="1">
        <f>20*0.274999248504524</f>
        <v>5.4999849700904804</v>
      </c>
      <c r="J80" s="3"/>
      <c r="K80" s="3">
        <f>9*20*0.0716332378223496</f>
        <v>12.893982808022926</v>
      </c>
      <c r="M80" s="1"/>
      <c r="N80" s="1"/>
      <c r="O80" s="1"/>
      <c r="P80" s="1"/>
      <c r="Q80" s="1"/>
      <c r="R80" s="3"/>
      <c r="T80" s="3"/>
      <c r="U80" s="3">
        <v>6.4117614391741897</v>
      </c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>
        <v>4.2905552504921936</v>
      </c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H80" s="14">
        <v>2.2073665920367449</v>
      </c>
      <c r="CI80" s="14">
        <v>6.7270274134077548</v>
      </c>
      <c r="CJ80" s="1"/>
      <c r="CK80" s="3">
        <f>20*9*0.0333333333333333</f>
        <v>5.9999999999999938</v>
      </c>
      <c r="CL80" s="1">
        <f>20*9*0.0375035460992908</f>
        <v>6.7506382978723449</v>
      </c>
      <c r="CM80" s="1"/>
      <c r="CN80" s="1"/>
      <c r="CO80" s="1"/>
      <c r="CP80" s="1"/>
      <c r="CQ80" s="1"/>
      <c r="CR80" s="1"/>
      <c r="CT80" s="1"/>
      <c r="CU80" s="1"/>
      <c r="CY80" s="14">
        <v>6.333333333333333</v>
      </c>
    </row>
    <row r="81" spans="1:103" x14ac:dyDescent="0.25">
      <c r="A81" s="8">
        <f t="shared" si="4"/>
        <v>1914</v>
      </c>
      <c r="C81" s="1">
        <v>2.5641025641025643</v>
      </c>
      <c r="D81" s="1"/>
      <c r="E81" s="1">
        <v>5.0879615768463085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4">
        <v>1.8591272024468575</v>
      </c>
      <c r="CI81" s="14">
        <v>6.4196166865283972</v>
      </c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Y81" s="14">
        <v>6.6666666666666661</v>
      </c>
    </row>
    <row r="82" spans="1:103" x14ac:dyDescent="0.25">
      <c r="A82" s="8">
        <f t="shared" si="4"/>
        <v>1915</v>
      </c>
      <c r="C82" s="1">
        <v>2.7371794871794872</v>
      </c>
      <c r="D82" s="1"/>
      <c r="E82" s="1">
        <v>4.9504491017964076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Y82" s="14">
        <v>6.6666666666666661</v>
      </c>
    </row>
    <row r="83" spans="1:103" x14ac:dyDescent="0.25">
      <c r="A83" s="8">
        <f t="shared" si="4"/>
        <v>1916</v>
      </c>
      <c r="C83" s="1">
        <v>3.7115384615384617</v>
      </c>
      <c r="D83" s="1"/>
      <c r="E83" s="1">
        <v>4.9848272205588833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Y83" s="14">
        <v>6.6666666666666661</v>
      </c>
    </row>
    <row r="84" spans="1:103" x14ac:dyDescent="0.25">
      <c r="A84" s="8">
        <f t="shared" si="4"/>
        <v>1917</v>
      </c>
      <c r="C84" s="1">
        <v>6.1025641025641031</v>
      </c>
      <c r="D84" s="1"/>
      <c r="E84" s="1">
        <v>5.0192053393213572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Y84" s="14">
        <v>8.75</v>
      </c>
    </row>
    <row r="85" spans="1:103" x14ac:dyDescent="0.25">
      <c r="A85" s="8">
        <f t="shared" si="4"/>
        <v>1918</v>
      </c>
      <c r="C85" s="1">
        <v>8.8333333333333339</v>
      </c>
      <c r="D85" s="1"/>
      <c r="E85" s="1">
        <v>5.1223396956087832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Y85" s="14">
        <v>10.5</v>
      </c>
    </row>
    <row r="86" spans="1:103" x14ac:dyDescent="0.25">
      <c r="A86" s="8">
        <f t="shared" si="4"/>
        <v>1919</v>
      </c>
      <c r="C86" s="1">
        <v>6.1923076923076925</v>
      </c>
      <c r="D86" s="1"/>
      <c r="E86" s="1">
        <v>6.9925093562874254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Y86" s="14">
        <v>14.166666666666666</v>
      </c>
    </row>
    <row r="87" spans="1:103" x14ac:dyDescent="0.25">
      <c r="A87" s="8">
        <f t="shared" si="4"/>
        <v>1920</v>
      </c>
      <c r="C87" s="1">
        <v>11.262820512820513</v>
      </c>
      <c r="D87" s="1"/>
      <c r="E87" s="1">
        <v>8.2644997504990041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Y87" s="14">
        <v>14.333333333333332</v>
      </c>
    </row>
    <row r="88" spans="1:103" x14ac:dyDescent="0.25">
      <c r="A88" s="8">
        <f t="shared" si="4"/>
        <v>1921</v>
      </c>
      <c r="C88" s="1"/>
      <c r="D88" s="1"/>
      <c r="E88" s="1">
        <v>10.860047717065868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Y88" s="14">
        <v>14.333333333333332</v>
      </c>
    </row>
    <row r="89" spans="1:103" x14ac:dyDescent="0.25">
      <c r="A89" s="8">
        <f t="shared" si="4"/>
        <v>1922</v>
      </c>
      <c r="C89" s="1"/>
      <c r="D89" s="1"/>
      <c r="E89" s="1">
        <v>10.01778380738523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</row>
    <row r="90" spans="1:103" x14ac:dyDescent="0.25">
      <c r="A90" s="8">
        <f t="shared" si="4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</row>
    <row r="91" spans="1:103" x14ac:dyDescent="0.25">
      <c r="A91" s="8">
        <f t="shared" si="4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</row>
    <row r="92" spans="1:103" x14ac:dyDescent="0.25">
      <c r="A92" s="8">
        <f t="shared" si="4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</row>
    <row r="93" spans="1:103" hidden="1" x14ac:dyDescent="0.25">
      <c r="A93" s="8">
        <f t="shared" si="4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103" hidden="1" x14ac:dyDescent="0.25">
      <c r="A94" s="8">
        <f t="shared" si="4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103" hidden="1" x14ac:dyDescent="0.25">
      <c r="A95" s="8">
        <f t="shared" si="4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103" hidden="1" x14ac:dyDescent="0.25">
      <c r="A96" s="8">
        <f t="shared" si="4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hidden="1" x14ac:dyDescent="0.25">
      <c r="A97" s="8">
        <f t="shared" si="4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hidden="1" x14ac:dyDescent="0.25">
      <c r="A98" s="8">
        <f t="shared" si="4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hidden="1" x14ac:dyDescent="0.25">
      <c r="A99" s="8">
        <f t="shared" si="4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hidden="1" x14ac:dyDescent="0.25">
      <c r="A100" s="8">
        <f t="shared" si="4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hidden="1" x14ac:dyDescent="0.25">
      <c r="A101" s="8">
        <f t="shared" si="4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hidden="1" x14ac:dyDescent="0.25">
      <c r="A102" s="8">
        <f t="shared" si="4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hidden="1" x14ac:dyDescent="0.25">
      <c r="A103" s="8">
        <f t="shared" si="4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hidden="1" x14ac:dyDescent="0.25">
      <c r="A104" s="8">
        <f t="shared" ref="A104:A135" si="5">A103+1</f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hidden="1" x14ac:dyDescent="0.25">
      <c r="A105" s="8">
        <f t="shared" si="5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idden="1" x14ac:dyDescent="0.25">
      <c r="A106" s="8">
        <f t="shared" si="5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</row>
    <row r="107" spans="1:99" hidden="1" x14ac:dyDescent="0.25">
      <c r="A107" s="8">
        <f t="shared" si="5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</row>
    <row r="108" spans="1:99" hidden="1" x14ac:dyDescent="0.25">
      <c r="A108" s="8">
        <f t="shared" si="5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</row>
    <row r="109" spans="1:99" hidden="1" x14ac:dyDescent="0.25">
      <c r="A109" s="8">
        <f t="shared" si="5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</row>
    <row r="110" spans="1:99" hidden="1" x14ac:dyDescent="0.25">
      <c r="A110" s="8">
        <f t="shared" si="5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</row>
    <row r="111" spans="1:99" hidden="1" x14ac:dyDescent="0.25">
      <c r="A111" s="8">
        <f t="shared" si="5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</row>
    <row r="112" spans="1:99" hidden="1" x14ac:dyDescent="0.25">
      <c r="A112" s="8">
        <f t="shared" si="5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</row>
    <row r="113" spans="1:99" hidden="1" x14ac:dyDescent="0.25">
      <c r="A113" s="8">
        <f t="shared" si="5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</row>
    <row r="114" spans="1:99" hidden="1" x14ac:dyDescent="0.25">
      <c r="A114" s="8">
        <f t="shared" si="5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</row>
    <row r="115" spans="1:99" hidden="1" x14ac:dyDescent="0.25">
      <c r="A115" s="8">
        <f t="shared" si="5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</row>
    <row r="116" spans="1:99" hidden="1" x14ac:dyDescent="0.25">
      <c r="A116" s="8">
        <f t="shared" si="5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</row>
    <row r="117" spans="1:99" hidden="1" x14ac:dyDescent="0.25">
      <c r="A117" s="8">
        <f t="shared" si="5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</row>
    <row r="118" spans="1:99" hidden="1" x14ac:dyDescent="0.25">
      <c r="A118" s="8">
        <f t="shared" si="5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</row>
    <row r="119" spans="1:99" hidden="1" x14ac:dyDescent="0.25">
      <c r="A119" s="8">
        <f t="shared" si="5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</row>
    <row r="120" spans="1:99" hidden="1" x14ac:dyDescent="0.25">
      <c r="A120" s="8">
        <f t="shared" si="5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</row>
    <row r="121" spans="1:99" hidden="1" x14ac:dyDescent="0.25">
      <c r="A121" s="8">
        <f t="shared" si="5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</row>
    <row r="122" spans="1:99" hidden="1" x14ac:dyDescent="0.25">
      <c r="A122" s="8">
        <f t="shared" si="5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</row>
    <row r="123" spans="1:99" hidden="1" x14ac:dyDescent="0.25">
      <c r="A123" s="8">
        <f t="shared" si="5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</row>
    <row r="124" spans="1:99" hidden="1" x14ac:dyDescent="0.25">
      <c r="A124" s="8">
        <f t="shared" si="5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</row>
    <row r="125" spans="1:99" hidden="1" x14ac:dyDescent="0.25">
      <c r="A125" s="8">
        <f t="shared" si="5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</row>
    <row r="126" spans="1:99" hidden="1" x14ac:dyDescent="0.25">
      <c r="A126" s="8">
        <f t="shared" si="5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</row>
    <row r="127" spans="1:99" hidden="1" x14ac:dyDescent="0.25">
      <c r="A127" s="8">
        <f t="shared" si="5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</row>
    <row r="128" spans="1:99" hidden="1" x14ac:dyDescent="0.25">
      <c r="A128" s="8">
        <f t="shared" si="5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</row>
    <row r="129" spans="1:99" hidden="1" x14ac:dyDescent="0.25">
      <c r="A129" s="8">
        <f t="shared" si="5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</row>
    <row r="130" spans="1:99" hidden="1" x14ac:dyDescent="0.25">
      <c r="A130" s="8">
        <f t="shared" si="5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</row>
    <row r="131" spans="1:99" hidden="1" x14ac:dyDescent="0.25">
      <c r="A131" s="8">
        <f t="shared" si="5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</row>
    <row r="132" spans="1:99" hidden="1" x14ac:dyDescent="0.25">
      <c r="A132" s="8">
        <f t="shared" si="5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</row>
    <row r="133" spans="1:99" hidden="1" x14ac:dyDescent="0.25">
      <c r="A133" s="8">
        <f t="shared" si="5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</row>
    <row r="134" spans="1:99" hidden="1" x14ac:dyDescent="0.25">
      <c r="A134" s="8">
        <f t="shared" si="5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</row>
    <row r="135" spans="1:99" hidden="1" x14ac:dyDescent="0.25">
      <c r="A135" s="8">
        <f t="shared" si="5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</row>
    <row r="136" spans="1:99" hidden="1" x14ac:dyDescent="0.25">
      <c r="A136" s="8">
        <f t="shared" ref="A136:A145" si="6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</row>
    <row r="137" spans="1:99" hidden="1" x14ac:dyDescent="0.25">
      <c r="A137" s="8">
        <f t="shared" si="6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</row>
    <row r="138" spans="1:99" hidden="1" x14ac:dyDescent="0.25">
      <c r="A138" s="8">
        <f t="shared" si="6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</row>
    <row r="139" spans="1:99" hidden="1" x14ac:dyDescent="0.25">
      <c r="A139" s="8">
        <f t="shared" si="6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</row>
    <row r="140" spans="1:99" hidden="1" x14ac:dyDescent="0.25">
      <c r="A140" s="8">
        <f t="shared" si="6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</row>
    <row r="141" spans="1:99" hidden="1" x14ac:dyDescent="0.25">
      <c r="A141" s="8">
        <f t="shared" si="6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</row>
    <row r="142" spans="1:99" hidden="1" x14ac:dyDescent="0.25">
      <c r="A142" s="8">
        <f t="shared" si="6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</row>
    <row r="143" spans="1:99" hidden="1" x14ac:dyDescent="0.25">
      <c r="A143" s="8">
        <f t="shared" si="6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</row>
    <row r="144" spans="1:99" hidden="1" x14ac:dyDescent="0.25">
      <c r="A144" s="8">
        <f t="shared" si="6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</row>
    <row r="145" spans="1:99" hidden="1" x14ac:dyDescent="0.25">
      <c r="A145" s="8">
        <f t="shared" si="6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</row>
    <row r="146" spans="1:99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</row>
    <row r="147" spans="1:99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</row>
    <row r="148" spans="1:99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</row>
    <row r="149" spans="1:99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</row>
    <row r="150" spans="1:99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</row>
    <row r="151" spans="1:99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</row>
    <row r="152" spans="1:99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</row>
    <row r="153" spans="1:99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</row>
    <row r="154" spans="1:99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</row>
    <row r="155" spans="1:99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</row>
    <row r="156" spans="1:99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</row>
    <row r="157" spans="1:99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</row>
    <row r="158" spans="1:99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</row>
    <row r="159" spans="1:99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</row>
    <row r="160" spans="1:99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</row>
    <row r="161" spans="3:99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</row>
    <row r="162" spans="3:99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</row>
    <row r="163" spans="3:99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</row>
    <row r="164" spans="3:99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</row>
    <row r="165" spans="3:99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</row>
    <row r="166" spans="3:99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</row>
    <row r="167" spans="3:99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</row>
    <row r="168" spans="3:99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</row>
    <row r="169" spans="3:99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</row>
    <row r="170" spans="3:99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</row>
    <row r="171" spans="3:99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</row>
    <row r="172" spans="3:99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</row>
    <row r="173" spans="3:99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</row>
    <row r="174" spans="3:99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</row>
    <row r="175" spans="3:99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</row>
    <row r="176" spans="3:99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</row>
    <row r="177" spans="3:99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</row>
    <row r="178" spans="3:99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</row>
    <row r="179" spans="3:99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</row>
    <row r="180" spans="3:99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</row>
    <row r="181" spans="3:99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</row>
    <row r="182" spans="3:99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</row>
    <row r="183" spans="3:99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</row>
    <row r="184" spans="3:99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</row>
    <row r="185" spans="3:99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</row>
    <row r="186" spans="3:99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</row>
    <row r="187" spans="3:99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</row>
    <row r="188" spans="3:99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</row>
    <row r="189" spans="3:99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</row>
    <row r="190" spans="3:99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</row>
    <row r="191" spans="3:99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</row>
    <row r="192" spans="3:99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</row>
    <row r="193" spans="3:99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</row>
    <row r="194" spans="3:99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</row>
    <row r="195" spans="3:99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</row>
    <row r="196" spans="3:99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</row>
    <row r="197" spans="3:99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</row>
    <row r="198" spans="3:99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</row>
    <row r="199" spans="3:99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</row>
    <row r="200" spans="3:99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</row>
    <row r="201" spans="3:99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</row>
    <row r="202" spans="3:99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</row>
    <row r="203" spans="3:99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</row>
    <row r="204" spans="3:99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</row>
    <row r="205" spans="3:99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</row>
    <row r="206" spans="3:99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</row>
    <row r="207" spans="3:99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</row>
    <row r="208" spans="3:99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</row>
    <row r="209" spans="3:99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</row>
    <row r="210" spans="3:99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</row>
    <row r="211" spans="3:99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</row>
    <row r="212" spans="3:99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</row>
    <row r="213" spans="3:99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</row>
    <row r="214" spans="3:99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</row>
    <row r="215" spans="3:99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</row>
    <row r="216" spans="3:99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</row>
    <row r="217" spans="3:99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</row>
    <row r="218" spans="3:99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</row>
    <row r="219" spans="3:99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</row>
    <row r="220" spans="3:99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</row>
    <row r="221" spans="3:99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</row>
    <row r="222" spans="3:99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</row>
    <row r="223" spans="3:99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</row>
    <row r="224" spans="3:99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</row>
    <row r="225" spans="3:99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</row>
    <row r="226" spans="3:99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</row>
    <row r="227" spans="3:99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</row>
    <row r="228" spans="3:99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</row>
    <row r="229" spans="3:99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</row>
    <row r="230" spans="3:99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</row>
    <row r="231" spans="3:99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</row>
    <row r="232" spans="3:99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</row>
    <row r="233" spans="3:99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</row>
    <row r="234" spans="3:99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</row>
    <row r="235" spans="3:99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</row>
    <row r="236" spans="3:99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</row>
    <row r="237" spans="3:99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</row>
    <row r="238" spans="3:99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</row>
    <row r="239" spans="3:99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</row>
    <row r="240" spans="3:99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</row>
    <row r="241" spans="3:99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</row>
    <row r="242" spans="3:99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</row>
    <row r="243" spans="3:99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</row>
    <row r="244" spans="3:99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</row>
    <row r="245" spans="3:99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</row>
    <row r="246" spans="3:99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</row>
    <row r="247" spans="3:99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</row>
    <row r="248" spans="3:99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</row>
    <row r="249" spans="3:99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</row>
    <row r="250" spans="3:99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</row>
    <row r="251" spans="3:99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</row>
    <row r="252" spans="3:99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</row>
    <row r="253" spans="3:99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</row>
    <row r="254" spans="3:99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</row>
    <row r="255" spans="3:99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</row>
    <row r="256" spans="3:99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</row>
    <row r="257" spans="3:99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</row>
    <row r="258" spans="3:99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</row>
    <row r="259" spans="3:99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</row>
    <row r="260" spans="3:99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</row>
    <row r="261" spans="3:99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</row>
    <row r="262" spans="3:99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</row>
    <row r="263" spans="3:99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</row>
    <row r="264" spans="3:99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</row>
    <row r="265" spans="3:99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</row>
    <row r="266" spans="3:99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</row>
    <row r="267" spans="3:99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</row>
    <row r="268" spans="3:99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</row>
    <row r="269" spans="3:99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</row>
    <row r="270" spans="3:99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</row>
    <row r="271" spans="3:99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</row>
    <row r="272" spans="3:99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</row>
    <row r="273" spans="3:99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</row>
    <row r="274" spans="3:99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</row>
    <row r="275" spans="3:99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</row>
    <row r="276" spans="3:99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</row>
    <row r="277" spans="3:99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</row>
    <row r="278" spans="3:99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</row>
    <row r="279" spans="3:99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</row>
    <row r="280" spans="3:99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</row>
    <row r="281" spans="3:99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</row>
    <row r="282" spans="3:99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</row>
    <row r="283" spans="3:99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</row>
    <row r="284" spans="3:99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</row>
    <row r="285" spans="3:99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</row>
    <row r="286" spans="3:99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</row>
    <row r="287" spans="3:99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</row>
    <row r="288" spans="3:99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</row>
    <row r="289" spans="3:99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</row>
    <row r="290" spans="3:99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</row>
    <row r="291" spans="3:99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</row>
    <row r="292" spans="3:99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</row>
    <row r="293" spans="3:99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</row>
    <row r="294" spans="3:99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</row>
    <row r="295" spans="3:99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</row>
    <row r="296" spans="3:99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</row>
    <row r="297" spans="3:99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</row>
    <row r="298" spans="3:99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</row>
    <row r="299" spans="3:99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</row>
    <row r="300" spans="3:99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</row>
    <row r="301" spans="3:99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</row>
    <row r="302" spans="3:99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</row>
    <row r="303" spans="3:99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</row>
    <row r="304" spans="3:99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</row>
    <row r="305" spans="3:99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</row>
    <row r="306" spans="3:99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</row>
    <row r="307" spans="3:99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</row>
    <row r="308" spans="3:99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</row>
    <row r="309" spans="3:99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</row>
    <row r="310" spans="3:99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</row>
    <row r="311" spans="3:99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</row>
    <row r="312" spans="3:99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</row>
    <row r="313" spans="3:99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zoomScale="40" zoomScaleNormal="40" zoomScaleSheetLayoutView="30" workbookViewId="0">
      <selection activeCell="W983" sqref="W983"/>
    </sheetView>
  </sheetViews>
  <sheetFormatPr defaultRowHeight="13.2" x14ac:dyDescent="0.25"/>
  <sheetData/>
  <pageMargins left="0.7" right="0.7" top="0.75" bottom="0.75" header="0.3" footer="0.3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showZeros="0" zoomScale="50" zoomScaleNormal="50" workbookViewId="0">
      <selection activeCell="W63" sqref="W63"/>
    </sheetView>
  </sheetViews>
  <sheetFormatPr defaultRowHeight="13.2" x14ac:dyDescent="0.25"/>
  <sheetData/>
  <pageMargins left="0.7" right="0.7" top="0.75" bottom="0.75" header="0.3" footer="0.3"/>
  <pageSetup orientation="portrait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AU313"/>
  <sheetViews>
    <sheetView zoomScale="60" zoomScaleNormal="60" workbookViewId="0">
      <pane xSplit="2" ySplit="5" topLeftCell="C27" activePane="bottomRight" state="frozen"/>
      <selection activeCell="CE20" sqref="CE20"/>
      <selection pane="topRight" activeCell="CE20" sqref="CE20"/>
      <selection pane="bottomLeft" activeCell="CE20" sqref="CE20"/>
      <selection pane="bottomRight" activeCell="B27" sqref="B27"/>
    </sheetView>
  </sheetViews>
  <sheetFormatPr defaultRowHeight="13.2" x14ac:dyDescent="0.25"/>
  <cols>
    <col min="2" max="2" width="12.33203125" bestFit="1" customWidth="1"/>
    <col min="3" max="3" width="12" customWidth="1"/>
    <col min="4" max="4" width="14.77734375" customWidth="1"/>
    <col min="5" max="10" width="12" customWidth="1"/>
    <col min="11" max="11" width="11.33203125" customWidth="1"/>
    <col min="12" max="15" width="12" customWidth="1"/>
    <col min="16" max="16" width="13.44140625" customWidth="1"/>
    <col min="17" max="31" width="12" customWidth="1"/>
    <col min="32" max="32" width="20.33203125" customWidth="1"/>
    <col min="33" max="41" width="12" customWidth="1"/>
    <col min="42" max="42" width="15.88671875" customWidth="1"/>
    <col min="43" max="43" width="12" customWidth="1"/>
    <col min="44" max="44" width="12.88671875" customWidth="1"/>
    <col min="45" max="45" width="12" customWidth="1"/>
    <col min="46" max="46" width="13.5546875" customWidth="1"/>
    <col min="47" max="47" width="14" customWidth="1"/>
  </cols>
  <sheetData>
    <row r="1" spans="1:47" s="13" customFormat="1" x14ac:dyDescent="0.25"/>
    <row r="2" spans="1:47" s="2" customFormat="1" ht="39" customHeight="1" x14ac:dyDescent="0.25">
      <c r="B2" s="5" t="s">
        <v>31</v>
      </c>
      <c r="C2" s="7" t="s">
        <v>1</v>
      </c>
      <c r="D2" s="7" t="s">
        <v>63</v>
      </c>
      <c r="E2" s="7" t="s">
        <v>0</v>
      </c>
      <c r="F2" s="7" t="s">
        <v>24</v>
      </c>
      <c r="G2" s="7" t="s">
        <v>24</v>
      </c>
      <c r="H2" s="7" t="s">
        <v>24</v>
      </c>
      <c r="I2" s="7" t="s">
        <v>25</v>
      </c>
      <c r="J2" s="7" t="s">
        <v>26</v>
      </c>
      <c r="K2" s="7" t="s">
        <v>47</v>
      </c>
      <c r="L2" s="7" t="s">
        <v>2</v>
      </c>
      <c r="M2" s="7" t="s">
        <v>4</v>
      </c>
      <c r="N2" s="7" t="s">
        <v>4</v>
      </c>
      <c r="O2" s="7" t="s">
        <v>12</v>
      </c>
      <c r="P2" s="7" t="s">
        <v>12</v>
      </c>
      <c r="Q2" s="7" t="s">
        <v>28</v>
      </c>
      <c r="R2" s="7" t="s">
        <v>3</v>
      </c>
      <c r="S2" s="7" t="s">
        <v>9</v>
      </c>
      <c r="T2" s="7" t="s">
        <v>20</v>
      </c>
      <c r="U2" s="7" t="s">
        <v>36</v>
      </c>
      <c r="V2" s="7" t="s">
        <v>15</v>
      </c>
      <c r="W2" s="7" t="s">
        <v>15</v>
      </c>
      <c r="X2" s="7" t="s">
        <v>16</v>
      </c>
      <c r="Y2" s="7" t="s">
        <v>16</v>
      </c>
      <c r="Z2" s="7" t="s">
        <v>16</v>
      </c>
      <c r="AA2" s="7" t="s">
        <v>17</v>
      </c>
      <c r="AB2" s="7" t="s">
        <v>17</v>
      </c>
      <c r="AC2" s="7" t="s">
        <v>6</v>
      </c>
      <c r="AD2" s="7" t="s">
        <v>65</v>
      </c>
      <c r="AE2" s="7" t="s">
        <v>19</v>
      </c>
      <c r="AF2" s="7" t="s">
        <v>66</v>
      </c>
      <c r="AG2" s="7" t="s">
        <v>22</v>
      </c>
      <c r="AH2" s="7" t="s">
        <v>22</v>
      </c>
      <c r="AI2" s="7" t="s">
        <v>23</v>
      </c>
      <c r="AJ2" s="7" t="s">
        <v>45</v>
      </c>
      <c r="AK2" s="7" t="s">
        <v>46</v>
      </c>
      <c r="AL2" s="7" t="s">
        <v>5</v>
      </c>
      <c r="AM2" s="7" t="s">
        <v>5</v>
      </c>
      <c r="AN2" s="7" t="s">
        <v>5</v>
      </c>
      <c r="AO2" s="7" t="s">
        <v>27</v>
      </c>
      <c r="AP2" s="7" t="s">
        <v>27</v>
      </c>
      <c r="AQ2" s="7" t="s">
        <v>13</v>
      </c>
      <c r="AR2" s="7" t="s">
        <v>14</v>
      </c>
      <c r="AS2" s="7" t="s">
        <v>14</v>
      </c>
      <c r="AT2" s="7" t="s">
        <v>38</v>
      </c>
      <c r="AU2" s="7" t="s">
        <v>44</v>
      </c>
    </row>
    <row r="3" spans="1:47" ht="39.6" x14ac:dyDescent="0.25">
      <c r="B3" s="5" t="s">
        <v>33</v>
      </c>
      <c r="C3" s="7" t="s">
        <v>50</v>
      </c>
      <c r="D3" s="7" t="s">
        <v>50</v>
      </c>
      <c r="E3" s="7" t="s">
        <v>50</v>
      </c>
      <c r="F3" s="7" t="s">
        <v>51</v>
      </c>
      <c r="G3" s="7" t="s">
        <v>50</v>
      </c>
      <c r="H3" s="7" t="s">
        <v>51</v>
      </c>
      <c r="I3" s="7" t="s">
        <v>51</v>
      </c>
      <c r="J3" s="7" t="s">
        <v>51</v>
      </c>
      <c r="K3" s="7" t="s">
        <v>50</v>
      </c>
      <c r="L3" s="7" t="s">
        <v>51</v>
      </c>
      <c r="M3" s="7" t="s">
        <v>51</v>
      </c>
      <c r="N3" s="7" t="s">
        <v>51</v>
      </c>
      <c r="O3" s="7" t="s">
        <v>51</v>
      </c>
      <c r="P3" s="7" t="s">
        <v>62</v>
      </c>
      <c r="Q3" s="7" t="s">
        <v>51</v>
      </c>
      <c r="R3" s="7" t="s">
        <v>51</v>
      </c>
      <c r="S3" s="7" t="s">
        <v>51</v>
      </c>
      <c r="T3" s="7" t="s">
        <v>50</v>
      </c>
      <c r="U3" s="7" t="s">
        <v>50</v>
      </c>
      <c r="V3" s="7" t="s">
        <v>51</v>
      </c>
      <c r="W3" s="7" t="s">
        <v>51</v>
      </c>
      <c r="X3" s="7" t="s">
        <v>50</v>
      </c>
      <c r="Y3" s="7" t="s">
        <v>58</v>
      </c>
      <c r="Z3" s="7" t="s">
        <v>58</v>
      </c>
      <c r="AA3" s="7" t="s">
        <v>50</v>
      </c>
      <c r="AB3" s="7" t="s">
        <v>51</v>
      </c>
      <c r="AC3" s="7" t="s">
        <v>50</v>
      </c>
      <c r="AD3" s="7" t="s">
        <v>64</v>
      </c>
      <c r="AE3" s="7" t="s">
        <v>51</v>
      </c>
      <c r="AF3" s="7" t="s">
        <v>58</v>
      </c>
      <c r="AG3" s="7" t="s">
        <v>51</v>
      </c>
      <c r="AH3" s="7" t="s">
        <v>58</v>
      </c>
      <c r="AI3" s="7" t="s">
        <v>58</v>
      </c>
      <c r="AJ3" s="7" t="s">
        <v>50</v>
      </c>
      <c r="AK3" s="7" t="s">
        <v>50</v>
      </c>
      <c r="AL3" s="7" t="s">
        <v>51</v>
      </c>
      <c r="AM3" s="7" t="s">
        <v>50</v>
      </c>
      <c r="AN3" s="7" t="s">
        <v>50</v>
      </c>
      <c r="AO3" s="7" t="s">
        <v>57</v>
      </c>
      <c r="AP3" s="7" t="s">
        <v>50</v>
      </c>
      <c r="AQ3" s="7" t="s">
        <v>50</v>
      </c>
      <c r="AR3" s="7" t="s">
        <v>50</v>
      </c>
      <c r="AS3" s="7" t="s">
        <v>50</v>
      </c>
      <c r="AT3" s="7" t="s">
        <v>50</v>
      </c>
      <c r="AU3" s="7" t="s">
        <v>50</v>
      </c>
    </row>
    <row r="4" spans="1:47" s="2" customFormat="1" ht="27" customHeight="1" x14ac:dyDescent="0.25">
      <c r="B4" s="5" t="s">
        <v>32</v>
      </c>
      <c r="C4" s="5" t="s">
        <v>8</v>
      </c>
      <c r="D4" s="5"/>
      <c r="E4" s="5" t="s">
        <v>8</v>
      </c>
      <c r="F4" s="5" t="s">
        <v>8</v>
      </c>
      <c r="G4" s="5" t="s">
        <v>8</v>
      </c>
      <c r="H4" s="5" t="s">
        <v>10</v>
      </c>
      <c r="I4" s="5" t="s">
        <v>8</v>
      </c>
      <c r="J4" s="5" t="s">
        <v>10</v>
      </c>
      <c r="K4" s="5"/>
      <c r="L4" s="5" t="s">
        <v>8</v>
      </c>
      <c r="M4" s="5" t="s">
        <v>52</v>
      </c>
      <c r="N4" s="5" t="s">
        <v>53</v>
      </c>
      <c r="O4" s="5" t="s">
        <v>8</v>
      </c>
      <c r="P4" s="5" t="s">
        <v>8</v>
      </c>
      <c r="Q4" s="5" t="s">
        <v>8</v>
      </c>
      <c r="R4" s="5" t="s">
        <v>8</v>
      </c>
      <c r="S4" s="5" t="s">
        <v>8</v>
      </c>
      <c r="T4" s="5" t="s">
        <v>8</v>
      </c>
      <c r="U4" s="5" t="s">
        <v>8</v>
      </c>
      <c r="V4" s="5" t="s">
        <v>8</v>
      </c>
      <c r="W4" s="5" t="s">
        <v>7</v>
      </c>
      <c r="X4" s="5" t="s">
        <v>8</v>
      </c>
      <c r="Y4" s="5" t="s">
        <v>8</v>
      </c>
      <c r="Z4" s="5" t="s">
        <v>10</v>
      </c>
      <c r="AA4" s="5" t="s">
        <v>8</v>
      </c>
      <c r="AB4" s="5" t="s">
        <v>8</v>
      </c>
      <c r="AC4" s="5" t="s">
        <v>8</v>
      </c>
      <c r="AD4" s="5" t="s">
        <v>8</v>
      </c>
      <c r="AE4" s="5" t="s">
        <v>10</v>
      </c>
      <c r="AF4" s="5" t="s">
        <v>8</v>
      </c>
      <c r="AG4" s="5" t="s">
        <v>8</v>
      </c>
      <c r="AH4" s="5" t="s">
        <v>7</v>
      </c>
      <c r="AI4" s="5" t="s">
        <v>8</v>
      </c>
      <c r="AJ4" s="5"/>
      <c r="AK4" s="5"/>
      <c r="AL4" s="5" t="s">
        <v>8</v>
      </c>
      <c r="AM4" s="5" t="s">
        <v>8</v>
      </c>
      <c r="AN4" s="5" t="s">
        <v>7</v>
      </c>
      <c r="AO4" s="5" t="s">
        <v>8</v>
      </c>
      <c r="AP4" s="5" t="s">
        <v>7</v>
      </c>
      <c r="AQ4" s="5" t="s">
        <v>8</v>
      </c>
      <c r="AR4" s="5" t="s">
        <v>8</v>
      </c>
      <c r="AS4" s="5" t="s">
        <v>7</v>
      </c>
      <c r="AT4" s="5" t="s">
        <v>8</v>
      </c>
      <c r="AU4" s="5" t="s">
        <v>8</v>
      </c>
    </row>
    <row r="5" spans="1:47" s="9" customFormat="1" x14ac:dyDescent="0.25">
      <c r="A5" s="4" t="s">
        <v>35</v>
      </c>
      <c r="B5" s="4" t="s">
        <v>34</v>
      </c>
      <c r="C5" s="6" t="s">
        <v>49</v>
      </c>
      <c r="D5" s="6" t="s">
        <v>49</v>
      </c>
      <c r="E5" s="6" t="s">
        <v>49</v>
      </c>
      <c r="F5" s="6" t="s">
        <v>49</v>
      </c>
      <c r="G5" s="6" t="s">
        <v>49</v>
      </c>
      <c r="H5" s="6"/>
      <c r="I5" s="6" t="s">
        <v>49</v>
      </c>
      <c r="J5" s="6" t="s">
        <v>49</v>
      </c>
      <c r="K5" s="6" t="s">
        <v>49</v>
      </c>
      <c r="L5" s="6" t="s">
        <v>49</v>
      </c>
      <c r="M5" s="6" t="s">
        <v>49</v>
      </c>
      <c r="N5" s="6" t="s">
        <v>49</v>
      </c>
      <c r="O5" s="6" t="s">
        <v>49</v>
      </c>
      <c r="P5" s="6" t="s">
        <v>49</v>
      </c>
      <c r="Q5" s="6" t="s">
        <v>49</v>
      </c>
      <c r="R5" s="6" t="s">
        <v>49</v>
      </c>
      <c r="S5" s="6" t="s">
        <v>49</v>
      </c>
      <c r="T5" s="6" t="s">
        <v>49</v>
      </c>
      <c r="U5" s="6" t="s">
        <v>49</v>
      </c>
      <c r="V5" s="6" t="s">
        <v>49</v>
      </c>
      <c r="W5" s="6" t="s">
        <v>49</v>
      </c>
      <c r="X5" s="6" t="s">
        <v>49</v>
      </c>
      <c r="Y5" s="6" t="s">
        <v>49</v>
      </c>
      <c r="Z5" s="6" t="s">
        <v>49</v>
      </c>
      <c r="AA5" s="6" t="s">
        <v>49</v>
      </c>
      <c r="AB5" s="6" t="s">
        <v>49</v>
      </c>
      <c r="AC5" s="6" t="s">
        <v>49</v>
      </c>
      <c r="AD5" s="6" t="s">
        <v>49</v>
      </c>
      <c r="AE5" s="6" t="s">
        <v>49</v>
      </c>
      <c r="AF5" s="6" t="s">
        <v>49</v>
      </c>
      <c r="AG5" s="6" t="s">
        <v>49</v>
      </c>
      <c r="AH5" s="6" t="s">
        <v>49</v>
      </c>
      <c r="AI5" s="6" t="s">
        <v>49</v>
      </c>
      <c r="AJ5" s="6" t="s">
        <v>49</v>
      </c>
      <c r="AK5" s="6" t="s">
        <v>49</v>
      </c>
      <c r="AL5" s="6" t="s">
        <v>49</v>
      </c>
      <c r="AM5" s="6" t="s">
        <v>49</v>
      </c>
      <c r="AN5" s="6" t="s">
        <v>49</v>
      </c>
      <c r="AO5" s="6" t="s">
        <v>49</v>
      </c>
      <c r="AP5" s="6" t="s">
        <v>49</v>
      </c>
      <c r="AQ5" s="6" t="s">
        <v>49</v>
      </c>
      <c r="AR5" s="6" t="s">
        <v>49</v>
      </c>
      <c r="AS5" s="6" t="s">
        <v>49</v>
      </c>
      <c r="AT5" s="6" t="s">
        <v>49</v>
      </c>
      <c r="AU5" s="6" t="s">
        <v>49</v>
      </c>
    </row>
    <row r="6" spans="1:47" s="2" customFormat="1" ht="54.6" hidden="1" customHeight="1" x14ac:dyDescent="0.25">
      <c r="A6" s="4" t="s">
        <v>35</v>
      </c>
      <c r="B6" s="5" t="s">
        <v>31</v>
      </c>
      <c r="C6" s="7" t="str">
        <f>CONCATENATE(C2,", ",C3,", ",C4,", ","in ",C5)</f>
        <v>UK, Kerosene, Imports, in s/case</v>
      </c>
      <c r="D6" s="7" t="str">
        <f t="shared" ref="D6:AU6" si="0">CONCATENATE(D2,", ",D3,", ",D4,", ","in ",D5)</f>
        <v>US, Kerosene, , in s/case</v>
      </c>
      <c r="E6" s="7" t="str">
        <f t="shared" si="0"/>
        <v>Baghdad, Kerosene, Imports, in s/case</v>
      </c>
      <c r="F6" s="7" t="str">
        <f t="shared" si="0"/>
        <v>Basrah, Petroleum, Imports, in s/case</v>
      </c>
      <c r="G6" s="7" t="str">
        <f t="shared" si="0"/>
        <v>Basrah, Kerosene, Imports, in s/case</v>
      </c>
      <c r="H6" s="7" t="str">
        <f t="shared" si="0"/>
        <v xml:space="preserve">Basrah, Petroleum, Bazaar (Local), in </v>
      </c>
      <c r="I6" s="7" t="str">
        <f t="shared" si="0"/>
        <v>Mosul, Petroleum, Imports, in s/case</v>
      </c>
      <c r="J6" s="7" t="str">
        <f t="shared" si="0"/>
        <v>Palestine, Petroleum, Bazaar (Local), in s/case</v>
      </c>
      <c r="K6" s="7" t="str">
        <f t="shared" si="0"/>
        <v>Jaffa, Kerosene, , in s/case</v>
      </c>
      <c r="L6" s="7" t="str">
        <f t="shared" si="0"/>
        <v>Damascus, Petroleum, Imports, in s/case</v>
      </c>
      <c r="M6" s="7" t="str">
        <f t="shared" si="0"/>
        <v>Beirut, Petroleum, Imports (from US), in s/case</v>
      </c>
      <c r="N6" s="7" t="str">
        <f t="shared" si="0"/>
        <v>Beirut, Petroleum, Imports (from Russia), in s/case</v>
      </c>
      <c r="O6" s="7" t="str">
        <f t="shared" si="0"/>
        <v>Constantinople, Petroleum, Imports, in s/case</v>
      </c>
      <c r="P6" s="7" t="str">
        <f t="shared" si="0"/>
        <v>Constantinople, Naphtha &amp; other mineral oils, Imports, in s/case</v>
      </c>
      <c r="Q6" s="7" t="str">
        <f t="shared" si="0"/>
        <v>Trebizond (Anatolia), Petroleum, Imports, in s/case</v>
      </c>
      <c r="R6" s="7" t="str">
        <f t="shared" si="0"/>
        <v>Izmir, Petroleum, Imports, in s/case</v>
      </c>
      <c r="S6" s="7" t="str">
        <f t="shared" si="0"/>
        <v>Alexandretta, Petroleum, Imports, in s/case</v>
      </c>
      <c r="T6" s="7" t="str">
        <f t="shared" si="0"/>
        <v>Ispahan, Kerosene, Imports, in s/case</v>
      </c>
      <c r="U6" s="7" t="str">
        <f t="shared" si="0"/>
        <v>Yezd, Kerosene, Imports, in s/case</v>
      </c>
      <c r="V6" s="7" t="str">
        <f t="shared" si="0"/>
        <v>Khorasan, Petroleum, Imports, in s/case</v>
      </c>
      <c r="W6" s="7" t="str">
        <f t="shared" si="0"/>
        <v>Khorasan, Petroleum, Exports, in s/case</v>
      </c>
      <c r="X6" s="7" t="str">
        <f t="shared" si="0"/>
        <v>Kermanshah, Kerosene, Imports, in s/case</v>
      </c>
      <c r="Y6" s="7" t="str">
        <f t="shared" si="0"/>
        <v>Kermanshah, Naphtha Oil, Imports, in s/case</v>
      </c>
      <c r="Z6" s="7" t="str">
        <f t="shared" si="0"/>
        <v>Kermanshah, Naphtha Oil, Bazaar (Local), in s/case</v>
      </c>
      <c r="AA6" s="7" t="str">
        <f t="shared" si="0"/>
        <v>Kerman, Kerosene, Imports, in s/case</v>
      </c>
      <c r="AB6" s="7" t="str">
        <f t="shared" si="0"/>
        <v>Kerman, Petroleum, Imports, in s/case</v>
      </c>
      <c r="AC6" s="7" t="str">
        <f t="shared" si="0"/>
        <v>Bam, Kerosene, Imports, in s/case</v>
      </c>
      <c r="AD6" s="7" t="str">
        <f t="shared" si="0"/>
        <v>Resht &amp; Mazandaran, Petroleum &amp; Kerosene, Imports, in s/case</v>
      </c>
      <c r="AE6" s="7" t="str">
        <f t="shared" si="0"/>
        <v>Resht, Petroleum, Bazaar (Local), in s/case</v>
      </c>
      <c r="AF6" s="7" t="str">
        <f t="shared" si="0"/>
        <v>Bender Gez &amp; Astarabad and Ghilan &amp; Tunekabun, Naphtha Oil, Imports, in s/case</v>
      </c>
      <c r="AG6" s="7" t="str">
        <f t="shared" si="0"/>
        <v>Bender Gez &amp; Astarabad, Petroleum, Imports, in s/case</v>
      </c>
      <c r="AH6" s="7" t="str">
        <f t="shared" si="0"/>
        <v>Bender Gez &amp; Astarabad, Naphtha Oil, Exports, in s/case</v>
      </c>
      <c r="AI6" s="7" t="str">
        <f t="shared" si="0"/>
        <v>Astara, Naphtha Oil, Imports, in s/case</v>
      </c>
      <c r="AJ6" s="7" t="str">
        <f t="shared" si="0"/>
        <v>Baku, Kerosene, , in s/case</v>
      </c>
      <c r="AK6" s="7" t="str">
        <f t="shared" si="0"/>
        <v>Saratov, Kerosene, , in s/case</v>
      </c>
      <c r="AL6" s="7" t="str">
        <f t="shared" si="0"/>
        <v>Bahrain, Petroleum, Imports, in s/case</v>
      </c>
      <c r="AM6" s="7" t="str">
        <f t="shared" si="0"/>
        <v>Bahrain, Kerosene, Imports, in s/case</v>
      </c>
      <c r="AN6" s="7" t="str">
        <f t="shared" si="0"/>
        <v>Bahrain, Kerosene, Exports, in s/case</v>
      </c>
      <c r="AO6" s="7" t="str">
        <f t="shared" si="0"/>
        <v>Muscat, Kerosene / Oil, of all kinds, Imports, in s/case</v>
      </c>
      <c r="AP6" s="7" t="str">
        <f t="shared" si="0"/>
        <v>Muscat, Kerosene, Exports, in s/case</v>
      </c>
      <c r="AQ6" s="7" t="str">
        <f t="shared" si="0"/>
        <v>Mohammerah, Kerosene, Imports, in s/case</v>
      </c>
      <c r="AR6" s="7" t="str">
        <f t="shared" si="0"/>
        <v>Lingah, Kerosene, Imports, in s/case</v>
      </c>
      <c r="AS6" s="7" t="str">
        <f t="shared" si="0"/>
        <v>Lingah, Kerosene, Exports, in s/case</v>
      </c>
      <c r="AT6" s="7" t="str">
        <f t="shared" si="0"/>
        <v>Shiraz, Kerosene, Imports, in s/case</v>
      </c>
      <c r="AU6" s="7" t="str">
        <f t="shared" si="0"/>
        <v>Calcutta, Kerosene, Imports, in s/case</v>
      </c>
    </row>
    <row r="7" spans="1:47" ht="13.2" hidden="1" customHeight="1" x14ac:dyDescent="0.25">
      <c r="A7" s="8">
        <v>1840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7" ht="13.2" hidden="1" customHeight="1" x14ac:dyDescent="0.25">
      <c r="A8" s="8">
        <f t="shared" ref="A8:A71" si="1">A7+1</f>
        <v>1841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7" ht="13.2" hidden="1" customHeight="1" x14ac:dyDescent="0.25">
      <c r="A9" s="8">
        <f t="shared" si="1"/>
        <v>1842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7" ht="13.2" hidden="1" customHeight="1" x14ac:dyDescent="0.25">
      <c r="A10" s="8">
        <f t="shared" si="1"/>
        <v>1843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7" ht="13.2" hidden="1" customHeight="1" x14ac:dyDescent="0.25">
      <c r="A11" s="8">
        <f t="shared" si="1"/>
        <v>1844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7" ht="13.2" hidden="1" customHeight="1" x14ac:dyDescent="0.25">
      <c r="A12" s="8">
        <f t="shared" si="1"/>
        <v>1845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7" ht="13.2" hidden="1" customHeight="1" x14ac:dyDescent="0.25">
      <c r="A13" s="8">
        <f t="shared" si="1"/>
        <v>1846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7" ht="13.2" hidden="1" customHeight="1" x14ac:dyDescent="0.25">
      <c r="A14" s="8">
        <f t="shared" si="1"/>
        <v>1847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7" ht="13.2" hidden="1" customHeight="1" x14ac:dyDescent="0.25">
      <c r="A15" s="8">
        <f t="shared" si="1"/>
        <v>1848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7" ht="13.2" hidden="1" customHeight="1" x14ac:dyDescent="0.25">
      <c r="A16" s="8">
        <f t="shared" si="1"/>
        <v>1849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3.2" hidden="1" customHeight="1" x14ac:dyDescent="0.25">
      <c r="A17" s="8">
        <f t="shared" si="1"/>
        <v>1850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3.2" hidden="1" customHeight="1" x14ac:dyDescent="0.25">
      <c r="A18" s="8">
        <f t="shared" si="1"/>
        <v>1851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3.2" hidden="1" customHeight="1" x14ac:dyDescent="0.25">
      <c r="A19" s="8">
        <f t="shared" si="1"/>
        <v>1852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3.2" hidden="1" customHeight="1" x14ac:dyDescent="0.25">
      <c r="A20" s="8">
        <f t="shared" si="1"/>
        <v>1853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3.2" hidden="1" customHeight="1" x14ac:dyDescent="0.25">
      <c r="A21" s="8">
        <f t="shared" si="1"/>
        <v>1854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3.2" hidden="1" customHeight="1" x14ac:dyDescent="0.25">
      <c r="A22" s="8">
        <f t="shared" si="1"/>
        <v>1855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3.2" hidden="1" customHeight="1" x14ac:dyDescent="0.25">
      <c r="A23" s="8">
        <f t="shared" si="1"/>
        <v>1856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3.2" hidden="1" customHeight="1" x14ac:dyDescent="0.25">
      <c r="A24" s="8">
        <f t="shared" si="1"/>
        <v>1857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3.2" hidden="1" customHeight="1" x14ac:dyDescent="0.25">
      <c r="A25" s="8">
        <f t="shared" si="1"/>
        <v>1858</v>
      </c>
      <c r="C25" s="1"/>
      <c r="D25" s="1"/>
      <c r="E25" s="1"/>
      <c r="F25" s="1"/>
      <c r="G25" s="1"/>
      <c r="H25" s="1"/>
      <c r="I25" s="1"/>
      <c r="J25" s="1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13.2" hidden="1" customHeight="1" x14ac:dyDescent="0.25">
      <c r="A26" s="8">
        <f t="shared" si="1"/>
        <v>1859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3.2" customHeight="1" x14ac:dyDescent="0.25">
      <c r="A27" s="8">
        <f t="shared" si="1"/>
        <v>1860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3.2" customHeight="1" x14ac:dyDescent="0.25">
      <c r="A28" s="8">
        <f t="shared" si="1"/>
        <v>1861</v>
      </c>
      <c r="C28" s="1">
        <v>10.018929559159444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3.2" customHeight="1" x14ac:dyDescent="0.25">
      <c r="A29" s="8">
        <f t="shared" si="1"/>
        <v>1862</v>
      </c>
      <c r="C29" s="1">
        <v>9.6422185287786295</v>
      </c>
      <c r="D29" s="1"/>
      <c r="E29" s="1"/>
      <c r="F29" s="1"/>
      <c r="G29" s="1"/>
      <c r="H29" s="1"/>
      <c r="I29" s="1"/>
      <c r="J29" s="1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3.2" customHeight="1" x14ac:dyDescent="0.25">
      <c r="A30" s="8">
        <f t="shared" si="1"/>
        <v>1863</v>
      </c>
      <c r="C30" s="1">
        <v>12.061193129257505</v>
      </c>
      <c r="D30" s="1"/>
      <c r="E30" s="1"/>
      <c r="F30" s="1"/>
      <c r="G30" s="1"/>
      <c r="H30" s="1"/>
      <c r="I30" s="1"/>
      <c r="J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3.2" customHeight="1" x14ac:dyDescent="0.25">
      <c r="A31" s="8">
        <f t="shared" si="1"/>
        <v>1864</v>
      </c>
      <c r="C31" s="1">
        <v>12.941404949141138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3.2" customHeight="1" x14ac:dyDescent="0.25">
      <c r="A32" s="8">
        <f t="shared" si="1"/>
        <v>1865</v>
      </c>
      <c r="C32" s="1">
        <v>17.647435897435898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ht="13.2" customHeight="1" x14ac:dyDescent="0.25">
      <c r="A33" s="8">
        <f t="shared" si="1"/>
        <v>1866</v>
      </c>
      <c r="C33" s="1">
        <v>12.483974358974359</v>
      </c>
      <c r="D33" s="1"/>
      <c r="E33" s="1"/>
      <c r="F33" s="1"/>
      <c r="G33" s="3"/>
      <c r="H33" s="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ht="13.2" customHeight="1" x14ac:dyDescent="0.25">
      <c r="A34" s="8">
        <f t="shared" si="1"/>
        <v>1867</v>
      </c>
      <c r="C34" s="1">
        <v>8.592948717948719</v>
      </c>
      <c r="D34" s="1"/>
      <c r="E34" s="1">
        <f>20*0.0151559018521876*(2.2046*30)</f>
        <v>20.047620733999672</v>
      </c>
      <c r="F34" s="1"/>
      <c r="G34" s="3"/>
      <c r="H34" s="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ht="13.2" customHeight="1" x14ac:dyDescent="0.25">
      <c r="A35" s="8">
        <f t="shared" si="1"/>
        <v>1868</v>
      </c>
      <c r="C35" s="1">
        <v>9.0352564102564106</v>
      </c>
      <c r="D35" s="1"/>
      <c r="E35" s="1"/>
      <c r="F35" s="1"/>
      <c r="G35" s="3"/>
      <c r="H35" s="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ht="13.2" customHeight="1" x14ac:dyDescent="0.25">
      <c r="A36" s="8">
        <f t="shared" si="1"/>
        <v>1869</v>
      </c>
      <c r="C36" s="1">
        <v>10.378205128205128</v>
      </c>
      <c r="D36" s="1"/>
      <c r="E36" s="1">
        <f>(2.2046*30)*20*0.0166737268142398</f>
        <v>22.055338880803841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>
        <v>15</v>
      </c>
      <c r="R36" s="1">
        <v>15.421686746987952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ht="13.2" customHeight="1" x14ac:dyDescent="0.25">
      <c r="A37" s="8">
        <f t="shared" si="1"/>
        <v>1870</v>
      </c>
      <c r="C37" s="1">
        <v>10.320512820512821</v>
      </c>
      <c r="D37" s="1"/>
      <c r="E37" s="1">
        <f>(2.2046*30)*20*0.0131827300755769</f>
        <v>17.437588034770105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>
        <v>14.995433789954337</v>
      </c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ht="13.2" customHeight="1" x14ac:dyDescent="0.25">
      <c r="A38" s="8">
        <f t="shared" si="1"/>
        <v>1871</v>
      </c>
      <c r="C38" s="1">
        <v>9.4775641025641022</v>
      </c>
      <c r="D38" s="1"/>
      <c r="F38" s="1"/>
      <c r="I38" s="1"/>
      <c r="J38" s="1"/>
      <c r="K38" s="1"/>
      <c r="L38" s="1"/>
      <c r="M38" s="1">
        <v>15.873015873015872</v>
      </c>
      <c r="N38" s="1"/>
      <c r="O38" s="1"/>
      <c r="P38" s="1"/>
      <c r="Q38" s="1">
        <v>15.001618646811266</v>
      </c>
      <c r="R38" s="1">
        <v>14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ht="13.2" customHeight="1" x14ac:dyDescent="0.25">
      <c r="A39" s="8">
        <f t="shared" si="1"/>
        <v>1872</v>
      </c>
      <c r="C39" s="1">
        <v>9.121794871794874</v>
      </c>
      <c r="D39" s="1"/>
      <c r="F39" s="1"/>
      <c r="G39" s="1"/>
      <c r="H39" s="1"/>
      <c r="I39" s="1"/>
      <c r="J39" s="1"/>
      <c r="K39" s="1"/>
      <c r="L39" s="1"/>
      <c r="M39" s="1">
        <v>13.888888888888889</v>
      </c>
      <c r="N39" s="1"/>
      <c r="O39" s="1"/>
      <c r="P39" s="1"/>
      <c r="Q39" s="1">
        <v>15</v>
      </c>
      <c r="R39" s="1">
        <v>20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ht="13.2" customHeight="1" x14ac:dyDescent="0.25">
      <c r="A40" s="8">
        <f t="shared" si="1"/>
        <v>1873</v>
      </c>
      <c r="C40" s="1">
        <v>8.9615384615384617</v>
      </c>
      <c r="D40" s="1"/>
      <c r="F40" s="3"/>
      <c r="G40" s="1"/>
      <c r="H40" s="1"/>
      <c r="I40" s="1"/>
      <c r="J40" s="1"/>
      <c r="K40" s="1">
        <v>14.398883743023399</v>
      </c>
      <c r="L40" s="1"/>
      <c r="M40" s="1">
        <v>12.831683168316832</v>
      </c>
      <c r="N40" s="1"/>
      <c r="O40" s="1"/>
      <c r="P40" s="1"/>
      <c r="Q40" s="1">
        <v>15.000721604849186</v>
      </c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ht="13.2" customHeight="1" x14ac:dyDescent="0.25">
      <c r="A41" s="8">
        <f t="shared" si="1"/>
        <v>1874</v>
      </c>
      <c r="C41" s="1">
        <v>7.2532051282051286</v>
      </c>
      <c r="D41" s="1"/>
      <c r="E41" s="1"/>
      <c r="F41" s="1"/>
      <c r="G41" s="1"/>
      <c r="H41" s="1"/>
      <c r="I41" s="1"/>
      <c r="J41" s="1"/>
      <c r="K41" s="1">
        <v>11.274694124064837</v>
      </c>
      <c r="L41" s="1"/>
      <c r="M41" s="1">
        <v>9.6031746031746028</v>
      </c>
      <c r="N41" s="1"/>
      <c r="O41" s="1"/>
      <c r="P41" s="1"/>
      <c r="Q41" s="1">
        <v>13.99920519274076</v>
      </c>
      <c r="R41" s="1">
        <v>10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">
        <f>(2.2046*30)*20*0.00392156862745098</f>
        <v>5.1872941176470597</v>
      </c>
      <c r="AF41" s="1"/>
      <c r="AG41" s="1"/>
      <c r="AH41" s="1"/>
      <c r="AI41" s="1"/>
      <c r="AJ41" s="1"/>
      <c r="AK41" s="1"/>
      <c r="AL41" s="1"/>
      <c r="AM41" s="1"/>
      <c r="AN41" s="1"/>
      <c r="AO41" s="1">
        <f>20*9*0.0658474099099099</f>
        <v>11.85253378378378</v>
      </c>
      <c r="AP41" s="1"/>
      <c r="AQ41" s="1"/>
      <c r="AR41" s="1"/>
      <c r="AS41" s="1"/>
    </row>
    <row r="42" spans="1:45" ht="13.2" customHeight="1" x14ac:dyDescent="0.25">
      <c r="A42" s="8">
        <f t="shared" si="1"/>
        <v>1875</v>
      </c>
      <c r="C42" s="1">
        <v>5.2115384615384608</v>
      </c>
      <c r="D42" s="1"/>
      <c r="E42" s="1"/>
      <c r="F42" s="1"/>
      <c r="G42" s="1"/>
      <c r="H42" s="1"/>
      <c r="I42" s="1"/>
      <c r="J42" s="1"/>
      <c r="K42" s="1">
        <v>11.274694124064837</v>
      </c>
      <c r="L42" s="1"/>
      <c r="M42" s="1"/>
      <c r="N42" s="1"/>
      <c r="O42" s="1"/>
      <c r="P42" s="1"/>
      <c r="Q42" s="1">
        <v>12.998674618952951</v>
      </c>
      <c r="R42" s="1">
        <v>10.21875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>
        <f>(2.2046*30)*20*0.00371907876030708</f>
        <v>4.9194486209837942</v>
      </c>
      <c r="AF42" s="1"/>
      <c r="AG42" s="1"/>
      <c r="AH42" s="1"/>
      <c r="AI42" s="1"/>
      <c r="AJ42" s="1"/>
      <c r="AK42" s="1"/>
      <c r="AL42" s="1"/>
      <c r="AM42" s="1"/>
      <c r="AN42" s="1"/>
      <c r="AO42" s="1">
        <f>20*9*0.0642241618628275</f>
        <v>11.56034913530895</v>
      </c>
      <c r="AP42" s="1">
        <f>20*9*0.0642241618628275</f>
        <v>11.56034913530895</v>
      </c>
      <c r="AQ42" s="1"/>
      <c r="AR42" s="1"/>
      <c r="AS42" s="1"/>
    </row>
    <row r="43" spans="1:45" ht="13.2" customHeight="1" x14ac:dyDescent="0.25">
      <c r="A43" s="8">
        <f t="shared" si="1"/>
        <v>1876</v>
      </c>
      <c r="C43" s="1">
        <v>6.9871794871794881</v>
      </c>
      <c r="D43" s="1"/>
      <c r="E43" s="1"/>
      <c r="F43" s="1"/>
      <c r="G43" s="1"/>
      <c r="H43" s="1"/>
      <c r="I43" s="1"/>
      <c r="J43" s="1"/>
      <c r="K43" s="1">
        <v>15.981847706315607</v>
      </c>
      <c r="L43" s="1"/>
      <c r="M43" s="1">
        <v>10</v>
      </c>
      <c r="N43" s="1"/>
      <c r="O43" s="1"/>
      <c r="P43" s="1"/>
      <c r="Q43" s="1"/>
      <c r="R43" s="1">
        <v>14.944535394773489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F43" s="1"/>
      <c r="AG43" s="1"/>
      <c r="AH43" s="1"/>
      <c r="AI43" s="1"/>
      <c r="AJ43" s="1"/>
      <c r="AK43" s="1"/>
      <c r="AL43" s="1"/>
      <c r="AM43" s="1"/>
      <c r="AN43" s="1"/>
      <c r="AO43" s="1">
        <f>20*9*0.0794215276369617</f>
        <v>14.295874974653106</v>
      </c>
      <c r="AP43" s="1"/>
      <c r="AQ43" s="1"/>
      <c r="AR43" s="1"/>
      <c r="AS43" s="1"/>
    </row>
    <row r="44" spans="1:45" ht="13.2" customHeight="1" x14ac:dyDescent="0.25">
      <c r="A44" s="8">
        <f t="shared" si="1"/>
        <v>1877</v>
      </c>
      <c r="C44" s="1">
        <v>6.2628205128205119</v>
      </c>
      <c r="D44" s="1"/>
      <c r="E44" s="1"/>
      <c r="F44" s="1"/>
      <c r="G44" s="1"/>
      <c r="H44" s="1"/>
      <c r="I44" s="1"/>
      <c r="J44" s="1"/>
      <c r="K44" s="1">
        <v>9.3711743368850637</v>
      </c>
      <c r="L44" s="1"/>
      <c r="M44" s="1">
        <v>12.48</v>
      </c>
      <c r="N44" s="1"/>
      <c r="O44" s="1"/>
      <c r="P44" s="1"/>
      <c r="Q44" s="1">
        <v>12.999251310207139</v>
      </c>
      <c r="R44" s="1">
        <v>10.39999598427845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F44" s="1"/>
      <c r="AG44" s="1"/>
      <c r="AH44" s="1"/>
      <c r="AI44" s="1"/>
      <c r="AJ44" s="1"/>
      <c r="AK44" s="1"/>
      <c r="AL44" s="1"/>
      <c r="AM44" s="1"/>
      <c r="AN44" s="1"/>
      <c r="AO44" s="1">
        <f>20*9*0.0825268717270325</f>
        <v>14.854836910865851</v>
      </c>
      <c r="AP44" s="1"/>
      <c r="AQ44" s="1"/>
      <c r="AR44" s="1"/>
      <c r="AS44" s="1"/>
    </row>
    <row r="45" spans="1:45" ht="13.2" customHeight="1" x14ac:dyDescent="0.25">
      <c r="A45" s="8">
        <f t="shared" si="1"/>
        <v>1878</v>
      </c>
      <c r="C45" s="1">
        <v>5.1634615384615383</v>
      </c>
      <c r="D45" s="1"/>
      <c r="E45" s="3"/>
      <c r="F45" s="1"/>
      <c r="G45" s="1"/>
      <c r="H45" s="1"/>
      <c r="I45" s="1"/>
      <c r="J45" s="1"/>
      <c r="K45" s="1"/>
      <c r="L45" s="1"/>
      <c r="M45" s="1">
        <v>10</v>
      </c>
      <c r="N45" s="1"/>
      <c r="O45" s="1"/>
      <c r="P45" s="1"/>
      <c r="Q45" s="1">
        <v>12.5</v>
      </c>
      <c r="R45" s="1">
        <v>9.5999757285235372</v>
      </c>
      <c r="S45" s="1">
        <v>7.4090352940888797</v>
      </c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F45" s="1"/>
      <c r="AG45" s="1"/>
      <c r="AH45" s="1"/>
      <c r="AI45" s="1"/>
      <c r="AJ45" s="1"/>
      <c r="AK45" s="1"/>
      <c r="AL45" s="1"/>
      <c r="AM45" s="1"/>
      <c r="AN45" s="1"/>
      <c r="AO45" s="1">
        <f>20*9*0.0539585615650728</f>
        <v>9.7125410817131037</v>
      </c>
      <c r="AP45" s="1"/>
      <c r="AQ45" s="1"/>
      <c r="AR45" s="1"/>
      <c r="AS45" s="1"/>
    </row>
    <row r="46" spans="1:45" ht="13.2" customHeight="1" x14ac:dyDescent="0.25">
      <c r="A46" s="8">
        <f t="shared" si="1"/>
        <v>1879</v>
      </c>
      <c r="C46" s="1">
        <v>4.6442307692307692</v>
      </c>
      <c r="D46" s="1"/>
      <c r="E46" s="1"/>
      <c r="F46" s="1"/>
      <c r="G46" s="1"/>
      <c r="H46" s="1"/>
      <c r="I46" s="1"/>
      <c r="J46" s="1"/>
      <c r="K46" s="1">
        <v>6.8721945137157112</v>
      </c>
      <c r="L46" s="1"/>
      <c r="M46" s="1">
        <v>6.3636363636363633</v>
      </c>
      <c r="N46" s="1"/>
      <c r="O46" s="1"/>
      <c r="P46" s="1"/>
      <c r="Q46" s="1">
        <v>12.5</v>
      </c>
      <c r="R46" s="1">
        <v>6.3998846659818707</v>
      </c>
      <c r="S46" s="1">
        <v>6.7488242282789814</v>
      </c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F46" s="1"/>
      <c r="AG46" s="1"/>
      <c r="AH46" s="1"/>
      <c r="AI46" s="1"/>
      <c r="AJ46" s="1"/>
      <c r="AK46" s="1"/>
      <c r="AL46" s="1"/>
      <c r="AM46" s="1"/>
      <c r="AN46" s="1"/>
      <c r="AO46" s="1">
        <f>20*9*0.0389525242067445</f>
        <v>7.01145435721401</v>
      </c>
      <c r="AP46" s="1">
        <f>20*9*0.0385815477857279</f>
        <v>6.944678601431022</v>
      </c>
      <c r="AQ46" s="1"/>
      <c r="AR46" s="1"/>
      <c r="AS46" s="1"/>
    </row>
    <row r="47" spans="1:45" x14ac:dyDescent="0.25">
      <c r="A47" s="8">
        <f t="shared" si="1"/>
        <v>1880</v>
      </c>
      <c r="C47" s="1">
        <v>4.2403846153846159</v>
      </c>
      <c r="D47" s="1"/>
      <c r="F47" s="1"/>
      <c r="G47" s="1"/>
      <c r="H47" s="1"/>
      <c r="I47" s="1"/>
      <c r="J47" s="3">
        <f>9*20*0.0393585056019313</f>
        <v>7.0845310083476338</v>
      </c>
      <c r="K47" s="3">
        <v>7.6357716819063457</v>
      </c>
      <c r="L47" s="1"/>
      <c r="M47" s="1">
        <v>8.178438661710036</v>
      </c>
      <c r="N47" s="1"/>
      <c r="O47" s="1"/>
      <c r="P47" s="1"/>
      <c r="Q47" s="1">
        <v>12.500223473674801</v>
      </c>
      <c r="R47" s="1">
        <v>8</v>
      </c>
      <c r="S47" s="1">
        <v>6.7488242282789814</v>
      </c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>
        <f>20*9*0.0397666041717489</f>
        <v>7.157988750914801</v>
      </c>
      <c r="AP47" s="1">
        <f>20*9*0.0393343584742299</f>
        <v>7.080184525361382</v>
      </c>
      <c r="AQ47" s="1"/>
      <c r="AR47" s="1"/>
      <c r="AS47" s="1"/>
    </row>
    <row r="48" spans="1:45" x14ac:dyDescent="0.25">
      <c r="A48" s="8">
        <f t="shared" si="1"/>
        <v>1881</v>
      </c>
      <c r="C48" s="1">
        <v>3.9166666666666661</v>
      </c>
      <c r="D48" s="1"/>
      <c r="F48" s="1"/>
      <c r="G48" s="1"/>
      <c r="H48" s="1"/>
      <c r="I48" s="1"/>
      <c r="J48" s="1"/>
      <c r="K48" s="1">
        <v>6.8721945137157112</v>
      </c>
      <c r="L48" s="1"/>
      <c r="M48" s="1">
        <v>6.7316116377901274</v>
      </c>
      <c r="N48" s="1"/>
      <c r="O48" s="1"/>
      <c r="P48" s="1"/>
      <c r="Q48" s="1">
        <v>7.13170731707317</v>
      </c>
      <c r="R48" s="1">
        <v>6.4</v>
      </c>
      <c r="S48" s="1">
        <v>6.5173138449178971</v>
      </c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>
        <f>20*9*0.0455257558804786</f>
        <v>8.1946360584861484</v>
      </c>
      <c r="AP48" s="1">
        <f>20*9*0.0486386280774343</f>
        <v>8.7549530539381735</v>
      </c>
      <c r="AQ48" s="1"/>
      <c r="AR48" s="1"/>
      <c r="AS48" s="1"/>
    </row>
    <row r="49" spans="1:47" x14ac:dyDescent="0.25">
      <c r="A49" s="8">
        <f t="shared" si="1"/>
        <v>1882</v>
      </c>
      <c r="C49" s="1">
        <v>4.4358974358974361</v>
      </c>
      <c r="D49" s="1"/>
      <c r="F49" s="1"/>
      <c r="G49" s="1"/>
      <c r="H49" s="1"/>
      <c r="I49" s="1"/>
      <c r="J49" s="1"/>
      <c r="K49" s="1">
        <v>7.3303408146300919</v>
      </c>
      <c r="L49" s="1">
        <v>8.4</v>
      </c>
      <c r="M49" s="1">
        <v>6.6665573770491804</v>
      </c>
      <c r="N49" s="1"/>
      <c r="O49" s="1"/>
      <c r="P49" s="1"/>
      <c r="Q49" s="1"/>
      <c r="R49" s="1">
        <v>6.9999597688047306</v>
      </c>
      <c r="S49" s="1">
        <v>5.5025924815797369</v>
      </c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>
        <f>20*9*0.0358954144116426</f>
        <v>6.4611745940956684</v>
      </c>
      <c r="AP49" s="1">
        <f>20*9*0.0340058703196766</f>
        <v>6.1210566575417875</v>
      </c>
      <c r="AQ49" s="1"/>
      <c r="AR49" s="1"/>
      <c r="AS49" s="1"/>
    </row>
    <row r="50" spans="1:47" x14ac:dyDescent="0.25">
      <c r="A50" s="8">
        <f t="shared" si="1"/>
        <v>1883</v>
      </c>
      <c r="C50" s="1">
        <v>4.7371794871794872</v>
      </c>
      <c r="D50" s="1"/>
      <c r="F50" s="1"/>
      <c r="G50" s="1"/>
      <c r="H50" s="1"/>
      <c r="I50" s="1"/>
      <c r="J50" s="1"/>
      <c r="K50" s="1">
        <v>6.8468358623735881</v>
      </c>
      <c r="L50" s="1"/>
      <c r="M50" s="1"/>
      <c r="N50" s="1"/>
      <c r="O50" s="1"/>
      <c r="P50" s="1"/>
      <c r="Q50" s="1">
        <v>3.2719087084851921</v>
      </c>
      <c r="R50" s="1">
        <v>5.9999888658163858</v>
      </c>
      <c r="S50" s="1">
        <v>5.5025924815797378</v>
      </c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>
        <f>20*9*0.0274579894550208</f>
        <v>4.9424381019037442</v>
      </c>
      <c r="AP50" s="1">
        <f>20*9*0.0299497088528354</f>
        <v>5.3909475935103721</v>
      </c>
      <c r="AQ50" s="1"/>
      <c r="AR50" s="1"/>
      <c r="AS50" s="1"/>
    </row>
    <row r="51" spans="1:47" x14ac:dyDescent="0.25">
      <c r="A51" s="8">
        <f t="shared" si="1"/>
        <v>1884</v>
      </c>
      <c r="C51" s="1">
        <v>4.9679487179487181</v>
      </c>
      <c r="D51" s="1"/>
      <c r="F51" s="1"/>
      <c r="G51" s="1"/>
      <c r="H51" s="1"/>
      <c r="I51" s="3">
        <f>20*0.636363636363636</f>
        <v>12.72727272727272</v>
      </c>
      <c r="J51" s="1"/>
      <c r="K51" s="1">
        <v>6.0637010415138626</v>
      </c>
      <c r="L51" s="1">
        <v>7.2003804692454034</v>
      </c>
      <c r="M51" s="1"/>
      <c r="N51" s="3"/>
      <c r="O51" s="1"/>
      <c r="P51" s="1"/>
      <c r="Q51" s="1">
        <v>2.9526105998720538</v>
      </c>
      <c r="R51" s="1">
        <v>6.064284167208144</v>
      </c>
      <c r="S51" s="1"/>
      <c r="T51" s="3"/>
      <c r="U51" s="1"/>
      <c r="V51" s="1"/>
      <c r="W51" s="1"/>
      <c r="X51" s="1"/>
      <c r="Y51" s="1"/>
      <c r="Z51" s="1"/>
      <c r="AA51" s="3"/>
      <c r="AB51" s="3"/>
      <c r="AC51" s="3"/>
      <c r="AD51" s="3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>
        <f>20*9*0.023202898555355</f>
        <v>4.1765217399639001</v>
      </c>
      <c r="AP51" s="1">
        <f>20*9*0.0228666246632485</f>
        <v>4.1159924393847298</v>
      </c>
      <c r="AQ51" s="1"/>
      <c r="AR51" s="1"/>
      <c r="AS51" s="3"/>
    </row>
    <row r="52" spans="1:47" x14ac:dyDescent="0.25">
      <c r="A52" s="8">
        <f t="shared" si="1"/>
        <v>1885</v>
      </c>
      <c r="C52" s="1">
        <v>4.7692307692307701</v>
      </c>
      <c r="D52" s="1"/>
      <c r="F52" s="1"/>
      <c r="G52" s="1"/>
      <c r="H52" s="1"/>
      <c r="I52" s="1"/>
      <c r="J52" s="1"/>
      <c r="K52" s="1">
        <v>5.6695604738154612</v>
      </c>
      <c r="L52" s="1">
        <v>6.8118987061815774</v>
      </c>
      <c r="M52" s="1"/>
      <c r="N52" s="1"/>
      <c r="O52" s="1"/>
      <c r="P52" s="1"/>
      <c r="Q52" s="1">
        <v>4.1280921624388656</v>
      </c>
      <c r="R52" s="1">
        <v>6.3685797145691829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>
        <f>20*9*0.0471040524431802</f>
        <v>8.4787294397724366</v>
      </c>
      <c r="AP52" s="1">
        <f>20*9*0.0304653075503156</f>
        <v>5.4837553590568078</v>
      </c>
      <c r="AQ52" s="1"/>
      <c r="AR52" s="1"/>
      <c r="AS52" s="1"/>
    </row>
    <row r="53" spans="1:47" x14ac:dyDescent="0.25">
      <c r="A53" s="8">
        <f t="shared" si="1"/>
        <v>1886</v>
      </c>
      <c r="C53" s="1">
        <v>4.5128205128205128</v>
      </c>
      <c r="D53" s="1"/>
      <c r="F53" s="1"/>
      <c r="G53" s="1"/>
      <c r="H53" s="1"/>
      <c r="I53" s="1"/>
      <c r="J53" s="1"/>
      <c r="K53" s="1">
        <v>7.0869505922693286</v>
      </c>
      <c r="L53" s="1">
        <v>8.3312977789840321</v>
      </c>
      <c r="M53" s="1"/>
      <c r="N53" s="1"/>
      <c r="O53" s="1"/>
      <c r="P53" s="1"/>
      <c r="Q53" s="1">
        <v>4.1301986066772125</v>
      </c>
      <c r="R53" s="1">
        <v>4.6322893692104099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>
        <f>20*9*0.0480357913932824</f>
        <v>8.6464424507908326</v>
      </c>
      <c r="AP53" s="1">
        <f>20*9*0.0281307641100529</f>
        <v>5.0635375398095217</v>
      </c>
      <c r="AQ53" s="1"/>
      <c r="AR53" s="1"/>
      <c r="AS53" s="1"/>
    </row>
    <row r="54" spans="1:47" x14ac:dyDescent="0.25">
      <c r="A54" s="8">
        <f t="shared" si="1"/>
        <v>1887</v>
      </c>
      <c r="C54" s="1">
        <v>4.1794871794871797</v>
      </c>
      <c r="D54" s="1"/>
      <c r="E54" s="1"/>
      <c r="F54" s="1"/>
      <c r="G54" s="1">
        <f>20*0.323772484200292</f>
        <v>6.4754496840058398</v>
      </c>
      <c r="I54" s="1"/>
      <c r="J54" s="1"/>
      <c r="K54" s="1">
        <v>6.7003896508728191</v>
      </c>
      <c r="L54" s="1">
        <v>8.7265423962844419</v>
      </c>
      <c r="M54" s="1">
        <v>9.4999999999999982</v>
      </c>
      <c r="N54" s="1">
        <v>4.25</v>
      </c>
      <c r="O54" s="1"/>
      <c r="P54" s="1"/>
      <c r="Q54" s="1">
        <v>3.5421817985582607</v>
      </c>
      <c r="R54" s="1"/>
      <c r="S54" s="1">
        <v>4.6079133758790771</v>
      </c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>
        <f>20*9*0.0302771048781901</f>
        <v>5.4498788780742178</v>
      </c>
      <c r="AP54" s="1">
        <f>20*9*0.0294360741871292</f>
        <v>5.2984933536832557</v>
      </c>
      <c r="AQ54" s="1"/>
      <c r="AR54" s="1">
        <f>(2.2046*30)*20*(1/112)*0.618787049703602</f>
        <v>7.3080960523744345</v>
      </c>
      <c r="AS54" s="1">
        <f>(2.2046*30)*20*(1/112)*0.619994399327919</f>
        <v>7.3223552826339127</v>
      </c>
      <c r="AT54" s="1">
        <f>20*9*0.0593047593047593</f>
        <v>10.674856674856674</v>
      </c>
    </row>
    <row r="55" spans="1:47" x14ac:dyDescent="0.25">
      <c r="A55" s="8">
        <f t="shared" si="1"/>
        <v>1888</v>
      </c>
      <c r="C55" s="1">
        <v>4.1794871794871797</v>
      </c>
      <c r="D55" s="1"/>
      <c r="E55" s="1"/>
      <c r="G55" s="1">
        <f>20*0.316666666666667</f>
        <v>6.3333333333333393</v>
      </c>
      <c r="H55" s="1"/>
      <c r="I55" s="1"/>
      <c r="J55" s="1"/>
      <c r="K55" s="1">
        <v>5.1541458852867841</v>
      </c>
      <c r="L55" s="1">
        <v>8.186700767263428</v>
      </c>
      <c r="M55" s="1"/>
      <c r="N55" s="1">
        <v>4.833333333333333</v>
      </c>
      <c r="O55" s="1"/>
      <c r="P55" s="1"/>
      <c r="Q55" s="1">
        <v>3.5679365568728532</v>
      </c>
      <c r="R55" s="1">
        <v>6.4</v>
      </c>
      <c r="S55" s="1">
        <v>4.7891706555695128</v>
      </c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>
        <f>20*9*0.0322767582695235</f>
        <v>5.8098164885142305</v>
      </c>
      <c r="AP55" s="1">
        <f>20*9*0.0322767582695235</f>
        <v>5.8098164885142305</v>
      </c>
      <c r="AQ55" s="1"/>
      <c r="AR55" s="1"/>
      <c r="AS55" s="1"/>
      <c r="AT55" s="1">
        <f>20*9*0.0559377559377559</f>
        <v>10.068796068796061</v>
      </c>
      <c r="AU55" s="14">
        <v>11.7734375</v>
      </c>
    </row>
    <row r="56" spans="1:47" x14ac:dyDescent="0.25">
      <c r="A56" s="8">
        <f t="shared" si="1"/>
        <v>1889</v>
      </c>
      <c r="C56" s="1">
        <v>3.8717948717948723</v>
      </c>
      <c r="D56" s="1"/>
      <c r="E56" s="1"/>
      <c r="G56" s="1">
        <f>20*0.3025</f>
        <v>6.05</v>
      </c>
      <c r="H56" s="1"/>
      <c r="I56" s="1"/>
      <c r="J56" s="1"/>
      <c r="K56" s="1">
        <v>5.1541458852867841</v>
      </c>
      <c r="L56" s="1">
        <v>6.0427777777777782</v>
      </c>
      <c r="M56" s="1"/>
      <c r="N56" s="1"/>
      <c r="O56" s="1"/>
      <c r="P56" s="1"/>
      <c r="Q56" s="1">
        <v>3.5407563732872118</v>
      </c>
      <c r="R56" s="1"/>
      <c r="S56" s="1">
        <v>4.0320032947676054</v>
      </c>
      <c r="T56" s="1"/>
      <c r="U56" s="1"/>
      <c r="V56" s="1"/>
      <c r="W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>
        <f>20*9*0.0322344737869844</f>
        <v>5.8022052816571925</v>
      </c>
      <c r="AP56" s="1">
        <f>20*9*0.0321356062654294</f>
        <v>5.784409127777292</v>
      </c>
      <c r="AQ56" s="1"/>
      <c r="AR56" s="1">
        <f>(2.2046*30)*20*(1/112)*0.547002565896898</f>
        <v>6.4602956613016156</v>
      </c>
      <c r="AS56" s="1">
        <f>(2.2046*30)*20*(1/112)*0.547022222222222</f>
        <v>6.460527809523807</v>
      </c>
      <c r="AT56" s="1">
        <f>20*9*0.0521430521430521</f>
        <v>9.3857493857493779</v>
      </c>
      <c r="AU56" s="14">
        <v>4.984375</v>
      </c>
    </row>
    <row r="57" spans="1:47" x14ac:dyDescent="0.25">
      <c r="A57" s="8">
        <f t="shared" si="1"/>
        <v>1890</v>
      </c>
      <c r="C57" s="1">
        <v>3.5128205128205132</v>
      </c>
      <c r="D57" s="1"/>
      <c r="E57" s="1"/>
      <c r="F57" s="1"/>
      <c r="G57" s="1">
        <f>20*0.319323628617078</f>
        <v>6.3864725723415603</v>
      </c>
      <c r="I57" s="1"/>
      <c r="J57" s="1"/>
      <c r="K57" s="1">
        <v>5.2923346226561385</v>
      </c>
      <c r="L57" s="1">
        <v>6.4832558139534875</v>
      </c>
      <c r="M57" s="1"/>
      <c r="N57" s="1"/>
      <c r="O57" s="1"/>
      <c r="P57" s="1"/>
      <c r="Q57" s="1">
        <v>3.5446081030319099</v>
      </c>
      <c r="R57" s="1">
        <v>4.8187571624732861</v>
      </c>
      <c r="S57" s="1">
        <v>3.8304137511853642</v>
      </c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>
        <f>(2.2046*30)*20*0.00428240740740741</f>
        <v>5.6645972222222269</v>
      </c>
      <c r="AF57" s="1"/>
      <c r="AG57" s="1"/>
      <c r="AH57" s="1"/>
      <c r="AI57" s="1"/>
      <c r="AJ57" s="14">
        <v>0.87833900578508928</v>
      </c>
      <c r="AK57" s="14">
        <v>4.9093634284702823</v>
      </c>
      <c r="AL57" s="1"/>
      <c r="AN57" s="1"/>
      <c r="AO57" s="1">
        <f>20*9*0.0329511511779733</f>
        <v>5.9312072120351944</v>
      </c>
      <c r="AP57" s="1">
        <f>20*9*0.0359467103759708</f>
        <v>6.4704078676747443</v>
      </c>
      <c r="AQ57" s="1">
        <f>9*20*0.0437037037037037</f>
        <v>7.8666666666666663</v>
      </c>
      <c r="AR57" s="1">
        <f>(2.2046*30)*20*(1/112)*0.615384615384615</f>
        <v>7.2679120879120838</v>
      </c>
      <c r="AS57" s="1">
        <f>(2.2046*30)*20*(1/112)*0.635866666666667</f>
        <v>7.5098124285714336</v>
      </c>
      <c r="AT57" s="1">
        <f>20*9*0.0787332787332787</f>
        <v>14.171990171990167</v>
      </c>
      <c r="AU57" s="14">
        <v>4.828125</v>
      </c>
    </row>
    <row r="58" spans="1:47" x14ac:dyDescent="0.25">
      <c r="A58" s="8">
        <f t="shared" si="1"/>
        <v>1891</v>
      </c>
      <c r="C58" s="1">
        <v>3.1602564102564101</v>
      </c>
      <c r="D58" s="1">
        <v>4.1116230039920154</v>
      </c>
      <c r="E58" s="1"/>
      <c r="F58" s="1"/>
      <c r="G58" s="3">
        <f>20*0.344378541369827</f>
        <v>6.8875708273965399</v>
      </c>
      <c r="H58" s="1"/>
      <c r="I58" s="1"/>
      <c r="J58" s="1"/>
      <c r="K58" s="1">
        <v>4.5517132493441723</v>
      </c>
      <c r="L58" s="1">
        <v>6.4747619047619045</v>
      </c>
      <c r="M58" s="1"/>
      <c r="N58" s="1"/>
      <c r="O58" s="1"/>
      <c r="P58" s="1"/>
      <c r="Q58" s="1">
        <v>3.5438201728382857</v>
      </c>
      <c r="R58" s="1"/>
      <c r="S58" s="1">
        <v>4.2244352570467703</v>
      </c>
      <c r="T58" s="1"/>
      <c r="U58" s="1"/>
      <c r="V58" s="1"/>
      <c r="W58" s="1"/>
      <c r="X58" s="1"/>
      <c r="Y58" s="1"/>
      <c r="Z58" s="1"/>
      <c r="AA58" s="1"/>
      <c r="AB58" s="1"/>
      <c r="AC58" s="1"/>
      <c r="AD58" s="1">
        <f>(2.2046*30)*20*0.000915827102683721</f>
        <v>1.211419458345919</v>
      </c>
      <c r="AE58" s="1">
        <f>(2.2046*30)*20*0.00416666666666667</f>
        <v>5.5115000000000052</v>
      </c>
      <c r="AF58" s="1"/>
      <c r="AG58" s="14">
        <f>(2.2046*30)*20*0.00679444444444444</f>
        <v>8.9874193333333281</v>
      </c>
      <c r="AI58" s="1"/>
      <c r="AJ58" s="14">
        <v>0.41741726036616195</v>
      </c>
      <c r="AK58" s="14">
        <v>4.0647525451190321</v>
      </c>
      <c r="AL58" s="1">
        <f>(2.2046*30)*20*(1/112)*0.848036715961244</f>
        <v>10.015616485757993</v>
      </c>
      <c r="AM58" s="1"/>
      <c r="AN58" s="1"/>
      <c r="AO58" s="1">
        <f>20*9*0.029683090194294</f>
        <v>5.3429562349729203</v>
      </c>
      <c r="AP58" s="1">
        <f>20*9*0.0339235316506217</f>
        <v>6.1062356971119067</v>
      </c>
      <c r="AQ58" s="1"/>
      <c r="AR58" s="1">
        <f>(2.2046*30)*20*(1/112)*0.445697827913117</f>
        <v>5.2638505254495964</v>
      </c>
      <c r="AS58" s="1">
        <f>(2.2046*30)*20*(1/112)*0.628955223880597</f>
        <v>7.4281858208955232</v>
      </c>
      <c r="AT58" s="1">
        <f>20*9*0.0434070434070434</f>
        <v>7.8132678132678119</v>
      </c>
      <c r="AU58" s="14">
        <v>4.405598958333333</v>
      </c>
    </row>
    <row r="59" spans="1:47" x14ac:dyDescent="0.25">
      <c r="A59" s="8">
        <f t="shared" si="1"/>
        <v>1892</v>
      </c>
      <c r="C59" s="1">
        <v>2.891025641025641</v>
      </c>
      <c r="D59" s="1">
        <v>3.626891529441119</v>
      </c>
      <c r="E59" s="1"/>
      <c r="F59" s="1"/>
      <c r="G59" s="3">
        <f>20*0.249995689134896</f>
        <v>4.9999137826979201</v>
      </c>
      <c r="H59" s="1"/>
      <c r="I59" s="1"/>
      <c r="J59" s="1"/>
      <c r="K59" s="1">
        <v>4.1233167082294271</v>
      </c>
      <c r="L59" s="1">
        <v>5.7553333333333336</v>
      </c>
      <c r="M59" s="1"/>
      <c r="N59" s="1"/>
      <c r="O59" s="1"/>
      <c r="P59" s="1"/>
      <c r="Q59" s="1">
        <v>3.5431327198464642</v>
      </c>
      <c r="R59" s="1"/>
      <c r="S59" s="1">
        <v>2.9736743459028845</v>
      </c>
      <c r="T59" s="1"/>
      <c r="U59" s="3"/>
      <c r="V59" s="1"/>
      <c r="W59" s="1"/>
      <c r="X59" s="1"/>
      <c r="Y59" s="1"/>
      <c r="Z59" s="1"/>
      <c r="AA59" s="1"/>
      <c r="AB59" s="1"/>
      <c r="AC59" s="1"/>
      <c r="AD59" s="1"/>
      <c r="AE59" s="1">
        <f>(2.2046*30)*20*0.00445601851851852</f>
        <v>5.8942430555555578</v>
      </c>
      <c r="AG59" s="14">
        <f>(2.2046*30)*20*0.00730769230769231</f>
        <v>9.6663230769230815</v>
      </c>
      <c r="AJ59" s="14">
        <v>0.26915878159574202</v>
      </c>
      <c r="AK59" s="14">
        <v>3.4880028409530408</v>
      </c>
      <c r="AL59" s="1">
        <f>(2.2046*30)*20*(1/112)*0.709905020352782</f>
        <v>8.3842318278736254</v>
      </c>
      <c r="AM59" s="1"/>
      <c r="AN59" s="1"/>
      <c r="AO59" s="1">
        <f>20*9*0.0259343282188941</f>
        <v>4.6681790794009377</v>
      </c>
      <c r="AP59" s="1">
        <f>20*9*0.0280539608137076</f>
        <v>5.049712946467368</v>
      </c>
      <c r="AQ59" s="1"/>
      <c r="AR59" s="1">
        <f>(2.2046*30)*20*(1/112)*0.664</f>
        <v>7.8420771428571445</v>
      </c>
      <c r="AS59" s="1">
        <f>(2.2046*30)*20*(1/112)*0.596091205211726</f>
        <v>7.0400500232666321</v>
      </c>
      <c r="AT59" s="1">
        <f>20*20*0.0417320546361218</f>
        <v>16.69282185444872</v>
      </c>
      <c r="AU59" s="14">
        <v>3.984375</v>
      </c>
    </row>
    <row r="60" spans="1:47" x14ac:dyDescent="0.25">
      <c r="A60" s="8">
        <f t="shared" si="1"/>
        <v>1893</v>
      </c>
      <c r="C60" s="1">
        <v>2.525641025641026</v>
      </c>
      <c r="D60" s="1">
        <v>3.2727969061876245</v>
      </c>
      <c r="E60" s="1"/>
      <c r="F60" s="1"/>
      <c r="G60" s="3">
        <f>20*0.249993361833196</f>
        <v>4.9998672366639205</v>
      </c>
      <c r="H60" s="1"/>
      <c r="I60" s="1"/>
      <c r="J60" s="1"/>
      <c r="K60" s="1">
        <v>4.1233167082294271</v>
      </c>
      <c r="L60" s="1">
        <v>6.4285714285714288</v>
      </c>
      <c r="M60" s="1"/>
      <c r="N60" s="1"/>
      <c r="O60" s="1"/>
      <c r="P60" s="1"/>
      <c r="Q60" s="1">
        <v>3.5431327198464642</v>
      </c>
      <c r="R60" s="1"/>
      <c r="S60" s="1">
        <v>2.6625344754422859</v>
      </c>
      <c r="T60" s="1"/>
      <c r="U60" s="3"/>
      <c r="V60" s="1"/>
      <c r="W60" s="1"/>
      <c r="X60" s="1"/>
      <c r="Y60" s="1"/>
      <c r="Z60" s="1"/>
      <c r="AA60" s="1"/>
      <c r="AB60" s="1"/>
      <c r="AC60" s="1"/>
      <c r="AD60" s="1">
        <f>(2.2046*30)*20*0.00179711274970274</f>
        <v>2.3771488607967965</v>
      </c>
      <c r="AE60" s="1">
        <f>(2.2046*30)*20*0.00376157407407407</f>
        <v>4.9756597222222174</v>
      </c>
      <c r="AJ60" s="14">
        <v>0.25210351062057229</v>
      </c>
      <c r="AK60" s="14">
        <v>4.1635276754003607</v>
      </c>
      <c r="AL60" s="1">
        <f>(2.2046*30)*20*(1/112)*0.709779179810726</f>
        <v>8.3827456061288945</v>
      </c>
      <c r="AM60" s="1"/>
      <c r="AN60" s="1"/>
      <c r="AO60" s="1">
        <f>20*9*0.0224554999225721</f>
        <v>4.041989986062978</v>
      </c>
      <c r="AP60" s="1">
        <f>20*9*0.0225215864310184</f>
        <v>4.0538855575833121</v>
      </c>
      <c r="AQ60" s="1"/>
      <c r="AR60" s="1">
        <f>(2.2046*30)*20*(1/112)*0.609622641509434</f>
        <v>7.1998611185983847</v>
      </c>
      <c r="AS60" s="1">
        <f>(2.2046*30)*20*(1/112)*0.603125</f>
        <v>7.1231216517857154</v>
      </c>
      <c r="AT60" s="1">
        <f>20*9*0.0610555555555556</f>
        <v>10.990000000000007</v>
      </c>
      <c r="AU60" s="14">
        <v>3.171875</v>
      </c>
    </row>
    <row r="61" spans="1:47" x14ac:dyDescent="0.25">
      <c r="A61" s="8">
        <f t="shared" si="1"/>
        <v>1894</v>
      </c>
      <c r="C61" s="1">
        <v>2.3461538461538463</v>
      </c>
      <c r="D61" s="1">
        <v>2.9737072729540928</v>
      </c>
      <c r="F61" s="1"/>
      <c r="G61" s="3">
        <f>20*0.250358241560029</f>
        <v>5.0071648312005799</v>
      </c>
      <c r="H61" s="1"/>
      <c r="I61" s="1"/>
      <c r="J61" s="1"/>
      <c r="K61" s="1">
        <v>4.1233167082294271</v>
      </c>
      <c r="L61" s="1">
        <v>5.5692307692307699</v>
      </c>
      <c r="M61" s="1"/>
      <c r="N61" s="1"/>
      <c r="O61" s="1"/>
      <c r="P61" s="1"/>
      <c r="Q61" s="1">
        <v>3.6928904909062577</v>
      </c>
      <c r="R61" s="1">
        <v>3.76</v>
      </c>
      <c r="S61" s="1">
        <v>2.9526105998720511</v>
      </c>
      <c r="T61" s="1"/>
      <c r="V61" s="1"/>
      <c r="W61" s="1"/>
      <c r="X61" s="1"/>
      <c r="Y61" s="1"/>
      <c r="Z61" s="1"/>
      <c r="AA61" s="1"/>
      <c r="AB61" s="3">
        <f>9*20*0.0422222222222222</f>
        <v>7.5999999999999961</v>
      </c>
      <c r="AC61" s="1"/>
      <c r="AD61" s="1"/>
      <c r="AJ61" s="14">
        <v>0.22041029616624844</v>
      </c>
      <c r="AK61" s="14">
        <v>4.2743853863668901</v>
      </c>
      <c r="AL61" s="1">
        <f>(2.2046*30)*20*(1/112)*0.608531746031746</f>
        <v>7.186977253401361</v>
      </c>
      <c r="AM61" s="1"/>
      <c r="AO61" s="1">
        <f>20*9*0.0653533778955805</f>
        <v>11.76360802120449</v>
      </c>
      <c r="AP61" s="1">
        <f>20*9*0.0199690876903163</f>
        <v>3.5944357842569339</v>
      </c>
      <c r="AQ61" s="1"/>
      <c r="AR61" s="1">
        <f>(2.2046*30)*20*(1/112)*0.565454545454545</f>
        <v>6.6782201298701249</v>
      </c>
      <c r="AS61" s="1">
        <f>(2.2046*30)*20*(1/112)*0.649775112443778</f>
        <v>7.6740761405011773</v>
      </c>
      <c r="AT61" s="1">
        <f>20*9*0.0617222222222222</f>
        <v>11.109999999999996</v>
      </c>
      <c r="AU61" s="14">
        <v>3.013020833333333</v>
      </c>
    </row>
    <row r="62" spans="1:47" x14ac:dyDescent="0.25">
      <c r="A62" s="8">
        <f t="shared" si="1"/>
        <v>1895</v>
      </c>
      <c r="C62" s="1">
        <v>2.9230769230769234</v>
      </c>
      <c r="D62" s="1">
        <v>2.9702694610778448</v>
      </c>
      <c r="F62" s="1"/>
      <c r="G62" s="3">
        <f>20*0.25</f>
        <v>5</v>
      </c>
      <c r="H62" s="1"/>
      <c r="I62" s="1"/>
      <c r="J62" s="1"/>
      <c r="K62" s="1">
        <v>7.2158042394014963</v>
      </c>
      <c r="L62" s="1"/>
      <c r="M62" s="1"/>
      <c r="N62" s="1"/>
      <c r="O62" s="1"/>
      <c r="P62" s="1"/>
      <c r="Q62" s="1">
        <v>4.7107177661776358</v>
      </c>
      <c r="R62" s="1"/>
      <c r="S62" s="1">
        <v>3.2478716598592556</v>
      </c>
      <c r="T62" s="3">
        <f>9*20*0.088</f>
        <v>15.84</v>
      </c>
      <c r="U62" s="3"/>
      <c r="V62" s="1"/>
      <c r="W62" s="1"/>
      <c r="X62" s="1"/>
      <c r="Y62" s="1"/>
      <c r="Z62" s="1"/>
      <c r="AA62" s="1"/>
      <c r="AB62" s="3"/>
      <c r="AC62" s="1"/>
      <c r="AD62" s="1"/>
      <c r="AE62" s="1"/>
      <c r="AJ62" s="14">
        <v>0.54756050779707344</v>
      </c>
      <c r="AK62" s="14">
        <v>4.5459339999843369</v>
      </c>
      <c r="AL62" s="1">
        <f>(2.2046*30)*20*(1/112)*0.583298969072165</f>
        <v>6.888969145802653</v>
      </c>
      <c r="AM62" s="1"/>
      <c r="AO62" s="1">
        <f>20*9*0.0673295059528982</f>
        <v>12.119311071521677</v>
      </c>
      <c r="AP62" s="1"/>
      <c r="AQ62" s="1"/>
      <c r="AR62" s="1">
        <f>(2.2046*30)*20*(1/112)*0.594130434782609</f>
        <v>7.0168926242236065</v>
      </c>
      <c r="AS62" s="1">
        <f>(2.2046*30)*20*(1/112)*0.598894348894349</f>
        <v>7.0731561512811538</v>
      </c>
      <c r="AT62" s="1">
        <f>20*9*0.0617407407407407</f>
        <v>11.113333333333326</v>
      </c>
      <c r="AU62" s="14">
        <v>3.3046875</v>
      </c>
    </row>
    <row r="63" spans="1:47" x14ac:dyDescent="0.25">
      <c r="A63" s="8">
        <f t="shared" si="1"/>
        <v>1896</v>
      </c>
      <c r="C63" s="1">
        <v>3.025641025641026</v>
      </c>
      <c r="D63" s="1">
        <v>3.8056577470059896</v>
      </c>
      <c r="F63" s="1"/>
      <c r="G63" s="3">
        <f>20*0.246298042260551</f>
        <v>4.9259608452110202</v>
      </c>
      <c r="H63" s="1"/>
      <c r="I63" s="1"/>
      <c r="J63" s="1"/>
      <c r="K63" s="1">
        <v>7.1951876558603489</v>
      </c>
      <c r="L63" s="1"/>
      <c r="M63" s="1"/>
      <c r="N63" s="1">
        <v>3.4230163620182101</v>
      </c>
      <c r="O63" s="1"/>
      <c r="P63" s="1"/>
      <c r="Q63" s="1">
        <v>4.2514522997507935</v>
      </c>
      <c r="R63" s="1"/>
      <c r="S63" s="1">
        <v>3.2887398314593512</v>
      </c>
      <c r="U63" s="3"/>
      <c r="V63" s="1"/>
      <c r="W63" s="1"/>
      <c r="X63" s="1"/>
      <c r="Y63" s="1"/>
      <c r="Z63" s="1"/>
      <c r="AA63" s="1"/>
      <c r="AB63" s="3"/>
      <c r="AC63" s="1"/>
      <c r="AD63" s="1"/>
      <c r="AE63" s="1"/>
      <c r="AJ63" s="14">
        <v>0.51840569671693737</v>
      </c>
      <c r="AK63" s="14">
        <v>4.6110822497453912</v>
      </c>
      <c r="AL63" s="1"/>
      <c r="AM63" s="1">
        <f>9*20*0.0261452991452991</f>
        <v>4.7061538461538381</v>
      </c>
      <c r="AO63" s="1">
        <f>20*9*0.0695879380184043</f>
        <v>12.525828843312773</v>
      </c>
      <c r="AP63" s="1"/>
      <c r="AQ63" s="1"/>
      <c r="AR63" s="1">
        <f>(2.2046*30)*20*(1/112)*0.411777777777778</f>
        <v>4.8632426190476226</v>
      </c>
      <c r="AS63" s="1">
        <f>(2.2046*30)*20*(1/112)*0.612</f>
        <v>7.227938571428572</v>
      </c>
      <c r="AT63" s="1">
        <f>20*9*0.061</f>
        <v>10.98</v>
      </c>
      <c r="AU63" s="14">
        <v>5.4375</v>
      </c>
    </row>
    <row r="64" spans="1:47" x14ac:dyDescent="0.25">
      <c r="A64" s="8">
        <f t="shared" si="1"/>
        <v>1897</v>
      </c>
      <c r="C64" s="1">
        <v>2.7628205128205128</v>
      </c>
      <c r="D64" s="1">
        <v>4.2835135978043919</v>
      </c>
      <c r="E64" s="3">
        <f>20*0.369557861493345</f>
        <v>7.3911572298669004</v>
      </c>
      <c r="F64" s="1"/>
      <c r="G64" s="3">
        <f>20*0.249997369224132</f>
        <v>4.9999473844826401</v>
      </c>
      <c r="H64" s="1"/>
      <c r="I64" s="1"/>
      <c r="J64" s="1"/>
      <c r="K64" s="1">
        <v>4.1233167082294271</v>
      </c>
      <c r="L64" s="1"/>
      <c r="M64" s="1"/>
      <c r="N64" s="1">
        <v>3.06</v>
      </c>
      <c r="O64" s="1"/>
      <c r="P64" s="1"/>
      <c r="Q64" s="1">
        <v>2.798137167845705</v>
      </c>
      <c r="R64" s="1"/>
      <c r="S64" s="1">
        <v>2.9526105998720511</v>
      </c>
      <c r="V64" s="1"/>
      <c r="W64" s="1"/>
      <c r="X64" s="1"/>
      <c r="Y64" s="1"/>
      <c r="Z64" s="1"/>
      <c r="AA64" s="1"/>
      <c r="AB64" s="3"/>
      <c r="AC64" s="1"/>
      <c r="AD64" s="1"/>
      <c r="AE64" s="1">
        <f>(2.2046*30)*20*0.00280583613916947</f>
        <v>3.7114478114478091</v>
      </c>
      <c r="AJ64" s="14">
        <v>0.46878196493379126</v>
      </c>
      <c r="AK64" s="14">
        <v>4.4612416996199133</v>
      </c>
      <c r="AL64" s="1"/>
      <c r="AM64" s="1">
        <f>9*20*0.0259782135076253</f>
        <v>4.6760784313725541</v>
      </c>
      <c r="AO64" s="1">
        <f>20*9*0.0746976405666116</f>
        <v>13.445575301990088</v>
      </c>
      <c r="AP64" s="1"/>
      <c r="AQ64" s="1"/>
      <c r="AR64" s="1">
        <f>(2.2046*30)*20*(1/112)*0.375</f>
        <v>4.4288839285714294</v>
      </c>
      <c r="AS64" s="1">
        <f>(2.2046*30)*20*(1/112)*0.375528364849833</f>
        <v>4.4351241061496891</v>
      </c>
      <c r="AT64" s="1">
        <f>20*9*0.0577803532699366</f>
        <v>10.400463588588588</v>
      </c>
      <c r="AU64" s="14">
        <v>5.0859375</v>
      </c>
    </row>
    <row r="65" spans="1:47" x14ac:dyDescent="0.25">
      <c r="A65" s="8">
        <f t="shared" si="1"/>
        <v>1898</v>
      </c>
      <c r="C65" s="1">
        <v>2.6217948717948718</v>
      </c>
      <c r="D65" s="1">
        <v>3.7128368263473059</v>
      </c>
      <c r="E65" s="1"/>
      <c r="F65" s="1"/>
      <c r="G65" s="1">
        <f>20*0.202135806671205</f>
        <v>4.0427161334241006</v>
      </c>
      <c r="I65" s="1"/>
      <c r="J65" s="1"/>
      <c r="K65" s="1">
        <v>4.1233167082294271</v>
      </c>
      <c r="L65" s="1">
        <v>4.5714285714285712</v>
      </c>
      <c r="M65" s="1"/>
      <c r="N65" s="1">
        <v>3.0636363636363635</v>
      </c>
      <c r="O65" s="1">
        <f>20*9*0.0212962962962963</f>
        <v>3.8333333333333339</v>
      </c>
      <c r="P65" s="1"/>
      <c r="Q65" s="1">
        <v>2.8350659124837825</v>
      </c>
      <c r="R65" s="1"/>
      <c r="S65" s="1">
        <v>2.9463417875580977</v>
      </c>
      <c r="U65" s="3"/>
      <c r="V65" s="1"/>
      <c r="W65" s="1"/>
      <c r="X65" s="1"/>
      <c r="Y65" s="1"/>
      <c r="Z65" s="1"/>
      <c r="AA65" s="1"/>
      <c r="AB65" s="3"/>
      <c r="AC65" s="1"/>
      <c r="AD65" s="1"/>
      <c r="AE65" s="1"/>
      <c r="AG65" s="1"/>
      <c r="AJ65" s="14">
        <v>0.54621328853426221</v>
      </c>
      <c r="AK65" s="14">
        <v>4.4360322075961145</v>
      </c>
      <c r="AL65" s="1"/>
      <c r="AM65" s="1"/>
      <c r="AN65" s="1">
        <f>20*9*0.0242920634920635</f>
        <v>4.3725714285714297</v>
      </c>
      <c r="AO65" s="1">
        <f>20*9*0.0760456422057105</f>
        <v>13.68821559702789</v>
      </c>
      <c r="AP65" s="1"/>
      <c r="AQ65" s="1"/>
      <c r="AR65" s="1">
        <f>(2.2046*30)*20*(1/112)*0.250044444444444</f>
        <v>2.9531141904761857</v>
      </c>
      <c r="AS65" s="1">
        <f>(2.2046*30)*20*(1/112)*0.25</f>
        <v>2.9525892857142861</v>
      </c>
      <c r="AT65" s="1">
        <f>20*9*0.0522582071601764</f>
        <v>9.406477288831752</v>
      </c>
      <c r="AU65" s="14">
        <v>4.333333333333333</v>
      </c>
    </row>
    <row r="66" spans="1:47" x14ac:dyDescent="0.25">
      <c r="A66" s="8">
        <f t="shared" si="1"/>
        <v>1899</v>
      </c>
      <c r="C66" s="1">
        <v>2.6987179487179489</v>
      </c>
      <c r="D66" s="1">
        <v>3.7506527569860282</v>
      </c>
      <c r="E66" s="1"/>
      <c r="F66" s="1"/>
      <c r="G66" s="1">
        <f>20*0.275007712936374</f>
        <v>5.5001542587274797</v>
      </c>
      <c r="I66" s="1"/>
      <c r="J66" s="1"/>
      <c r="K66" s="1">
        <v>5.6695604738154612</v>
      </c>
      <c r="L66" s="1"/>
      <c r="M66" s="1"/>
      <c r="N66" s="1">
        <v>2.916666666666667</v>
      </c>
      <c r="O66" s="1">
        <f>20*9*0.0254901960784314</f>
        <v>4.5882352941176521</v>
      </c>
      <c r="P66" s="1"/>
      <c r="Q66" s="1">
        <v>2.843299886867483</v>
      </c>
      <c r="R66" s="1"/>
      <c r="S66" s="1">
        <v>4.2193576045275325</v>
      </c>
      <c r="T66" s="1"/>
      <c r="U66" s="1"/>
      <c r="V66" s="1"/>
      <c r="W66" s="1"/>
      <c r="X66" s="1"/>
      <c r="Y66" s="1"/>
      <c r="Z66" s="1"/>
      <c r="AA66" s="1"/>
      <c r="AB66" s="3"/>
      <c r="AC66" s="1"/>
      <c r="AD66" s="1"/>
      <c r="AE66" s="1"/>
      <c r="AG66" s="1"/>
      <c r="AJ66" s="14">
        <v>0.91744430887267558</v>
      </c>
      <c r="AK66" s="14">
        <v>4.6106456543771479</v>
      </c>
      <c r="AL66" s="1"/>
      <c r="AM66" s="1">
        <f>9*20*0.0296368917937545</f>
        <v>5.3346405228758105</v>
      </c>
      <c r="AN66" s="1">
        <f>20*9*0.0299248308247183</f>
        <v>5.3864695484492939</v>
      </c>
      <c r="AO66" s="1">
        <f>20*9*0.0585980270909453</f>
        <v>10.547644876370153</v>
      </c>
      <c r="AP66" s="1"/>
      <c r="AQ66" s="1">
        <f>9*20*0.0377777777777778</f>
        <v>6.8000000000000043</v>
      </c>
      <c r="AR66" s="1">
        <f>(2.2046*30)*20*(1/112)*0.266696299588843</f>
        <v>3.1497785468226609</v>
      </c>
      <c r="AS66" s="1">
        <f>(2.2046*30)*20*(1/112)*0.2664</f>
        <v>3.1462791428571437</v>
      </c>
      <c r="AT66" s="1">
        <f>20*9*0.0544104133558913</f>
        <v>9.7938744040604337</v>
      </c>
      <c r="AU66" s="14">
        <v>4.7916666666666661</v>
      </c>
    </row>
    <row r="67" spans="1:47" x14ac:dyDescent="0.25">
      <c r="A67" s="8">
        <f t="shared" si="1"/>
        <v>1900</v>
      </c>
      <c r="C67" s="1">
        <v>3.1217948717948718</v>
      </c>
      <c r="D67" s="1">
        <v>4.1872548652694617</v>
      </c>
      <c r="E67" s="1"/>
      <c r="F67" s="1"/>
      <c r="G67" s="1">
        <f>20*0.299990804174905</f>
        <v>5.9998160834981</v>
      </c>
      <c r="I67" s="1"/>
      <c r="J67" s="1"/>
      <c r="K67" s="1">
        <v>5.9821889947262994</v>
      </c>
      <c r="L67" s="1"/>
      <c r="M67" s="1"/>
      <c r="N67" s="1">
        <v>7.2000000000000011</v>
      </c>
      <c r="O67" s="1">
        <f>20*9*0.0231649831649832</f>
        <v>4.1696969696969761</v>
      </c>
      <c r="P67" s="1"/>
      <c r="Q67" s="1">
        <v>2.836688243756984</v>
      </c>
      <c r="R67" s="1"/>
      <c r="S67" s="1">
        <v>4.1336548398208723</v>
      </c>
      <c r="T67" s="1"/>
      <c r="U67" s="1"/>
      <c r="V67" s="1"/>
      <c r="W67" s="1"/>
      <c r="X67" s="1"/>
      <c r="Y67" s="1">
        <f>(2.2046*30)*20*(1/112)*0.662721893491124</f>
        <v>7.8269822485207081</v>
      </c>
      <c r="Z67" s="1"/>
      <c r="AA67" s="1"/>
      <c r="AB67" s="3"/>
      <c r="AC67" s="1"/>
      <c r="AD67" s="1"/>
      <c r="AE67" s="1"/>
      <c r="AG67" s="1"/>
      <c r="AJ67" s="14">
        <v>0.88221412124504495</v>
      </c>
      <c r="AK67" s="14">
        <v>5.2347306928743587</v>
      </c>
      <c r="AL67" s="1"/>
      <c r="AM67" s="1">
        <f>9*20*0.0351880341880342</f>
        <v>6.3338461538461557</v>
      </c>
      <c r="AN67" s="1">
        <f>20*9*0.0388750346356331</f>
        <v>6.9975062344139571</v>
      </c>
      <c r="AO67" s="1">
        <f>20*9*0.0479563933909794</f>
        <v>8.6321508103762916</v>
      </c>
      <c r="AP67" s="1"/>
      <c r="AQ67" s="1">
        <f>9*20*0.0555555555555556</f>
        <v>10.000000000000009</v>
      </c>
      <c r="AR67" s="1">
        <f>(2.2046*30)*20*(1/112)*0.333392857142857</f>
        <v>3.9374887117346926</v>
      </c>
      <c r="AS67" s="1">
        <f>(2.2046*30)*20*(1/112)*0.366333333333333</f>
        <v>4.3265274999999965</v>
      </c>
      <c r="AT67" s="1">
        <f>20*9*0.0608523512070257</f>
        <v>10.953423217264627</v>
      </c>
      <c r="AU67" s="14">
        <v>6.2291666666666661</v>
      </c>
    </row>
    <row r="68" spans="1:47" x14ac:dyDescent="0.25">
      <c r="A68" s="8">
        <f t="shared" si="1"/>
        <v>1901</v>
      </c>
      <c r="C68" s="1">
        <v>2.7884615384615383</v>
      </c>
      <c r="D68" s="1">
        <v>4.9091953592814379</v>
      </c>
      <c r="E68" s="1"/>
      <c r="F68" s="1">
        <f>20*0.250051851497312</f>
        <v>5.0010370299462403</v>
      </c>
      <c r="G68" s="3"/>
      <c r="H68" s="1"/>
      <c r="I68" s="1"/>
      <c r="J68" s="1"/>
      <c r="K68" s="1">
        <v>4.6302818772740286</v>
      </c>
      <c r="L68" s="1">
        <v>4.7301333333333337</v>
      </c>
      <c r="M68" s="1"/>
      <c r="N68" s="1">
        <v>6.166666666666667</v>
      </c>
      <c r="O68" s="1"/>
      <c r="P68" s="1"/>
      <c r="Q68" s="1">
        <v>2.3620884798976425</v>
      </c>
      <c r="R68" s="1"/>
      <c r="S68" s="1">
        <v>3.3054669167418793</v>
      </c>
      <c r="T68" s="1"/>
      <c r="U68" s="1"/>
      <c r="V68" s="1"/>
      <c r="W68" s="1"/>
      <c r="X68" s="1"/>
      <c r="Y68" s="1"/>
      <c r="Z68" s="1"/>
      <c r="AA68" s="1"/>
      <c r="AB68" s="3"/>
      <c r="AC68" s="1"/>
      <c r="AD68" s="1"/>
      <c r="AE68" s="1"/>
      <c r="AG68" s="1"/>
      <c r="AJ68" s="14">
        <v>0.35166147881473275</v>
      </c>
      <c r="AK68" s="14">
        <v>4.9545195015231238</v>
      </c>
      <c r="AL68" s="1"/>
      <c r="AM68" s="1">
        <f>9*20*0.0284740740740741</f>
        <v>5.1253333333333382</v>
      </c>
      <c r="AN68" s="1">
        <f>20*9*0.0258304696449026</f>
        <v>4.6494845360824675</v>
      </c>
      <c r="AO68" s="1">
        <f>20*9*0.0936923716400507</f>
        <v>16.864626895209128</v>
      </c>
      <c r="AP68" s="1"/>
      <c r="AQ68" s="1">
        <f>9*20*0.0277717873145952</f>
        <v>4.9989217166271356</v>
      </c>
      <c r="AR68" s="1">
        <f>(2.2046*30)*20*(1/112)*0.366759002770083</f>
        <v>4.3315548080728128</v>
      </c>
      <c r="AS68" s="1">
        <f>(2.2046*30)*20*(1/112)*0.308181818181818</f>
        <v>3.6397373376623361</v>
      </c>
      <c r="AT68" s="1">
        <f>20*9*0.0585342789598109</f>
        <v>10.536170212765962</v>
      </c>
      <c r="AU68" s="14">
        <v>5.833333333333333</v>
      </c>
    </row>
    <row r="69" spans="1:47" x14ac:dyDescent="0.25">
      <c r="A69" s="8">
        <f t="shared" si="1"/>
        <v>1902</v>
      </c>
      <c r="C69" s="1">
        <v>2.5192307692307696</v>
      </c>
      <c r="D69" s="1">
        <v>4.524160429141717</v>
      </c>
      <c r="E69" s="1"/>
      <c r="F69" s="1">
        <f>20*0.225009538344143</f>
        <v>4.5001907668828602</v>
      </c>
      <c r="G69" s="3"/>
      <c r="H69" s="1"/>
      <c r="I69" s="1"/>
      <c r="J69" s="1"/>
      <c r="K69" s="1">
        <v>4.6261602092330145</v>
      </c>
      <c r="L69" s="1">
        <v>5.0081300813008136</v>
      </c>
      <c r="M69" s="1"/>
      <c r="N69" s="1">
        <v>4.3333333333333339</v>
      </c>
      <c r="O69" s="1"/>
      <c r="P69" s="1"/>
      <c r="Q69" s="1">
        <v>2.3605960061319116</v>
      </c>
      <c r="R69" s="1"/>
      <c r="S69" s="1">
        <v>2.9526105998720511</v>
      </c>
      <c r="T69" s="1"/>
      <c r="U69" s="1"/>
      <c r="V69" s="3">
        <f>(2.2046*30)*20*0.0050236100937694</f>
        <v>6.6450304876344122</v>
      </c>
      <c r="W69" s="3">
        <f>(2.2046*30)*20*0.00557545756529668</f>
        <v>7.3749922490718376</v>
      </c>
      <c r="X69" s="1"/>
      <c r="Y69" s="1"/>
      <c r="Z69" s="1">
        <f>(2.2046*30)*20*(1/112)*0.717948717948718</f>
        <v>8.4792307692307709</v>
      </c>
      <c r="AA69" s="1"/>
      <c r="AB69" s="15"/>
      <c r="AC69" s="1"/>
      <c r="AD69" s="1"/>
      <c r="AE69" s="1"/>
      <c r="AG69" s="1"/>
      <c r="AJ69" s="14">
        <v>0.32341309813697594</v>
      </c>
      <c r="AK69" s="14">
        <v>4.5044041138113764</v>
      </c>
      <c r="AL69" s="1"/>
      <c r="AM69" s="1">
        <f>9*20*0.0296340296340296</f>
        <v>5.3341253341253276</v>
      </c>
      <c r="AN69" s="1">
        <f>20*9*0.0259259259259259</f>
        <v>4.6666666666666625</v>
      </c>
      <c r="AO69" s="1">
        <f>20*9*0.101847469498717</f>
        <v>18.332544509769058</v>
      </c>
      <c r="AP69" s="1"/>
      <c r="AQ69" s="1">
        <f>9*20*0.0300595238095238</f>
        <v>5.4107142857142838</v>
      </c>
      <c r="AS69" s="1"/>
      <c r="AU69" s="14">
        <v>4.833333333333333</v>
      </c>
    </row>
    <row r="70" spans="1:47" x14ac:dyDescent="0.25">
      <c r="A70" s="8">
        <f t="shared" si="1"/>
        <v>1903</v>
      </c>
      <c r="C70" s="1">
        <v>2.6666666666666665</v>
      </c>
      <c r="D70" s="1">
        <v>4.5722897954091826</v>
      </c>
      <c r="E70" s="1"/>
      <c r="F70" s="1">
        <f>20*0.250023441162682</f>
        <v>5.0004688232536401</v>
      </c>
      <c r="G70" s="3"/>
      <c r="H70" s="1"/>
      <c r="I70" s="1"/>
      <c r="J70" s="1"/>
      <c r="K70" s="1">
        <v>4.6413423129107327</v>
      </c>
      <c r="L70" s="1">
        <v>6.0121584964154229</v>
      </c>
      <c r="M70" s="1"/>
      <c r="N70" s="1"/>
      <c r="O70" s="1"/>
      <c r="P70" s="1"/>
      <c r="Q70" s="1">
        <v>2.4122123733702723</v>
      </c>
      <c r="R70" s="1"/>
      <c r="S70" s="1">
        <v>2.9526105998720511</v>
      </c>
      <c r="T70" s="1"/>
      <c r="U70" s="1"/>
      <c r="V70" s="3">
        <f>(2.2046*30)*20*0.00489497839937026</f>
        <v>6.4748816275510066</v>
      </c>
      <c r="W70" s="3">
        <f>(2.2046*30)*20*0.00596370741380693</f>
        <v>7.888553618687256</v>
      </c>
      <c r="X70" s="1"/>
      <c r="Y70" s="1">
        <f>(2.2046*30)*20*(1/112)*0.593303438861247</f>
        <v>7.0071255070366361</v>
      </c>
      <c r="AA70" s="1"/>
      <c r="AB70" s="13"/>
      <c r="AC70" s="1"/>
      <c r="AD70" s="1"/>
      <c r="AE70" s="1"/>
      <c r="AG70" s="1"/>
      <c r="AJ70" s="14">
        <v>0.49285177890479098</v>
      </c>
      <c r="AK70" s="14">
        <v>4.4904273189103181</v>
      </c>
      <c r="AL70" s="1"/>
      <c r="AM70" s="1">
        <f>9*20*0.033336555813354</f>
        <v>6.0005800464037202</v>
      </c>
      <c r="AN70" s="1">
        <f>20*9*0.0333400823378552</f>
        <v>6.001214820813936</v>
      </c>
      <c r="AO70" s="1">
        <f>20*9*0.0873146666915099</f>
        <v>15.716640004471783</v>
      </c>
      <c r="AP70" s="1"/>
      <c r="AQ70" s="1">
        <f>(2.2046*30)*20*(1/112)*0.497814934448033</f>
        <v>5.8793721668792873</v>
      </c>
      <c r="AU70" s="14">
        <v>5.333333333333333</v>
      </c>
    </row>
    <row r="71" spans="1:47" x14ac:dyDescent="0.25">
      <c r="A71" s="8">
        <f t="shared" si="1"/>
        <v>1904</v>
      </c>
      <c r="C71" s="1">
        <v>2.865384615384615</v>
      </c>
      <c r="D71" s="1">
        <v>5.6208224176646722</v>
      </c>
      <c r="E71" s="1"/>
      <c r="F71" s="1">
        <f>20*0.25</f>
        <v>5</v>
      </c>
      <c r="G71" s="3"/>
      <c r="H71" s="1"/>
      <c r="I71" s="1"/>
      <c r="J71" s="1"/>
      <c r="K71" s="1">
        <v>5.0630398309093207</v>
      </c>
      <c r="L71" s="1">
        <v>5.8271604938271606</v>
      </c>
      <c r="M71" s="1"/>
      <c r="N71" s="1"/>
      <c r="O71" s="1"/>
      <c r="P71" s="1"/>
      <c r="Q71" s="1">
        <v>3.5693951871201195</v>
      </c>
      <c r="R71" s="1"/>
      <c r="S71" s="1">
        <v>3.6907632498400638</v>
      </c>
      <c r="T71" s="1"/>
      <c r="U71" s="1"/>
      <c r="V71" s="3">
        <f>(2.2046*30)*20*0.00438412726217826</f>
        <v>5.7991481773189157</v>
      </c>
      <c r="W71" s="3">
        <f>(2.2046*30)*20*0.0053213901156349</f>
        <v>7.0389219893572212</v>
      </c>
      <c r="X71" s="1">
        <f>(2.2046*30)*20*(1/112)*0.969327702000969</f>
        <v>11.448106349096445</v>
      </c>
      <c r="Y71" s="1">
        <f>(2.2046*30)*20*(1/112)*0.571741276691772</f>
        <v>6.7524686710429327</v>
      </c>
      <c r="Z71" s="1">
        <f>(2.2046*30)*20*(1/112)*0.781924346280782</f>
        <v>9.234805788271137</v>
      </c>
      <c r="AA71" s="1"/>
      <c r="AB71" s="15"/>
      <c r="AC71" s="1"/>
      <c r="AD71" s="1"/>
      <c r="AE71" s="1"/>
      <c r="AG71" s="1"/>
      <c r="AJ71" s="14">
        <v>0.79591079186421043</v>
      </c>
      <c r="AK71" s="14">
        <v>4.8066769391015063</v>
      </c>
      <c r="AL71" s="1"/>
      <c r="AM71" s="1">
        <f>9*20*0.0321021256317557</f>
        <v>5.7783826137160261</v>
      </c>
      <c r="AN71" s="1">
        <f>20*9*0.0333238447670557</f>
        <v>5.9982920580700263</v>
      </c>
      <c r="AO71" s="1">
        <f>20*9*0.0894550825946525</f>
        <v>16.101914867037451</v>
      </c>
      <c r="AP71" s="1"/>
      <c r="AQ71" s="1">
        <f>(2.2046*30)*20*(1/112)*0.254888268156425</f>
        <v>3.0103214784517216</v>
      </c>
      <c r="AU71" s="14">
        <v>5.333333333333333</v>
      </c>
    </row>
    <row r="72" spans="1:47" x14ac:dyDescent="0.25">
      <c r="A72" s="8">
        <f t="shared" ref="A72:A135" si="2">A71+1</f>
        <v>1905</v>
      </c>
      <c r="C72" s="1">
        <v>2.6025641025641026</v>
      </c>
      <c r="D72" s="1">
        <v>5.6380114770459082</v>
      </c>
      <c r="E72" s="1"/>
      <c r="F72" s="1">
        <f>20*0.274999568153944</f>
        <v>5.4999913630788804</v>
      </c>
      <c r="G72" s="3"/>
      <c r="H72" s="1"/>
      <c r="I72" s="1"/>
      <c r="J72" s="1"/>
      <c r="K72" s="1">
        <v>4.6432131627453126</v>
      </c>
      <c r="L72" s="1"/>
      <c r="M72" s="1"/>
      <c r="N72" s="1"/>
      <c r="O72" s="1"/>
      <c r="P72" s="1"/>
      <c r="Q72" s="1">
        <v>3.4489183645229113</v>
      </c>
      <c r="R72" s="1">
        <v>5.1727922503380466</v>
      </c>
      <c r="S72" s="1">
        <v>4.059718764243061</v>
      </c>
      <c r="T72" s="3"/>
      <c r="U72" s="16">
        <f>(2.2046*30)*20*0.0104523605333978</f>
        <v>13.825964419157277</v>
      </c>
      <c r="V72" s="3">
        <f>(2.2046*30)*20*0.00468177231226982</f>
        <v>6.1928611437780283</v>
      </c>
      <c r="W72" s="3">
        <f>(2.2046*30)*20*0.00701136822667205</f>
        <v>9.2743574355127212</v>
      </c>
      <c r="X72" s="1">
        <f>(2.2046*30)*20*(1/112)*0.622128809488065</f>
        <v>7.3475634289145804</v>
      </c>
      <c r="Y72" s="1"/>
      <c r="Z72" s="1"/>
      <c r="AA72" s="1">
        <f>9*20*0.0555555555555556</f>
        <v>10.000000000000009</v>
      </c>
      <c r="AB72" s="3"/>
      <c r="AC72" s="1"/>
      <c r="AD72" s="1"/>
      <c r="AE72" s="1"/>
      <c r="AF72" s="3"/>
      <c r="AH72" s="3"/>
      <c r="AI72" s="3"/>
      <c r="AJ72" s="14">
        <v>0.85189311728375205</v>
      </c>
      <c r="AK72" s="14">
        <v>5.0841292433327112</v>
      </c>
      <c r="AL72" s="1"/>
      <c r="AM72" s="1">
        <f>9*20*0.0295585436816859</f>
        <v>5.3205378627034614</v>
      </c>
      <c r="AN72" s="1">
        <f>20*9*0.034246621507768</f>
        <v>6.16439187139824</v>
      </c>
      <c r="AO72" s="1">
        <f>20*9*0.0580357142857143</f>
        <v>10.446428571428575</v>
      </c>
      <c r="AP72" s="1"/>
      <c r="AQ72" s="1">
        <f>(2.2046*30)*20*(1/112)*0.387142545295787</f>
        <v>4.572291725137994</v>
      </c>
      <c r="AU72" s="14">
        <v>5.333333333333333</v>
      </c>
    </row>
    <row r="73" spans="1:47" x14ac:dyDescent="0.25">
      <c r="A73" s="8">
        <f t="shared" si="2"/>
        <v>1906</v>
      </c>
      <c r="C73" s="1">
        <v>2.7115384615384617</v>
      </c>
      <c r="D73" s="1">
        <v>5.2082849925149715</v>
      </c>
      <c r="E73" s="1"/>
      <c r="F73" s="1">
        <f>20*0.325</f>
        <v>6.5</v>
      </c>
      <c r="G73" s="3"/>
      <c r="H73" s="1"/>
      <c r="I73" s="1"/>
      <c r="J73" s="1"/>
      <c r="K73" s="1">
        <v>6.4114071995375639</v>
      </c>
      <c r="L73" s="1">
        <v>6.1363636363636367</v>
      </c>
      <c r="M73" s="1"/>
      <c r="N73" s="1"/>
      <c r="O73" s="1"/>
      <c r="P73" s="1"/>
      <c r="Q73" s="1">
        <v>3.7785970166999334</v>
      </c>
      <c r="R73" s="1">
        <v>4.208851002632243</v>
      </c>
      <c r="S73" s="1">
        <v>3.6898680853361006</v>
      </c>
      <c r="T73" s="3"/>
      <c r="U73" s="16">
        <f>(2.2046*30)*20*0.00865938816227001</f>
        <v>11.45429228552428</v>
      </c>
      <c r="V73" s="3">
        <f>(2.2046*30)*20*0.00458939825811944</f>
        <v>6.0706724399100711</v>
      </c>
      <c r="W73" s="3">
        <f>(2.2046*30)*20*0.00854875654450262</f>
        <v>11.307953206806287</v>
      </c>
      <c r="X73" s="1"/>
      <c r="Y73" s="1"/>
      <c r="Z73" s="1"/>
      <c r="AA73" s="1">
        <f>9*20*0.0555555555555556</f>
        <v>10.000000000000009</v>
      </c>
      <c r="AB73" s="3"/>
      <c r="AC73" s="1"/>
      <c r="AD73" s="1">
        <f>(2.2046*30)*20*0.00188354070002932</f>
        <v>2.4914722963707838</v>
      </c>
      <c r="AE73" s="1"/>
      <c r="AF73" s="3">
        <v>1.6332166262269099</v>
      </c>
      <c r="AG73" s="1"/>
      <c r="AH73" s="3">
        <f>(2.2046*30)*20*0.00345849802371542</f>
        <v>4.5747628458498104</v>
      </c>
      <c r="AI73" s="3"/>
      <c r="AJ73" s="14">
        <v>1.0938172433029425</v>
      </c>
      <c r="AK73" s="14">
        <v>4.6582846235768658</v>
      </c>
      <c r="AL73" s="1"/>
      <c r="AM73" s="1">
        <f>9*20*0.0296296296296296</f>
        <v>5.3333333333333277</v>
      </c>
      <c r="AN73" s="1">
        <f>20*9*0.0314827603846941</f>
        <v>5.6668968692449386</v>
      </c>
      <c r="AO73" s="1">
        <f>20*9*0.0456805555555556</f>
        <v>8.2225000000000072</v>
      </c>
      <c r="AP73" s="1"/>
      <c r="AQ73" s="1">
        <f>(2.2046*30)*20*(1/112)*0.648148148148148</f>
        <v>7.6548611111111109</v>
      </c>
      <c r="AR73" s="1">
        <f>(2.2046*30)*20*(1/112)*0.711711711711712</f>
        <v>8.4055694980695019</v>
      </c>
      <c r="AU73" s="14">
        <v>5.833333333333333</v>
      </c>
    </row>
    <row r="74" spans="1:47" x14ac:dyDescent="0.25">
      <c r="A74" s="8">
        <f t="shared" si="2"/>
        <v>1907</v>
      </c>
      <c r="C74" s="1">
        <v>2.6089743589743595</v>
      </c>
      <c r="D74" s="1">
        <v>5.3629865269461083</v>
      </c>
      <c r="E74" s="1"/>
      <c r="F74" s="1">
        <f>20*0.29999282142088</f>
        <v>5.9998564284176004</v>
      </c>
      <c r="G74" s="3"/>
      <c r="H74" s="3"/>
      <c r="I74" s="1"/>
      <c r="J74" s="3"/>
      <c r="K74" s="3">
        <v>5.6373900859106811</v>
      </c>
      <c r="L74" s="1"/>
      <c r="M74" s="1"/>
      <c r="N74" s="1"/>
      <c r="O74" s="1">
        <f>20*(1/2240)*8.58105549332773*(2.2046*30)</f>
        <v>5.0672665019438341</v>
      </c>
      <c r="P74" s="1">
        <f>(20*2.2046*30)*(1/2240)*14.1476274165202</f>
        <v>8.3544266256590429</v>
      </c>
      <c r="Q74" s="1">
        <v>3.797910756133783</v>
      </c>
      <c r="R74" s="1">
        <v>4.6685884020234081</v>
      </c>
      <c r="S74" s="1">
        <v>3.5629446091529617</v>
      </c>
      <c r="T74" s="3"/>
      <c r="U74" s="13"/>
      <c r="V74" s="3">
        <f>(2.2046*30)*20*0.00480901028279857</f>
        <v>6.3611664416746372</v>
      </c>
      <c r="W74" s="3">
        <f>(2.2046*30)*20*0.00540192136521285</f>
        <v>7.1454455050489507</v>
      </c>
      <c r="X74" s="1"/>
      <c r="Y74" s="1"/>
      <c r="Z74" s="1"/>
      <c r="AA74" s="1">
        <f>9*20*0.048</f>
        <v>8.64</v>
      </c>
      <c r="AB74" s="3"/>
      <c r="AC74" s="1"/>
      <c r="AD74" s="1">
        <f>(2.2046*30)*20*0.00207947203711977</f>
        <v>2.7506424318205474</v>
      </c>
      <c r="AE74" s="1"/>
      <c r="AF74" s="3">
        <v>1.4547527416271371</v>
      </c>
      <c r="AG74" s="1"/>
      <c r="AH74" s="3">
        <f>(2.2046*30)*20*0.00273765354273981</f>
        <v>3.621258600194512</v>
      </c>
      <c r="AI74" s="3"/>
      <c r="AJ74" s="14">
        <v>1.3679300463831459</v>
      </c>
      <c r="AK74" s="14">
        <v>5.663307026762717</v>
      </c>
      <c r="AL74" s="1"/>
      <c r="AM74" s="1">
        <f>9*20*0.0296296296296296</f>
        <v>5.3333333333333277</v>
      </c>
      <c r="AN74" s="1">
        <f>20*9*0.0296296296296296</f>
        <v>5.3333333333333277</v>
      </c>
      <c r="AO74" s="1">
        <f>20*9*0.0461308016877637</f>
        <v>8.3035443037974659</v>
      </c>
      <c r="AP74" s="1"/>
      <c r="AQ74" s="1">
        <f>(2.2046*30)*20*(1/112)*0.43111753371869</f>
        <v>5.0916520437654862</v>
      </c>
      <c r="AR74" s="1">
        <f>(2.2046*30)*20*(1/112)*0.458712559986762</f>
        <v>5.4175591593579409</v>
      </c>
      <c r="AS74" s="3">
        <f>(2.2046*30)*20*(1/112)*1.29487179487179</f>
        <v>15.292898351648297</v>
      </c>
      <c r="AU74" s="14">
        <v>5.875</v>
      </c>
    </row>
    <row r="75" spans="1:47" x14ac:dyDescent="0.25">
      <c r="A75" s="8">
        <f t="shared" si="2"/>
        <v>1908</v>
      </c>
      <c r="C75" s="1">
        <v>2.6474358974358974</v>
      </c>
      <c r="D75" s="1">
        <v>5.5520661801397209</v>
      </c>
      <c r="E75" s="1"/>
      <c r="F75" s="1">
        <f>20*0.299995943886568</f>
        <v>5.9999188777313597</v>
      </c>
      <c r="G75" s="3"/>
      <c r="H75" s="3"/>
      <c r="I75" s="1"/>
      <c r="J75" s="1"/>
      <c r="K75" s="1">
        <v>5.8638601395591889</v>
      </c>
      <c r="L75" s="1">
        <v>6</v>
      </c>
      <c r="M75" s="1"/>
      <c r="N75" s="1"/>
      <c r="O75" s="1"/>
      <c r="P75" s="1"/>
      <c r="Q75" s="1">
        <v>3.3039185199557282</v>
      </c>
      <c r="R75" s="1">
        <v>13.694701066217155</v>
      </c>
      <c r="S75" s="1">
        <v>3.6912780903980194</v>
      </c>
      <c r="T75" s="3"/>
      <c r="U75" s="3"/>
      <c r="V75" s="3">
        <f>(2.2046*30)*20*0.00488843902098833</f>
        <v>6.4662315994025237</v>
      </c>
      <c r="W75" s="3">
        <f>(2.2046*30)*20*0.00602643020102449</f>
        <v>7.9715208127071557</v>
      </c>
      <c r="X75" s="1"/>
      <c r="Y75" s="1"/>
      <c r="Z75" s="1"/>
      <c r="AA75" s="3">
        <f>9*20*0.111111111111111</f>
        <v>19.999999999999979</v>
      </c>
      <c r="AB75" s="3"/>
      <c r="AC75" s="1"/>
      <c r="AD75" s="1">
        <f>(2.2046*30)*20*0.00228220982898138</f>
        <v>3.0188158733834105</v>
      </c>
      <c r="AE75" s="1"/>
      <c r="AF75" s="3">
        <v>1.5694862725207874</v>
      </c>
      <c r="AG75" s="1"/>
      <c r="AH75" s="3">
        <f>(2.2046*30)*20*0.00285571499964304</f>
        <v>3.7774255729278279</v>
      </c>
      <c r="AI75" s="1">
        <f>(2.2046*30)*20*0.00135671250193051</f>
        <v>1.7946050290536015</v>
      </c>
      <c r="AJ75" s="14">
        <v>1.0618357870644426</v>
      </c>
      <c r="AK75" s="14">
        <v>5.56788074526155</v>
      </c>
      <c r="AL75" s="1"/>
      <c r="AM75" s="1"/>
      <c r="AN75" s="1">
        <f>20*9*0.0296296296296296</f>
        <v>5.3333333333333277</v>
      </c>
      <c r="AO75" s="1">
        <f>20*9*0.0804042806183115</f>
        <v>14.472770511296069</v>
      </c>
      <c r="AP75" s="1"/>
      <c r="AQ75" s="1">
        <f>(2.2046*30)*20*(1/112)*0.472536496350365</f>
        <v>5.5808247849322221</v>
      </c>
      <c r="AR75" s="1">
        <f>(2.2046*30)*20*(1/112)*0.290392422192152</f>
        <v>3.4296382176686699</v>
      </c>
      <c r="AS75" s="1"/>
      <c r="AU75" s="14">
        <v>6.0416666666666661</v>
      </c>
    </row>
    <row r="76" spans="1:47" x14ac:dyDescent="0.25">
      <c r="A76" s="8">
        <f t="shared" si="2"/>
        <v>1909</v>
      </c>
      <c r="C76" s="1">
        <v>2.4038461538461542</v>
      </c>
      <c r="D76" s="1">
        <v>5.5692552395209596</v>
      </c>
      <c r="E76" s="1"/>
      <c r="F76" s="1">
        <f>20*0.249997607128842</f>
        <v>4.9999521425768396</v>
      </c>
      <c r="G76" s="3"/>
      <c r="H76" s="1">
        <f>20*0.208333333333333</f>
        <v>4.1666666666666599</v>
      </c>
      <c r="I76" s="1"/>
      <c r="J76" s="1"/>
      <c r="K76" s="1">
        <v>5.5481788133217256</v>
      </c>
      <c r="L76" s="1">
        <v>6.25</v>
      </c>
      <c r="M76" s="1"/>
      <c r="N76" s="1"/>
      <c r="O76" s="1"/>
      <c r="Q76" s="1">
        <v>3.3292996527205125</v>
      </c>
      <c r="R76" s="1"/>
      <c r="S76" s="1">
        <v>3.5701395335244719</v>
      </c>
      <c r="T76" s="3"/>
      <c r="U76" s="3"/>
      <c r="V76" s="3">
        <f>(2.2046*30)*20*0.0046809388230997</f>
        <v>6.1917586376433604</v>
      </c>
      <c r="W76" s="3">
        <f>(2.2046*30)*20*0.00651890482398957</f>
        <v>8.6229465449804454</v>
      </c>
      <c r="X76" s="1"/>
      <c r="Y76" s="1"/>
      <c r="Z76" s="1"/>
      <c r="AA76" s="3">
        <f>9*20*0.166666666666667*((2.2046*30)/110)</f>
        <v>18.037636363636398</v>
      </c>
      <c r="AB76" s="3">
        <f>9*20*0.111111111111111</f>
        <v>19.999999999999979</v>
      </c>
      <c r="AC76" s="1"/>
      <c r="AD76" s="1">
        <f>(2.2046*30)*20*0.00153670501480752</f>
        <v>2.0326919253867954</v>
      </c>
      <c r="AE76" s="1"/>
      <c r="AF76" s="3">
        <v>1.6822282287071169</v>
      </c>
      <c r="AG76" s="1"/>
      <c r="AH76" s="3"/>
      <c r="AI76" s="1">
        <f>(2.2046*30)*20*0.00130040195262273</f>
        <v>1.7201196868512425</v>
      </c>
      <c r="AJ76" s="14">
        <v>1.1073154608231122</v>
      </c>
      <c r="AK76" s="14">
        <v>5.7713438329119811</v>
      </c>
      <c r="AL76" s="1"/>
      <c r="AM76" s="1"/>
      <c r="AN76" s="1">
        <f>20*9*0.0296296296296296</f>
        <v>5.3333333333333277</v>
      </c>
      <c r="AO76" s="1">
        <f>20*9*0.0825832055560566</f>
        <v>14.864977000090187</v>
      </c>
      <c r="AP76" s="1"/>
      <c r="AQ76" s="1">
        <f>(2.2046*30)*20*(1/112)*0.595263157894737</f>
        <v>7.0302704887218077</v>
      </c>
      <c r="AR76" s="1">
        <f>(2.2046*30)*20*(1/112)*0.447365653591335</f>
        <v>5.2835481423613784</v>
      </c>
      <c r="AS76" s="1">
        <f>(2.2046*30)*20*(1/112)*0.452247191011236</f>
        <v>5.3412008426966304</v>
      </c>
      <c r="AU76" s="14">
        <v>6.208333333333333</v>
      </c>
    </row>
    <row r="77" spans="1:47" x14ac:dyDescent="0.25">
      <c r="A77" s="8">
        <f t="shared" si="2"/>
        <v>1910</v>
      </c>
      <c r="C77" s="1">
        <v>2.0512820512820515</v>
      </c>
      <c r="D77" s="1">
        <v>5.0535834580838337</v>
      </c>
      <c r="E77" s="1"/>
      <c r="F77" s="1">
        <f>20*0.25</f>
        <v>5</v>
      </c>
      <c r="G77" s="3"/>
      <c r="H77" s="1"/>
      <c r="I77" s="1"/>
      <c r="J77" s="3"/>
      <c r="K77" s="3">
        <v>4.7657595172225689</v>
      </c>
      <c r="L77" s="1">
        <v>6.25</v>
      </c>
      <c r="M77" s="1"/>
      <c r="N77" s="1"/>
      <c r="O77" s="1"/>
      <c r="P77" s="1">
        <f>(20*2.2046*30)*(1/2240)*12.1794871794872</f>
        <v>7.1922046703296818</v>
      </c>
      <c r="Q77" s="1"/>
      <c r="R77" s="1">
        <v>3.4123059173358286</v>
      </c>
      <c r="S77" s="1">
        <v>3.6906749012284576</v>
      </c>
      <c r="T77" s="3">
        <f>9*20*0.173737373737374*((2.2046*30)/(1.579*112))</f>
        <v>11.695442619445172</v>
      </c>
      <c r="U77" s="3"/>
      <c r="V77" s="3">
        <f>(2.2046*30)*20*0.00437375434145043</f>
        <v>5.7854272926969719</v>
      </c>
      <c r="W77" s="3">
        <f>(2.2046*30)*20*0.00493096646942801</f>
        <v>6.522485207100595</v>
      </c>
      <c r="X77" s="1">
        <f>(2.2046*30)*20*(1/112)*1</f>
        <v>11.810357142857145</v>
      </c>
      <c r="Y77" s="1"/>
      <c r="Z77" s="1"/>
      <c r="AA77" s="3">
        <f>9*20*0.122222222222222*((2.2046*30)/110)</f>
        <v>13.227599999999978</v>
      </c>
      <c r="AB77" s="3">
        <f>9*20*0.0833333333333333</f>
        <v>14.999999999999995</v>
      </c>
      <c r="AC77" s="1"/>
      <c r="AD77" s="1">
        <f>(2.2046*30)*20*0.00122968453231339</f>
        <v>1.62657751196286</v>
      </c>
      <c r="AE77" s="1"/>
      <c r="AF77" s="3">
        <v>1.4921791640387254</v>
      </c>
      <c r="AG77" s="1"/>
      <c r="AH77" s="3"/>
      <c r="AI77" s="1">
        <f>(2.2046*30)*20*0.00104064700469058</f>
        <v>1.3765262319245117</v>
      </c>
      <c r="AJ77" s="14">
        <v>0.74018576711775508</v>
      </c>
      <c r="AK77" s="14">
        <v>5.0176803581456255</v>
      </c>
      <c r="AL77" s="1"/>
      <c r="AM77" s="3">
        <f>20*9*0.0297346716464364</f>
        <v>5.3522408963585519</v>
      </c>
      <c r="AN77" s="1">
        <f>20*9*0.0296159734351079</f>
        <v>5.3308752183194219</v>
      </c>
      <c r="AO77" s="1">
        <f>20*9*0.0343711340206186</f>
        <v>6.1868041237113482</v>
      </c>
      <c r="AP77" s="1"/>
      <c r="AQ77" s="1"/>
      <c r="AR77" s="1">
        <f>(2.2046*30)*20*(1/112)*0.458891337514833</f>
        <v>5.4196705858135772</v>
      </c>
      <c r="AS77" s="1">
        <f>(2.2046*30)*20*(1/112)*0.432705248990579</f>
        <v>5.1104035281676641</v>
      </c>
      <c r="AU77" s="14">
        <v>6.333333333333333</v>
      </c>
    </row>
    <row r="78" spans="1:47" x14ac:dyDescent="0.25">
      <c r="A78" s="8">
        <f t="shared" si="2"/>
        <v>1911</v>
      </c>
      <c r="C78" s="1">
        <v>1.846153846153846</v>
      </c>
      <c r="D78" s="1">
        <v>4.4554041916167666</v>
      </c>
      <c r="E78" s="1"/>
      <c r="F78" s="1">
        <f>20*0.274995006990214</f>
        <v>5.4999001398042804</v>
      </c>
      <c r="G78" s="3"/>
      <c r="H78" s="3"/>
      <c r="I78" s="1"/>
      <c r="J78" s="3"/>
      <c r="K78" s="3">
        <v>4.9101057030527935</v>
      </c>
      <c r="L78" s="1">
        <v>6.6666666666666661</v>
      </c>
      <c r="M78" s="1"/>
      <c r="N78" s="1"/>
      <c r="O78" s="1"/>
      <c r="P78" s="1"/>
      <c r="Q78" s="1"/>
      <c r="R78" s="1"/>
      <c r="S78" s="1">
        <v>3.6541612003154342</v>
      </c>
      <c r="T78" s="3">
        <f>9*20*0.232804232804233*((2.2046*30)/(1.579*112))</f>
        <v>15.671634074782558</v>
      </c>
      <c r="U78" s="3"/>
      <c r="V78" s="3">
        <f>(2.2046*30)*20*0.00514026742125887</f>
        <v>6.7993401341443844</v>
      </c>
      <c r="W78" s="3">
        <f>(2.2046*30)*20*0.00615384615384615</f>
        <v>8.140061538461536</v>
      </c>
      <c r="X78" s="1">
        <f>(2.2046*30)*20*(1/112)*1.1125</f>
        <v>13.139022321428573</v>
      </c>
      <c r="Y78" s="1"/>
      <c r="Z78" s="1"/>
      <c r="AA78" s="3">
        <f>9*20*0.116666666666667*((2.2046*30)/110)</f>
        <v>12.626345454545492</v>
      </c>
      <c r="AB78" s="1"/>
      <c r="AC78" s="1"/>
      <c r="AD78" s="1"/>
      <c r="AE78" s="1"/>
      <c r="AF78" s="1"/>
      <c r="AG78" s="1"/>
      <c r="AH78" s="1"/>
      <c r="AJ78" s="14">
        <v>1.1204900060273351</v>
      </c>
      <c r="AK78" s="14">
        <v>5.3282042244656491</v>
      </c>
      <c r="AL78" s="1"/>
      <c r="AM78" s="3">
        <f>20*9*0.0291704545454545</f>
        <v>5.2506818181818096</v>
      </c>
      <c r="AN78" s="1">
        <f>20*9*0.0333349236641221</f>
        <v>6.0002862595419781</v>
      </c>
      <c r="AO78" s="1">
        <f>20*9*0.0281283290994018</f>
        <v>5.0630992378923239</v>
      </c>
      <c r="AP78" s="1"/>
      <c r="AQ78" s="1"/>
      <c r="AR78" s="1">
        <f>(2.2046*30)*20*(1/112)*0.403261085702923</f>
        <v>4.7626574439678437</v>
      </c>
      <c r="AS78" s="1">
        <f>(2.2046*30)*20*(1/112)*0.373679935012185</f>
        <v>4.4132934896135527</v>
      </c>
      <c r="AU78" s="14">
        <v>6.4166666666666661</v>
      </c>
    </row>
    <row r="79" spans="1:47" x14ac:dyDescent="0.25">
      <c r="A79" s="8">
        <f t="shared" si="2"/>
        <v>1912</v>
      </c>
      <c r="C79" s="1">
        <v>2.2179487179487181</v>
      </c>
      <c r="D79" s="1">
        <v>3.7953443113772463</v>
      </c>
      <c r="E79" s="1"/>
      <c r="F79" s="1">
        <f>20*0.275</f>
        <v>5.5</v>
      </c>
      <c r="G79" s="3"/>
      <c r="H79" s="3">
        <f>20*0.26873207114171</f>
        <v>5.3746414228342001</v>
      </c>
      <c r="I79" s="1"/>
      <c r="J79" s="3"/>
      <c r="K79" s="3">
        <v>5.668594024998086</v>
      </c>
      <c r="L79" s="1"/>
      <c r="M79" s="1"/>
      <c r="N79" s="1"/>
      <c r="O79" s="1"/>
      <c r="P79" s="1"/>
      <c r="Q79" s="1"/>
      <c r="R79" s="1"/>
      <c r="S79" s="1">
        <v>4.3872786037369318</v>
      </c>
      <c r="T79" s="3">
        <f>9*20*0.202020202020202*((2.2046*30)/(1.579*112))</f>
        <v>13.59935188307576</v>
      </c>
      <c r="U79" s="16">
        <f>(2.2046*30)*20*0.0152014652014652</f>
        <v>20.107890109890111</v>
      </c>
      <c r="V79" s="1">
        <f>(2.2046*30)*20*0.00535329408488397</f>
        <v>7.081123283721122</v>
      </c>
      <c r="W79" s="1">
        <f>(2.2046*30)*20*0.0140868690256582</f>
        <v>18.633546872379643</v>
      </c>
      <c r="X79" s="1">
        <f>(2.2046*30)*20*(1/112)*1.04347826086957</f>
        <v>12.323850931677077</v>
      </c>
      <c r="Y79" s="3"/>
      <c r="Z79" s="1"/>
      <c r="AA79" s="3">
        <f>9*20*0.277777777777778*((2.2046*30)/110)</f>
        <v>30.062727272727301</v>
      </c>
      <c r="AB79" s="1"/>
      <c r="AC79" s="3">
        <f>(2.2046*30)*20*0.0177317056536861</f>
        <v>23.454790970469826</v>
      </c>
      <c r="AD79" s="1"/>
      <c r="AE79" s="1"/>
      <c r="AF79" s="1"/>
      <c r="AG79" s="1"/>
      <c r="AH79" s="1"/>
      <c r="AI79" s="1"/>
      <c r="AJ79" s="14">
        <v>1.6280624019200589</v>
      </c>
      <c r="AK79" s="14">
        <v>6.1208884533725305</v>
      </c>
      <c r="AL79" s="1"/>
      <c r="AM79" s="3">
        <f>20*9*0.0314433962264151</f>
        <v>5.6598113207547183</v>
      </c>
      <c r="AN79" s="1">
        <f>20*9*0.0333333333333333</f>
        <v>5.9999999999999938</v>
      </c>
      <c r="AO79" s="1"/>
      <c r="AP79" s="1"/>
      <c r="AQ79" s="1"/>
      <c r="AR79" s="1">
        <f>(2.2046*30)*20*(1/112)*0.445089828447926</f>
        <v>5.2566698346230236</v>
      </c>
      <c r="AS79" s="1">
        <f>(2.2046*30)*20*(1/112)*0.472868217054264</f>
        <v>5.5847425249169493</v>
      </c>
      <c r="AU79" s="14">
        <v>6.333333333333333</v>
      </c>
    </row>
    <row r="80" spans="1:47" x14ac:dyDescent="0.25">
      <c r="A80" s="8">
        <f t="shared" si="2"/>
        <v>1913</v>
      </c>
      <c r="C80" s="1">
        <v>2.6217948717948718</v>
      </c>
      <c r="D80" s="1">
        <v>4.5860410429141725</v>
      </c>
      <c r="E80" s="1"/>
      <c r="F80" s="1">
        <f>20*0.274999248504524</f>
        <v>5.4999849700904804</v>
      </c>
      <c r="G80" s="3"/>
      <c r="H80" s="3">
        <f>9*20*0.0716332378223496</f>
        <v>12.893982808022926</v>
      </c>
      <c r="J80" s="3"/>
      <c r="K80" s="3">
        <v>6.4117614391741897</v>
      </c>
      <c r="L80" s="1"/>
      <c r="M80" s="1"/>
      <c r="N80" s="1"/>
      <c r="O80" s="1"/>
      <c r="P80" s="1"/>
      <c r="Q80" s="1"/>
      <c r="R80" s="1"/>
      <c r="S80" s="1">
        <v>4.2905552504921936</v>
      </c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4">
        <v>2.2073665920367449</v>
      </c>
      <c r="AK80" s="14">
        <v>6.7270274134077548</v>
      </c>
      <c r="AL80" s="1"/>
      <c r="AM80" s="3">
        <f>20*9*0.0333333333333333</f>
        <v>5.9999999999999938</v>
      </c>
      <c r="AN80" s="1">
        <f>20*9*0.0375035460992908</f>
        <v>6.7506382978723449</v>
      </c>
      <c r="AO80" s="1"/>
      <c r="AP80" s="1"/>
      <c r="AQ80" s="1"/>
      <c r="AR80" s="1"/>
      <c r="AS80" s="1"/>
      <c r="AU80" s="14">
        <v>6.333333333333333</v>
      </c>
    </row>
    <row r="81" spans="1:47" x14ac:dyDescent="0.25">
      <c r="A81" s="8">
        <f t="shared" si="2"/>
        <v>1914</v>
      </c>
      <c r="C81" s="1">
        <v>2.5641025641025643</v>
      </c>
      <c r="D81" s="1">
        <v>5.0879615768463085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4">
        <v>1.8591272024468575</v>
      </c>
      <c r="AK81" s="14">
        <v>6.4196166865283972</v>
      </c>
      <c r="AL81" s="1"/>
      <c r="AM81" s="1"/>
      <c r="AN81" s="1"/>
      <c r="AO81" s="1"/>
      <c r="AP81" s="1"/>
      <c r="AQ81" s="1"/>
      <c r="AR81" s="1"/>
      <c r="AS81" s="1"/>
      <c r="AU81" s="14">
        <v>6.6666666666666661</v>
      </c>
    </row>
    <row r="82" spans="1:47" x14ac:dyDescent="0.25">
      <c r="A82" s="8">
        <f t="shared" si="2"/>
        <v>1915</v>
      </c>
      <c r="C82" s="1">
        <v>2.7371794871794872</v>
      </c>
      <c r="D82" s="1">
        <v>4.9504491017964076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U82" s="14">
        <v>6.6666666666666661</v>
      </c>
    </row>
    <row r="83" spans="1:47" x14ac:dyDescent="0.25">
      <c r="A83" s="8">
        <f t="shared" si="2"/>
        <v>1916</v>
      </c>
      <c r="C83" s="1">
        <v>3.7115384615384617</v>
      </c>
      <c r="D83" s="1">
        <v>4.9848272205588833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U83" s="14">
        <v>6.6666666666666661</v>
      </c>
    </row>
    <row r="84" spans="1:47" x14ac:dyDescent="0.25">
      <c r="A84" s="8">
        <f t="shared" si="2"/>
        <v>1917</v>
      </c>
      <c r="C84" s="1">
        <v>6.1025641025641031</v>
      </c>
      <c r="D84" s="1">
        <v>5.0192053393213572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U84" s="14">
        <v>8.75</v>
      </c>
    </row>
    <row r="85" spans="1:47" x14ac:dyDescent="0.25">
      <c r="A85" s="8">
        <f t="shared" si="2"/>
        <v>1918</v>
      </c>
      <c r="C85" s="1">
        <v>8.8333333333333339</v>
      </c>
      <c r="D85" s="1">
        <v>5.1223396956087832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U85" s="14">
        <v>10.5</v>
      </c>
    </row>
    <row r="86" spans="1:47" x14ac:dyDescent="0.25">
      <c r="A86" s="8">
        <f t="shared" si="2"/>
        <v>1919</v>
      </c>
      <c r="C86" s="1">
        <v>6.1923076923076925</v>
      </c>
      <c r="D86" s="1">
        <v>6.9925093562874254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U86" s="14">
        <v>14.166666666666666</v>
      </c>
    </row>
    <row r="87" spans="1:47" x14ac:dyDescent="0.25">
      <c r="A87" s="8">
        <f t="shared" si="2"/>
        <v>1920</v>
      </c>
      <c r="C87" s="1">
        <v>11.262820512820513</v>
      </c>
      <c r="D87" s="1">
        <v>8.2644997504990041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U87" s="14">
        <v>14.333333333333332</v>
      </c>
    </row>
    <row r="88" spans="1:47" x14ac:dyDescent="0.25">
      <c r="A88" s="8">
        <f t="shared" si="2"/>
        <v>1921</v>
      </c>
      <c r="C88" s="1"/>
      <c r="D88" s="1">
        <v>10.860047717065868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U88" s="14">
        <v>14.333333333333332</v>
      </c>
    </row>
    <row r="89" spans="1:47" x14ac:dyDescent="0.25">
      <c r="A89" s="8">
        <f t="shared" si="2"/>
        <v>1922</v>
      </c>
      <c r="C89" s="1"/>
      <c r="D89" s="1">
        <v>10.01778380738523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  <row r="90" spans="1:47" x14ac:dyDescent="0.25">
      <c r="A90" s="8">
        <f t="shared" si="2"/>
        <v>1923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</row>
    <row r="91" spans="1:47" x14ac:dyDescent="0.25">
      <c r="A91" s="8">
        <f t="shared" si="2"/>
        <v>1924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</row>
    <row r="92" spans="1:47" x14ac:dyDescent="0.25">
      <c r="A92" s="8">
        <f t="shared" si="2"/>
        <v>1925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</row>
    <row r="93" spans="1:47" hidden="1" x14ac:dyDescent="0.25">
      <c r="A93" s="8">
        <f t="shared" si="2"/>
        <v>1926</v>
      </c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</row>
    <row r="94" spans="1:47" hidden="1" x14ac:dyDescent="0.25">
      <c r="A94" s="8">
        <f t="shared" si="2"/>
        <v>1927</v>
      </c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</row>
    <row r="95" spans="1:47" hidden="1" x14ac:dyDescent="0.25">
      <c r="A95" s="8">
        <f t="shared" si="2"/>
        <v>1928</v>
      </c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</row>
    <row r="96" spans="1:47" hidden="1" x14ac:dyDescent="0.25">
      <c r="A96" s="8">
        <f t="shared" si="2"/>
        <v>1929</v>
      </c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</row>
    <row r="97" spans="1:45" hidden="1" x14ac:dyDescent="0.25">
      <c r="A97" s="8">
        <f t="shared" si="2"/>
        <v>1930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</row>
    <row r="98" spans="1:45" hidden="1" x14ac:dyDescent="0.25">
      <c r="A98" s="8">
        <f t="shared" si="2"/>
        <v>1931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</row>
    <row r="99" spans="1:45" hidden="1" x14ac:dyDescent="0.25">
      <c r="A99" s="8">
        <f t="shared" si="2"/>
        <v>1932</v>
      </c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</row>
    <row r="100" spans="1:45" hidden="1" x14ac:dyDescent="0.25">
      <c r="A100" s="8">
        <f t="shared" si="2"/>
        <v>1933</v>
      </c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</row>
    <row r="101" spans="1:45" hidden="1" x14ac:dyDescent="0.25">
      <c r="A101" s="8">
        <f t="shared" si="2"/>
        <v>1934</v>
      </c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</row>
    <row r="102" spans="1:45" hidden="1" x14ac:dyDescent="0.25">
      <c r="A102" s="8">
        <f t="shared" si="2"/>
        <v>1935</v>
      </c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</row>
    <row r="103" spans="1:45" hidden="1" x14ac:dyDescent="0.25">
      <c r="A103" s="8">
        <f t="shared" si="2"/>
        <v>1936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</row>
    <row r="104" spans="1:45" hidden="1" x14ac:dyDescent="0.25">
      <c r="A104" s="8">
        <f t="shared" si="2"/>
        <v>1937</v>
      </c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</row>
    <row r="105" spans="1:45" hidden="1" x14ac:dyDescent="0.25">
      <c r="A105" s="8">
        <f t="shared" si="2"/>
        <v>1938</v>
      </c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</row>
    <row r="106" spans="1:45" hidden="1" x14ac:dyDescent="0.25">
      <c r="A106" s="8">
        <f t="shared" si="2"/>
        <v>1939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</row>
    <row r="107" spans="1:45" hidden="1" x14ac:dyDescent="0.25">
      <c r="A107" s="8">
        <f t="shared" si="2"/>
        <v>1940</v>
      </c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</row>
    <row r="108" spans="1:45" hidden="1" x14ac:dyDescent="0.25">
      <c r="A108" s="8">
        <f t="shared" si="2"/>
        <v>1941</v>
      </c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</row>
    <row r="109" spans="1:45" hidden="1" x14ac:dyDescent="0.25">
      <c r="A109" s="8">
        <f t="shared" si="2"/>
        <v>1942</v>
      </c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</row>
    <row r="110" spans="1:45" hidden="1" x14ac:dyDescent="0.25">
      <c r="A110" s="8">
        <f t="shared" si="2"/>
        <v>1943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</row>
    <row r="111" spans="1:45" hidden="1" x14ac:dyDescent="0.25">
      <c r="A111" s="8">
        <f t="shared" si="2"/>
        <v>1944</v>
      </c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</row>
    <row r="112" spans="1:45" hidden="1" x14ac:dyDescent="0.25">
      <c r="A112" s="8">
        <f t="shared" si="2"/>
        <v>1945</v>
      </c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</row>
    <row r="113" spans="1:45" hidden="1" x14ac:dyDescent="0.25">
      <c r="A113" s="8">
        <f t="shared" si="2"/>
        <v>1946</v>
      </c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</row>
    <row r="114" spans="1:45" hidden="1" x14ac:dyDescent="0.25">
      <c r="A114" s="8">
        <f t="shared" si="2"/>
        <v>1947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</row>
    <row r="115" spans="1:45" hidden="1" x14ac:dyDescent="0.25">
      <c r="A115" s="8">
        <f t="shared" si="2"/>
        <v>1948</v>
      </c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</row>
    <row r="116" spans="1:45" hidden="1" x14ac:dyDescent="0.25">
      <c r="A116" s="8">
        <f t="shared" si="2"/>
        <v>1949</v>
      </c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</row>
    <row r="117" spans="1:45" hidden="1" x14ac:dyDescent="0.25">
      <c r="A117" s="8">
        <f t="shared" si="2"/>
        <v>1950</v>
      </c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</row>
    <row r="118" spans="1:45" hidden="1" x14ac:dyDescent="0.25">
      <c r="A118" s="8">
        <f t="shared" si="2"/>
        <v>1951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</row>
    <row r="119" spans="1:45" hidden="1" x14ac:dyDescent="0.25">
      <c r="A119" s="8">
        <f t="shared" si="2"/>
        <v>1952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</row>
    <row r="120" spans="1:45" hidden="1" x14ac:dyDescent="0.25">
      <c r="A120" s="8">
        <f t="shared" si="2"/>
        <v>1953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</row>
    <row r="121" spans="1:45" hidden="1" x14ac:dyDescent="0.25">
      <c r="A121" s="8">
        <f t="shared" si="2"/>
        <v>1954</v>
      </c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</row>
    <row r="122" spans="1:45" hidden="1" x14ac:dyDescent="0.25">
      <c r="A122" s="8">
        <f t="shared" si="2"/>
        <v>1955</v>
      </c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</row>
    <row r="123" spans="1:45" hidden="1" x14ac:dyDescent="0.25">
      <c r="A123" s="8">
        <f t="shared" si="2"/>
        <v>1956</v>
      </c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</row>
    <row r="124" spans="1:45" hidden="1" x14ac:dyDescent="0.25">
      <c r="A124" s="8">
        <f t="shared" si="2"/>
        <v>1957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</row>
    <row r="125" spans="1:45" hidden="1" x14ac:dyDescent="0.25">
      <c r="A125" s="8">
        <f t="shared" si="2"/>
        <v>1958</v>
      </c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</row>
    <row r="126" spans="1:45" hidden="1" x14ac:dyDescent="0.25">
      <c r="A126" s="8">
        <f t="shared" si="2"/>
        <v>1959</v>
      </c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</row>
    <row r="127" spans="1:45" hidden="1" x14ac:dyDescent="0.25">
      <c r="A127" s="8">
        <f t="shared" si="2"/>
        <v>1960</v>
      </c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</row>
    <row r="128" spans="1:45" hidden="1" x14ac:dyDescent="0.25">
      <c r="A128" s="8">
        <f t="shared" si="2"/>
        <v>1961</v>
      </c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</row>
    <row r="129" spans="1:45" hidden="1" x14ac:dyDescent="0.25">
      <c r="A129" s="8">
        <f t="shared" si="2"/>
        <v>1962</v>
      </c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</row>
    <row r="130" spans="1:45" hidden="1" x14ac:dyDescent="0.25">
      <c r="A130" s="8">
        <f t="shared" si="2"/>
        <v>1963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</row>
    <row r="131" spans="1:45" hidden="1" x14ac:dyDescent="0.25">
      <c r="A131" s="8">
        <f t="shared" si="2"/>
        <v>1964</v>
      </c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</row>
    <row r="132" spans="1:45" hidden="1" x14ac:dyDescent="0.25">
      <c r="A132" s="8">
        <f t="shared" si="2"/>
        <v>1965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</row>
    <row r="133" spans="1:45" hidden="1" x14ac:dyDescent="0.25">
      <c r="A133" s="8">
        <f t="shared" si="2"/>
        <v>1966</v>
      </c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</row>
    <row r="134" spans="1:45" hidden="1" x14ac:dyDescent="0.25">
      <c r="A134" s="8">
        <f t="shared" si="2"/>
        <v>1967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</row>
    <row r="135" spans="1:45" hidden="1" x14ac:dyDescent="0.25">
      <c r="A135" s="8">
        <f t="shared" si="2"/>
        <v>1968</v>
      </c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</row>
    <row r="136" spans="1:45" hidden="1" x14ac:dyDescent="0.25">
      <c r="A136" s="8">
        <f t="shared" ref="A136:A145" si="3">A135+1</f>
        <v>1969</v>
      </c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</row>
    <row r="137" spans="1:45" hidden="1" x14ac:dyDescent="0.25">
      <c r="A137" s="8">
        <f t="shared" si="3"/>
        <v>1970</v>
      </c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</row>
    <row r="138" spans="1:45" hidden="1" x14ac:dyDescent="0.25">
      <c r="A138" s="8">
        <f t="shared" si="3"/>
        <v>1971</v>
      </c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</row>
    <row r="139" spans="1:45" hidden="1" x14ac:dyDescent="0.25">
      <c r="A139" s="8">
        <f t="shared" si="3"/>
        <v>1972</v>
      </c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</row>
    <row r="140" spans="1:45" hidden="1" x14ac:dyDescent="0.25">
      <c r="A140" s="8">
        <f t="shared" si="3"/>
        <v>1973</v>
      </c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</row>
    <row r="141" spans="1:45" hidden="1" x14ac:dyDescent="0.25">
      <c r="A141" s="8">
        <f t="shared" si="3"/>
        <v>1974</v>
      </c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</row>
    <row r="142" spans="1:45" hidden="1" x14ac:dyDescent="0.25">
      <c r="A142" s="8">
        <f t="shared" si="3"/>
        <v>1975</v>
      </c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</row>
    <row r="143" spans="1:45" hidden="1" x14ac:dyDescent="0.25">
      <c r="A143" s="8">
        <f t="shared" si="3"/>
        <v>1976</v>
      </c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</row>
    <row r="144" spans="1:45" hidden="1" x14ac:dyDescent="0.25">
      <c r="A144" s="8">
        <f t="shared" si="3"/>
        <v>1977</v>
      </c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</row>
    <row r="145" spans="1:45" hidden="1" x14ac:dyDescent="0.25">
      <c r="A145" s="8">
        <f t="shared" si="3"/>
        <v>1978</v>
      </c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</row>
    <row r="146" spans="1:45" x14ac:dyDescent="0.25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</row>
    <row r="147" spans="1:45" x14ac:dyDescent="0.25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</row>
    <row r="148" spans="1:45" x14ac:dyDescent="0.25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</row>
    <row r="149" spans="1:45" x14ac:dyDescent="0.25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</row>
    <row r="150" spans="1:45" x14ac:dyDescent="0.25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</row>
    <row r="151" spans="1:45" x14ac:dyDescent="0.25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x14ac:dyDescent="0.25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x14ac:dyDescent="0.25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x14ac:dyDescent="0.25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x14ac:dyDescent="0.25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x14ac:dyDescent="0.25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x14ac:dyDescent="0.25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x14ac:dyDescent="0.25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x14ac:dyDescent="0.25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x14ac:dyDescent="0.25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3:45" x14ac:dyDescent="0.25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3:45" x14ac:dyDescent="0.25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3:45" x14ac:dyDescent="0.25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3:45" x14ac:dyDescent="0.25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3:45" x14ac:dyDescent="0.25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3:45" x14ac:dyDescent="0.25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3:45" x14ac:dyDescent="0.25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3:45" x14ac:dyDescent="0.25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3:45" x14ac:dyDescent="0.25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3:45" x14ac:dyDescent="0.25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3:45" x14ac:dyDescent="0.25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3:45" x14ac:dyDescent="0.25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3:45" x14ac:dyDescent="0.25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3:45" x14ac:dyDescent="0.25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3:45" x14ac:dyDescent="0.25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3:45" x14ac:dyDescent="0.25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3:45" x14ac:dyDescent="0.25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3:45" x14ac:dyDescent="0.25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3:45" x14ac:dyDescent="0.25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3:45" x14ac:dyDescent="0.25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3:45" x14ac:dyDescent="0.25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3:45" x14ac:dyDescent="0.25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3:45" x14ac:dyDescent="0.25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3:45" x14ac:dyDescent="0.25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3:45" x14ac:dyDescent="0.25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3:45" x14ac:dyDescent="0.25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3:45" x14ac:dyDescent="0.25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3:45" x14ac:dyDescent="0.25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3:45" x14ac:dyDescent="0.25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3:45" x14ac:dyDescent="0.25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3:45" x14ac:dyDescent="0.25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3:45" x14ac:dyDescent="0.25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3:45" x14ac:dyDescent="0.25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3:45" x14ac:dyDescent="0.25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3:45" x14ac:dyDescent="0.25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3:45" x14ac:dyDescent="0.25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3:45" x14ac:dyDescent="0.25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3:45" x14ac:dyDescent="0.25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  <row r="199" spans="3:45" x14ac:dyDescent="0.25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</row>
    <row r="200" spans="3:45" x14ac:dyDescent="0.25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</row>
    <row r="201" spans="3:45" x14ac:dyDescent="0.25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</row>
    <row r="202" spans="3:45" x14ac:dyDescent="0.25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</row>
    <row r="203" spans="3:45" x14ac:dyDescent="0.25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</row>
    <row r="204" spans="3:45" x14ac:dyDescent="0.25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</row>
    <row r="205" spans="3:45" x14ac:dyDescent="0.25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</row>
    <row r="206" spans="3:45" x14ac:dyDescent="0.25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</row>
    <row r="207" spans="3:45" x14ac:dyDescent="0.25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</row>
    <row r="208" spans="3:45" x14ac:dyDescent="0.25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</row>
    <row r="209" spans="3:45" x14ac:dyDescent="0.25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</row>
    <row r="210" spans="3:45" x14ac:dyDescent="0.25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</row>
    <row r="211" spans="3:45" x14ac:dyDescent="0.25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</row>
    <row r="212" spans="3:45" x14ac:dyDescent="0.25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</row>
    <row r="213" spans="3:45" x14ac:dyDescent="0.25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</row>
    <row r="214" spans="3:45" x14ac:dyDescent="0.25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</row>
    <row r="215" spans="3:45" x14ac:dyDescent="0.25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</row>
    <row r="216" spans="3:45" x14ac:dyDescent="0.25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</row>
    <row r="217" spans="3:45" x14ac:dyDescent="0.25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</row>
    <row r="218" spans="3:45" x14ac:dyDescent="0.25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</row>
    <row r="219" spans="3:45" x14ac:dyDescent="0.25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</row>
    <row r="220" spans="3:45" x14ac:dyDescent="0.25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</row>
    <row r="221" spans="3:45" x14ac:dyDescent="0.25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</row>
    <row r="222" spans="3:45" x14ac:dyDescent="0.25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</row>
    <row r="223" spans="3:45" x14ac:dyDescent="0.25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</row>
    <row r="224" spans="3:45" x14ac:dyDescent="0.25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</row>
    <row r="225" spans="3:45" x14ac:dyDescent="0.25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</row>
    <row r="226" spans="3:45" x14ac:dyDescent="0.25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</row>
    <row r="227" spans="3:45" x14ac:dyDescent="0.25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</row>
    <row r="228" spans="3:45" x14ac:dyDescent="0.25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</row>
    <row r="229" spans="3:45" x14ac:dyDescent="0.25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</row>
    <row r="230" spans="3:45" x14ac:dyDescent="0.25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</row>
    <row r="231" spans="3:45" x14ac:dyDescent="0.25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</row>
    <row r="232" spans="3:45" x14ac:dyDescent="0.25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</row>
    <row r="233" spans="3:45" x14ac:dyDescent="0.25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</row>
    <row r="234" spans="3:45" x14ac:dyDescent="0.25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</row>
    <row r="235" spans="3:45" x14ac:dyDescent="0.25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</row>
    <row r="236" spans="3:45" x14ac:dyDescent="0.25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</row>
    <row r="237" spans="3:45" x14ac:dyDescent="0.25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</row>
    <row r="238" spans="3:45" x14ac:dyDescent="0.25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</row>
    <row r="239" spans="3:45" x14ac:dyDescent="0.25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</row>
    <row r="240" spans="3:45" x14ac:dyDescent="0.25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</row>
    <row r="241" spans="3:45" x14ac:dyDescent="0.25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</row>
    <row r="242" spans="3:45" x14ac:dyDescent="0.25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</row>
    <row r="243" spans="3:45" x14ac:dyDescent="0.25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</row>
    <row r="244" spans="3:45" x14ac:dyDescent="0.25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</row>
    <row r="245" spans="3:45" x14ac:dyDescent="0.25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</row>
    <row r="246" spans="3:45" x14ac:dyDescent="0.25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</row>
    <row r="247" spans="3:45" x14ac:dyDescent="0.25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</row>
    <row r="248" spans="3:45" x14ac:dyDescent="0.25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</row>
    <row r="249" spans="3:45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</row>
    <row r="250" spans="3:45" x14ac:dyDescent="0.25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</row>
    <row r="251" spans="3:45" x14ac:dyDescent="0.25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</row>
    <row r="252" spans="3:45" x14ac:dyDescent="0.25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</row>
    <row r="253" spans="3:45" x14ac:dyDescent="0.25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</row>
    <row r="254" spans="3:45" x14ac:dyDescent="0.25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</row>
    <row r="255" spans="3:45" x14ac:dyDescent="0.25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</row>
    <row r="256" spans="3:45" x14ac:dyDescent="0.25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</row>
    <row r="257" spans="3:45" x14ac:dyDescent="0.25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</row>
    <row r="258" spans="3:45" x14ac:dyDescent="0.25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</row>
    <row r="259" spans="3:45" x14ac:dyDescent="0.25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</row>
    <row r="260" spans="3:45" x14ac:dyDescent="0.25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</row>
    <row r="261" spans="3:45" x14ac:dyDescent="0.25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</row>
    <row r="262" spans="3:45" x14ac:dyDescent="0.25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</row>
    <row r="263" spans="3:45" x14ac:dyDescent="0.25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</row>
    <row r="264" spans="3:45" x14ac:dyDescent="0.25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</row>
    <row r="265" spans="3:45" x14ac:dyDescent="0.25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</row>
    <row r="266" spans="3:45" x14ac:dyDescent="0.25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</row>
    <row r="267" spans="3:45" x14ac:dyDescent="0.25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</row>
    <row r="268" spans="3:45" x14ac:dyDescent="0.25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</row>
    <row r="269" spans="3:45" x14ac:dyDescent="0.25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</row>
    <row r="270" spans="3:45" x14ac:dyDescent="0.25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</row>
    <row r="271" spans="3:45" x14ac:dyDescent="0.25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</row>
    <row r="272" spans="3:45" x14ac:dyDescent="0.25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</row>
    <row r="273" spans="3:45" x14ac:dyDescent="0.25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</row>
    <row r="274" spans="3:45" x14ac:dyDescent="0.25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</row>
    <row r="275" spans="3:45" x14ac:dyDescent="0.25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</row>
    <row r="276" spans="3:45" x14ac:dyDescent="0.25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</row>
    <row r="277" spans="3:45" x14ac:dyDescent="0.25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</row>
    <row r="278" spans="3:45" x14ac:dyDescent="0.25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</row>
    <row r="279" spans="3:45" x14ac:dyDescent="0.25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</row>
    <row r="280" spans="3:45" x14ac:dyDescent="0.25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</row>
    <row r="281" spans="3:45" x14ac:dyDescent="0.25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</row>
    <row r="282" spans="3:45" x14ac:dyDescent="0.25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</row>
    <row r="283" spans="3:45" x14ac:dyDescent="0.25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</row>
    <row r="284" spans="3:45" x14ac:dyDescent="0.25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</row>
    <row r="285" spans="3:45" x14ac:dyDescent="0.25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</row>
    <row r="286" spans="3:45" x14ac:dyDescent="0.25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</row>
    <row r="287" spans="3:45" x14ac:dyDescent="0.25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</row>
    <row r="288" spans="3:45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</row>
    <row r="289" spans="3:45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</row>
    <row r="290" spans="3:45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</row>
    <row r="291" spans="3:45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</row>
    <row r="292" spans="3:45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</row>
    <row r="293" spans="3:45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</row>
    <row r="294" spans="3:45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</row>
    <row r="295" spans="3:45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</row>
    <row r="296" spans="3:45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</row>
    <row r="297" spans="3:45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</row>
    <row r="298" spans="3:45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</row>
    <row r="299" spans="3:45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</row>
    <row r="300" spans="3:45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</row>
    <row r="301" spans="3:45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</row>
    <row r="302" spans="3:45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</row>
    <row r="303" spans="3:45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</row>
    <row r="304" spans="3:45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</row>
    <row r="305" spans="3:45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</row>
    <row r="306" spans="3:45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</row>
    <row r="307" spans="3:45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</row>
    <row r="308" spans="3:45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</row>
    <row r="309" spans="3:45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</row>
    <row r="310" spans="3:45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</row>
    <row r="311" spans="3:45" x14ac:dyDescent="0.25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</row>
    <row r="312" spans="3:45" x14ac:dyDescent="0.25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</row>
    <row r="313" spans="3:45" x14ac:dyDescent="0.25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"/>
  <sheetViews>
    <sheetView workbookViewId="0">
      <selection activeCell="P18" sqref="P18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2"/>
  <sheetViews>
    <sheetView workbookViewId="0">
      <selection activeCell="A31" sqref="A31"/>
    </sheetView>
  </sheetViews>
  <sheetFormatPr defaultRowHeight="13.2" x14ac:dyDescent="0.25"/>
  <sheetData>
    <row r="2" spans="2:2" x14ac:dyDescent="0.25">
      <c r="B2" s="12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3" sqref="A33"/>
    </sheetView>
  </sheetViews>
  <sheetFormatPr defaultRowHeight="13.2" x14ac:dyDescent="0.25"/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Kerosene (All)</vt:lpstr>
      <vt:lpstr>Graphs (All)</vt:lpstr>
      <vt:lpstr>Collective Graph (All)</vt:lpstr>
      <vt:lpstr>Kerosene (Adjusted)</vt:lpstr>
      <vt:lpstr>Graph - 1</vt:lpstr>
      <vt:lpstr>Graph - 2</vt:lpstr>
      <vt:lpstr>Graph - 3</vt:lpstr>
      <vt:lpstr>Graph - 4</vt:lpstr>
      <vt:lpstr>Graph - 5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2018-10-01T08:45:50Z</dcterms:created>
  <dcterms:modified xsi:type="dcterms:W3CDTF">2018-11-19T11:24:32Z</dcterms:modified>
</cp:coreProperties>
</file>