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Coal (All)" sheetId="1" r:id="rId2"/>
    <sheet name="Graphs (All)" sheetId="2" r:id="rId3"/>
    <sheet name="Collective Graph (All)" sheetId="3" r:id="rId4"/>
    <sheet name="Coal (Adjusted)" sheetId="26" r:id="rId5"/>
    <sheet name="Graph - 1" sheetId="17" r:id="rId6"/>
  </sheets>
  <calcPr calcId="152511"/>
</workbook>
</file>

<file path=xl/calcChain.xml><?xml version="1.0" encoding="utf-8"?>
<calcChain xmlns="http://schemas.openxmlformats.org/spreadsheetml/2006/main">
  <c r="AH6" i="26" l="1"/>
  <c r="AJ6" i="26"/>
  <c r="AI6" i="26"/>
  <c r="AG6" i="26"/>
  <c r="L6" i="26" l="1"/>
  <c r="M80" i="26"/>
  <c r="H80" i="26"/>
  <c r="AF79" i="26"/>
  <c r="AB79" i="26"/>
  <c r="S79" i="26"/>
  <c r="Q79" i="26"/>
  <c r="M79" i="26"/>
  <c r="H79" i="26"/>
  <c r="F79" i="26"/>
  <c r="AF78" i="26"/>
  <c r="AB78" i="26"/>
  <c r="Y78" i="26"/>
  <c r="X78" i="26"/>
  <c r="S78" i="26"/>
  <c r="Q78" i="26"/>
  <c r="M78" i="26"/>
  <c r="H78" i="26"/>
  <c r="F78" i="26"/>
  <c r="E78" i="26"/>
  <c r="AF77" i="26"/>
  <c r="AB77" i="26"/>
  <c r="AA77" i="26"/>
  <c r="X77" i="26"/>
  <c r="S77" i="26"/>
  <c r="R77" i="26"/>
  <c r="Q77" i="26"/>
  <c r="M77" i="26"/>
  <c r="H77" i="26"/>
  <c r="E77" i="26"/>
  <c r="AF76" i="26"/>
  <c r="AD76" i="26"/>
  <c r="AB76" i="26"/>
  <c r="AA76" i="26"/>
  <c r="Q76" i="26"/>
  <c r="M76" i="26"/>
  <c r="I76" i="26"/>
  <c r="H76" i="26"/>
  <c r="F76" i="26"/>
  <c r="E76" i="26"/>
  <c r="AF75" i="26"/>
  <c r="AE75" i="26"/>
  <c r="AD75" i="26"/>
  <c r="AB75" i="26"/>
  <c r="AA75" i="26"/>
  <c r="X75" i="26"/>
  <c r="Q75" i="26"/>
  <c r="M75" i="26"/>
  <c r="H75" i="26"/>
  <c r="F75" i="26"/>
  <c r="E75" i="26"/>
  <c r="AF74" i="26"/>
  <c r="AE74" i="26"/>
  <c r="AD74" i="26"/>
  <c r="AC74" i="26"/>
  <c r="AB74" i="26"/>
  <c r="AA74" i="26"/>
  <c r="X74" i="26"/>
  <c r="T74" i="26"/>
  <c r="R74" i="26"/>
  <c r="Q74" i="26"/>
  <c r="M74" i="26"/>
  <c r="H74" i="26"/>
  <c r="F74" i="26"/>
  <c r="E74" i="26"/>
  <c r="AF73" i="26"/>
  <c r="AE73" i="26"/>
  <c r="AB73" i="26"/>
  <c r="AA73" i="26"/>
  <c r="X73" i="26"/>
  <c r="Q73" i="26"/>
  <c r="M73" i="26"/>
  <c r="H73" i="26"/>
  <c r="F73" i="26"/>
  <c r="E73" i="26"/>
  <c r="AE72" i="26"/>
  <c r="AB72" i="26"/>
  <c r="X72" i="26"/>
  <c r="Q72" i="26"/>
  <c r="M72" i="26"/>
  <c r="I72" i="26"/>
  <c r="H72" i="26"/>
  <c r="F72" i="26"/>
  <c r="E72" i="26"/>
  <c r="AE71" i="26"/>
  <c r="AB71" i="26"/>
  <c r="X71" i="26"/>
  <c r="Q71" i="26"/>
  <c r="M71" i="26"/>
  <c r="I71" i="26"/>
  <c r="H71" i="26"/>
  <c r="F71" i="26"/>
  <c r="E71" i="26"/>
  <c r="AE70" i="26"/>
  <c r="AB70" i="26"/>
  <c r="X70" i="26"/>
  <c r="Q70" i="26"/>
  <c r="M70" i="26"/>
  <c r="H70" i="26"/>
  <c r="E70" i="26"/>
  <c r="AE69" i="26"/>
  <c r="AD69" i="26"/>
  <c r="AB69" i="26"/>
  <c r="Z69" i="26"/>
  <c r="X69" i="26"/>
  <c r="S69" i="26"/>
  <c r="Q69" i="26"/>
  <c r="M69" i="26"/>
  <c r="H69" i="26"/>
  <c r="F69" i="26"/>
  <c r="E69" i="26"/>
  <c r="AE68" i="26"/>
  <c r="AD68" i="26"/>
  <c r="AB68" i="26"/>
  <c r="Q68" i="26"/>
  <c r="M68" i="26"/>
  <c r="H68" i="26"/>
  <c r="AE67" i="26"/>
  <c r="AD67" i="26"/>
  <c r="AB67" i="26"/>
  <c r="Q67" i="26"/>
  <c r="M67" i="26"/>
  <c r="H67" i="26"/>
  <c r="AE66" i="26"/>
  <c r="AD66" i="26"/>
  <c r="S66" i="26"/>
  <c r="Q66" i="26"/>
  <c r="M66" i="26"/>
  <c r="H66" i="26"/>
  <c r="AE65" i="26"/>
  <c r="AD65" i="26"/>
  <c r="W65" i="26"/>
  <c r="M65" i="26"/>
  <c r="H65" i="26"/>
  <c r="AE64" i="26"/>
  <c r="AD64" i="26"/>
  <c r="AB64" i="26"/>
  <c r="M64" i="26"/>
  <c r="H64" i="26"/>
  <c r="F64" i="26"/>
  <c r="AD63" i="26"/>
  <c r="AB63" i="26"/>
  <c r="W63" i="26"/>
  <c r="M63" i="26"/>
  <c r="H63" i="26"/>
  <c r="AD62" i="26"/>
  <c r="W62" i="26"/>
  <c r="M62" i="26"/>
  <c r="H62" i="26"/>
  <c r="AD61" i="26"/>
  <c r="M61" i="26"/>
  <c r="H61" i="26"/>
  <c r="AD60" i="26"/>
  <c r="AB60" i="26"/>
  <c r="W60" i="26"/>
  <c r="M60" i="26"/>
  <c r="H60" i="26"/>
  <c r="AD59" i="26"/>
  <c r="AB59" i="26"/>
  <c r="W59" i="26"/>
  <c r="M59" i="26"/>
  <c r="H59" i="26"/>
  <c r="AD58" i="26"/>
  <c r="AB58" i="26"/>
  <c r="M58" i="26"/>
  <c r="H58" i="26"/>
  <c r="AB57" i="26"/>
  <c r="M57" i="26"/>
  <c r="H57" i="26"/>
  <c r="AB56" i="26"/>
  <c r="R56" i="26"/>
  <c r="M56" i="26"/>
  <c r="H56" i="26"/>
  <c r="AB55" i="26"/>
  <c r="M55" i="26"/>
  <c r="H55" i="26"/>
  <c r="M54" i="26"/>
  <c r="H54" i="26"/>
  <c r="M53" i="26"/>
  <c r="R52" i="26"/>
  <c r="M52" i="26"/>
  <c r="M51" i="26"/>
  <c r="J51" i="26"/>
  <c r="M50" i="26"/>
  <c r="M49" i="26"/>
  <c r="M48" i="26"/>
  <c r="N47" i="26"/>
  <c r="M47" i="26"/>
  <c r="M46" i="26"/>
  <c r="R45" i="26"/>
  <c r="M44" i="26"/>
  <c r="M43" i="26"/>
  <c r="R42" i="26"/>
  <c r="R41" i="26"/>
  <c r="R40" i="26"/>
  <c r="R39" i="26"/>
  <c r="R38" i="26"/>
  <c r="I33" i="26"/>
  <c r="G33" i="26"/>
  <c r="I32" i="26"/>
  <c r="I31" i="26"/>
  <c r="N25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K6" i="26"/>
  <c r="J6" i="26"/>
  <c r="I6" i="26"/>
  <c r="H6" i="26"/>
  <c r="G6" i="26"/>
  <c r="F6" i="26"/>
  <c r="E6" i="26"/>
  <c r="D6" i="26"/>
  <c r="C6" i="26"/>
  <c r="AL45" i="1" l="1"/>
  <c r="AL42" i="1"/>
  <c r="AL41" i="1"/>
  <c r="AL40" i="1"/>
  <c r="AL39" i="1"/>
  <c r="AL38" i="1"/>
  <c r="AL77" i="1"/>
  <c r="AL74" i="1"/>
  <c r="AM79" i="1"/>
  <c r="AM78" i="1"/>
  <c r="AM77" i="1"/>
  <c r="AN74" i="1"/>
  <c r="AM69" i="1"/>
  <c r="AM66" i="1"/>
  <c r="AL56" i="1"/>
  <c r="AL52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M51" i="1" l="1"/>
  <c r="J72" i="1" l="1"/>
  <c r="J71" i="1"/>
  <c r="J33" i="1"/>
  <c r="J32" i="1"/>
  <c r="J31" i="1"/>
  <c r="J76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G33" i="1"/>
  <c r="E78" i="1" l="1"/>
  <c r="E77" i="1"/>
  <c r="E76" i="1"/>
  <c r="E75" i="1"/>
  <c r="E74" i="1"/>
  <c r="E73" i="1"/>
  <c r="E72" i="1"/>
  <c r="E71" i="1"/>
  <c r="E70" i="1"/>
  <c r="E69" i="1"/>
  <c r="F79" i="1"/>
  <c r="F78" i="1"/>
  <c r="F76" i="1"/>
  <c r="F75" i="1"/>
  <c r="F74" i="1"/>
  <c r="F73" i="1"/>
  <c r="F72" i="1"/>
  <c r="F71" i="1"/>
  <c r="F69" i="1"/>
  <c r="F64" i="1"/>
  <c r="Q80" i="1" l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S47" i="1"/>
  <c r="S25" i="1"/>
  <c r="CQ76" i="1" l="1"/>
  <c r="CQ75" i="1"/>
  <c r="CQ74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U79" i="1" l="1"/>
  <c r="CU78" i="1"/>
  <c r="CU77" i="1"/>
  <c r="CU76" i="1"/>
  <c r="CU75" i="1"/>
  <c r="CU74" i="1"/>
  <c r="CU73" i="1"/>
  <c r="CT74" i="1"/>
  <c r="CT75" i="1"/>
  <c r="CT73" i="1"/>
  <c r="CT72" i="1"/>
  <c r="CT71" i="1"/>
  <c r="CT70" i="1"/>
  <c r="CT69" i="1"/>
  <c r="CT68" i="1"/>
  <c r="CT67" i="1"/>
  <c r="CT66" i="1"/>
  <c r="CT65" i="1"/>
  <c r="CT64" i="1"/>
  <c r="CK79" i="1" l="1"/>
  <c r="CK78" i="1"/>
  <c r="CK77" i="1"/>
  <c r="CK76" i="1"/>
  <c r="CK75" i="1"/>
  <c r="CK74" i="1"/>
  <c r="CK73" i="1"/>
  <c r="CK72" i="1"/>
  <c r="CK71" i="1"/>
  <c r="CK70" i="1"/>
  <c r="CK69" i="1"/>
  <c r="CK68" i="1"/>
  <c r="CK67" i="1"/>
  <c r="CK64" i="1"/>
  <c r="CK63" i="1"/>
  <c r="CK60" i="1"/>
  <c r="CK59" i="1"/>
  <c r="CK58" i="1"/>
  <c r="CK57" i="1"/>
  <c r="CK56" i="1"/>
  <c r="CK55" i="1"/>
  <c r="CL74" i="1"/>
  <c r="BH78" i="1" l="1"/>
  <c r="BH77" i="1"/>
  <c r="BH75" i="1"/>
  <c r="BH74" i="1"/>
  <c r="BH73" i="1"/>
  <c r="BH72" i="1"/>
  <c r="BH71" i="1"/>
  <c r="BH70" i="1"/>
  <c r="BH69" i="1"/>
  <c r="BO78" i="1" l="1"/>
  <c r="BT69" i="1" l="1"/>
  <c r="BC65" i="1" l="1"/>
  <c r="BC63" i="1"/>
  <c r="BC62" i="1"/>
  <c r="BC60" i="1"/>
  <c r="BC59" i="1"/>
  <c r="BZ77" i="1" l="1"/>
  <c r="BZ76" i="1"/>
  <c r="BZ75" i="1"/>
  <c r="BZ74" i="1"/>
  <c r="BZ73" i="1"/>
  <c r="AF6" i="1" l="1"/>
  <c r="AG6" i="1"/>
  <c r="AH6" i="1"/>
  <c r="C6" i="1" l="1"/>
  <c r="D6" i="1"/>
  <c r="N6" i="1"/>
  <c r="O6" i="1"/>
  <c r="P6" i="1"/>
  <c r="CZ6" i="1"/>
  <c r="DA6" i="1"/>
  <c r="DB6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Rai Ghulam Mustafa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1904-37: Saurbeck, Series 26, JRSS. 
1840-1903: WRP, 13.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ILO Retail Prices -3. WB 3, 19th Century: BG</t>
        </r>
      </text>
    </comment>
    <comment ref="CY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via Bombay.
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From the printed sheets.</t>
        </r>
      </text>
    </comment>
    <comment ref="DA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Free on rail.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0.217381092190253 sterling/mat bag.</t>
        </r>
      </text>
    </comment>
    <comment ref="CT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CT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CT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CT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CT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CT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CT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CT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CT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CT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CT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CT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J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BH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Value amounts to only 38 sterling.</t>
        </r>
      </text>
    </comment>
    <comment ref="CQ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39.1961722488038 sterling/ton; suspectedly incorrectly reported.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1904-37: Saurbeck, Series 26, JRSS. 
1840-1903: WRP, 13.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ILO Retail Prices -3. WB 3, 19th Century: BG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via Bombay.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From the printed sheets.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Free on rail.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0.217381092190253 sterling/mat bag.</t>
        </r>
      </text>
    </comment>
    <comment ref="AE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AE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AE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AE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AE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AE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AE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AE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charcoal.</t>
        </r>
      </text>
    </comment>
    <comment ref="AE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AE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AE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A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 and charcoal.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coal.</t>
        </r>
      </text>
    </comment>
    <comment ref="X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Value amounts to only 38 sterling.</t>
        </r>
      </text>
    </comment>
    <comment ref="A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39.1961722488038 sterling/ton; suspectedly incorrectly reported.</t>
        </r>
      </text>
    </comment>
  </commentList>
</comments>
</file>

<file path=xl/sharedStrings.xml><?xml version="1.0" encoding="utf-8"?>
<sst xmlns="http://schemas.openxmlformats.org/spreadsheetml/2006/main" count="568" uniqueCount="56">
  <si>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</si>
  <si>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</si>
  <si>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</si>
  <si>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</si>
  <si>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</si>
  <si>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</si>
  <si>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</si>
  <si>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</si>
  <si>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</si>
  <si>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</si>
  <si>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</si>
  <si>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</si>
  <si>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</si>
  <si>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</si>
  <si>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</si>
  <si>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</si>
  <si>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</si>
  <si>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</si>
  <si>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</si>
  <si>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</si>
  <si>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</si>
  <si>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</si>
  <si>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</si>
  <si>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</si>
  <si>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</si>
  <si>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</si>
  <si>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</si>
  <si>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</si>
  <si>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</si>
  <si>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</si>
  <si>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</si>
  <si>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</si>
  <si>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</si>
  <si>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</si>
  <si>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</si>
  <si>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</si>
  <si>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</si>
  <si>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</si>
  <si>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</si>
  <si>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</si>
  <si>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</si>
  <si>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</si>
  <si>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Istanbul (Malatya)</t>
  </si>
  <si>
    <t>Istanbul (Geyve)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</si>
  <si>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</si>
  <si>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</si>
  <si>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</si>
  <si>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t>Adana</t>
  </si>
  <si>
    <t>Coal</t>
  </si>
  <si>
    <t>s/ton</t>
  </si>
  <si>
    <t>Charcoal</t>
  </si>
  <si>
    <t>Coal / Charcoal</t>
  </si>
  <si>
    <t>India</t>
  </si>
  <si>
    <t>Production</t>
  </si>
  <si>
    <t>Coal and Coke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</si>
  <si>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Coal</t>
    </r>
    <r>
      <rPr>
        <sz val="10"/>
        <rFont val="Arial"/>
        <family val="2"/>
      </rPr>
      <t xml:space="preserve"> 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Middle East, United Kingdom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</si>
</sst>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&quot;?&quot;;\-#,##0&quot;?&quot;"/>
    <numFmt numFmtId="165" formatCode="0.0000"/>
    <numFmt numFmtId="170" formatCode="_(* #,##0.0000_);_(* \(#,##0.0000\);_(* &quot;-&quot;??_);_(@_)"/>
  </numFmts>
  <fonts count="36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1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5" fillId="0" borderId="0">
      <alignment vertical="top"/>
    </xf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3" borderId="0" applyNumberFormat="0" applyFont="0" applyFill="0" applyProtection="0"/>
    <xf numFmtId="0" fontId="15" fillId="4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5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6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5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9" borderId="0" applyNumberFormat="0" applyFont="0" applyFill="0" applyProtection="0"/>
    <xf numFmtId="0" fontId="17" fillId="4" borderId="0" applyNumberFormat="0" applyFont="0" applyFill="0" applyProtection="0"/>
    <xf numFmtId="0" fontId="17" fillId="4" borderId="0" applyNumberFormat="0" applyFont="0" applyFill="0" applyProtection="0"/>
    <xf numFmtId="0" fontId="17" fillId="10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11" borderId="0" applyNumberFormat="0" applyFont="0" applyFill="0" applyProtection="0"/>
    <xf numFmtId="0" fontId="18" fillId="2" borderId="0" applyNumberFormat="0" applyFont="0" applyFill="0" applyProtection="0"/>
    <xf numFmtId="0" fontId="19" fillId="8" borderId="2" applyNumberFormat="0" applyFont="0" applyProtection="0"/>
    <xf numFmtId="0" fontId="20" fillId="11" borderId="3" applyNumberFormat="0" applyFont="0" applyProtection="0"/>
    <xf numFmtId="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1" fillId="0" borderId="0" applyNumberFormat="0" applyFont="0" applyFill="0" applyAlignment="0" applyProtection="0"/>
    <xf numFmtId="0" fontId="22" fillId="2" borderId="0" applyNumberFormat="0" applyFont="0" applyFill="0" applyProtection="0"/>
    <xf numFmtId="0" fontId="23" fillId="0" borderId="4" applyNumberFormat="0" applyFont="0" applyAlignment="0" applyProtection="0"/>
    <xf numFmtId="0" fontId="24" fillId="0" borderId="4" applyNumberFormat="0" applyFont="0" applyAlignment="0" applyProtection="0"/>
    <xf numFmtId="0" fontId="25" fillId="0" borderId="5" applyNumberFormat="0" applyFont="0" applyAlignment="0" applyProtection="0"/>
    <xf numFmtId="0" fontId="25" fillId="0" borderId="0" applyNumberFormat="0" applyFont="0" applyFill="0" applyAlignment="0" applyProtection="0"/>
    <xf numFmtId="0" fontId="26" fillId="4" borderId="2" applyNumberFormat="0" applyFont="0" applyProtection="0"/>
    <xf numFmtId="0" fontId="27" fillId="0" borderId="6" applyNumberFormat="0" applyFont="0" applyAlignment="0" applyProtection="0"/>
    <xf numFmtId="0" fontId="28" fillId="2" borderId="0" applyNumberFormat="0" applyFont="0" applyFill="0" applyProtection="0"/>
    <xf numFmtId="0" fontId="15" fillId="4" borderId="7" applyNumberFormat="0" applyFont="0" applyBorder="0" applyProtection="0"/>
    <xf numFmtId="0" fontId="29" fillId="8" borderId="7" applyNumberFormat="0" applyFont="0" applyProtection="0"/>
    <xf numFmtId="0" fontId="30" fillId="0" borderId="0" applyNumberFormat="0" applyFont="0" applyFill="0" applyAlignment="0" applyProtection="0"/>
    <xf numFmtId="0" fontId="16" fillId="0" borderId="8" applyNumberFormat="0" applyFont="0" applyAlignment="0" applyProtection="0"/>
    <xf numFmtId="0" fontId="31" fillId="0" borderId="0" applyNumberFormat="0" applyFont="0" applyFill="0" applyAlignment="0" applyProtection="0"/>
    <xf numFmtId="43" fontId="34" fillId="0" borderId="0" applyFont="0" applyFill="0" applyBorder="0" applyAlignment="0" applyProtection="0"/>
  </cellStyleXfs>
  <cellXfs count="16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0" fillId="0" borderId="0" xfId="0" applyFill="1" applyAlignment="1"/>
    <xf numFmtId="0" fontId="32" fillId="0" borderId="0" xfId="8" applyFont="1" applyFill="1" applyBorder="1" applyAlignment="1" applyProtection="1">
      <alignment horizontal="right"/>
    </xf>
    <xf numFmtId="165" fontId="6" fillId="0" borderId="0" xfId="0" quotePrefix="1" applyNumberFormat="1" applyFont="1" applyAlignment="1"/>
    <xf numFmtId="170" fontId="0" fillId="0" borderId="0" xfId="60" applyNumberFormat="1" applyFont="1" applyAlignment="1"/>
  </cellXfs>
  <cellStyles count="6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60" builtinId="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(All)'!$D$7:$D$107</c:f>
              <c:numCache>
                <c:formatCode>0.0000</c:formatCode>
                <c:ptCount val="101"/>
                <c:pt idx="0">
                  <c:v>7.09</c:v>
                </c:pt>
                <c:pt idx="1">
                  <c:v>7.23</c:v>
                </c:pt>
                <c:pt idx="2">
                  <c:v>7.24</c:v>
                </c:pt>
                <c:pt idx="3">
                  <c:v>7.18</c:v>
                </c:pt>
                <c:pt idx="4">
                  <c:v>7.44</c:v>
                </c:pt>
                <c:pt idx="5">
                  <c:v>7.48</c:v>
                </c:pt>
                <c:pt idx="6">
                  <c:v>7.45</c:v>
                </c:pt>
                <c:pt idx="7">
                  <c:v>7.61</c:v>
                </c:pt>
                <c:pt idx="8">
                  <c:v>7.65</c:v>
                </c:pt>
                <c:pt idx="9">
                  <c:v>7.53</c:v>
                </c:pt>
                <c:pt idx="10">
                  <c:v>7.51</c:v>
                </c:pt>
                <c:pt idx="11">
                  <c:v>7.36</c:v>
                </c:pt>
                <c:pt idx="12">
                  <c:v>7.4</c:v>
                </c:pt>
                <c:pt idx="13">
                  <c:v>8.0299999999999994</c:v>
                </c:pt>
                <c:pt idx="14">
                  <c:v>9.59</c:v>
                </c:pt>
                <c:pt idx="15">
                  <c:v>9.51</c:v>
                </c:pt>
                <c:pt idx="16">
                  <c:v>9.35</c:v>
                </c:pt>
                <c:pt idx="17">
                  <c:v>9.31</c:v>
                </c:pt>
                <c:pt idx="18">
                  <c:v>9.1300000000000008</c:v>
                </c:pt>
                <c:pt idx="19">
                  <c:v>9.18</c:v>
                </c:pt>
                <c:pt idx="20">
                  <c:v>8.89</c:v>
                </c:pt>
                <c:pt idx="21">
                  <c:v>9.01</c:v>
                </c:pt>
                <c:pt idx="22">
                  <c:v>8.89</c:v>
                </c:pt>
                <c:pt idx="23">
                  <c:v>8.84</c:v>
                </c:pt>
                <c:pt idx="24">
                  <c:v>9.31</c:v>
                </c:pt>
                <c:pt idx="25">
                  <c:v>9.49</c:v>
                </c:pt>
                <c:pt idx="26">
                  <c:v>10.1</c:v>
                </c:pt>
                <c:pt idx="27">
                  <c:v>10.18</c:v>
                </c:pt>
                <c:pt idx="28">
                  <c:v>9.75</c:v>
                </c:pt>
                <c:pt idx="29">
                  <c:v>9.48</c:v>
                </c:pt>
                <c:pt idx="30">
                  <c:v>9.4700000000000006</c:v>
                </c:pt>
                <c:pt idx="31">
                  <c:v>9.6300000000000008</c:v>
                </c:pt>
                <c:pt idx="32">
                  <c:v>15.51</c:v>
                </c:pt>
                <c:pt idx="33">
                  <c:v>20.49</c:v>
                </c:pt>
                <c:pt idx="34">
                  <c:v>16.98</c:v>
                </c:pt>
                <c:pt idx="35">
                  <c:v>13.1</c:v>
                </c:pt>
                <c:pt idx="36">
                  <c:v>10.8</c:v>
                </c:pt>
                <c:pt idx="37">
                  <c:v>10.050000000000001</c:v>
                </c:pt>
                <c:pt idx="38">
                  <c:v>9.35</c:v>
                </c:pt>
                <c:pt idx="39">
                  <c:v>8.6300000000000008</c:v>
                </c:pt>
                <c:pt idx="40">
                  <c:v>8.76</c:v>
                </c:pt>
                <c:pt idx="41">
                  <c:v>8.83</c:v>
                </c:pt>
                <c:pt idx="42">
                  <c:v>8.99</c:v>
                </c:pt>
                <c:pt idx="43">
                  <c:v>9.1999999999999993</c:v>
                </c:pt>
                <c:pt idx="44">
                  <c:v>9.18</c:v>
                </c:pt>
                <c:pt idx="45">
                  <c:v>8.83</c:v>
                </c:pt>
                <c:pt idx="46">
                  <c:v>8.32</c:v>
                </c:pt>
                <c:pt idx="47">
                  <c:v>8.19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11.7</c:v>
                </c:pt>
                <c:pt idx="64">
                  <c:v>11.13</c:v>
                </c:pt>
                <c:pt idx="65">
                  <c:v>10.56</c:v>
                </c:pt>
                <c:pt idx="66">
                  <c:v>10.9</c:v>
                </c:pt>
                <c:pt idx="67">
                  <c:v>12.75</c:v>
                </c:pt>
                <c:pt idx="68">
                  <c:v>12.77</c:v>
                </c:pt>
                <c:pt idx="69">
                  <c:v>11.3</c:v>
                </c:pt>
                <c:pt idx="70">
                  <c:v>11.72</c:v>
                </c:pt>
                <c:pt idx="71">
                  <c:v>11.43</c:v>
                </c:pt>
                <c:pt idx="72">
                  <c:v>12.7</c:v>
                </c:pt>
                <c:pt idx="73">
                  <c:v>13.94</c:v>
                </c:pt>
                <c:pt idx="74">
                  <c:v>13.65</c:v>
                </c:pt>
                <c:pt idx="75">
                  <c:v>16.96</c:v>
                </c:pt>
                <c:pt idx="76">
                  <c:v>24.64</c:v>
                </c:pt>
                <c:pt idx="77">
                  <c:v>27.16</c:v>
                </c:pt>
                <c:pt idx="78">
                  <c:v>30.6</c:v>
                </c:pt>
                <c:pt idx="79">
                  <c:v>46.2</c:v>
                </c:pt>
                <c:pt idx="80">
                  <c:v>79.8</c:v>
                </c:pt>
                <c:pt idx="81">
                  <c:v>34.83</c:v>
                </c:pt>
                <c:pt idx="82">
                  <c:v>24.16</c:v>
                </c:pt>
                <c:pt idx="83">
                  <c:v>25.13</c:v>
                </c:pt>
                <c:pt idx="84">
                  <c:v>23.38</c:v>
                </c:pt>
                <c:pt idx="85">
                  <c:v>20.079999999999998</c:v>
                </c:pt>
                <c:pt idx="86">
                  <c:v>18.59</c:v>
                </c:pt>
                <c:pt idx="87">
                  <c:v>17.8</c:v>
                </c:pt>
                <c:pt idx="88">
                  <c:v>15.67</c:v>
                </c:pt>
                <c:pt idx="89">
                  <c:v>16.13</c:v>
                </c:pt>
                <c:pt idx="90">
                  <c:v>16.64</c:v>
                </c:pt>
                <c:pt idx="91">
                  <c:v>15.98</c:v>
                </c:pt>
                <c:pt idx="92">
                  <c:v>16.27</c:v>
                </c:pt>
                <c:pt idx="93">
                  <c:v>16.079999999999998</c:v>
                </c:pt>
                <c:pt idx="94">
                  <c:v>16.079999999999998</c:v>
                </c:pt>
                <c:pt idx="95">
                  <c:v>16.3</c:v>
                </c:pt>
                <c:pt idx="96">
                  <c:v>16.98</c:v>
                </c:pt>
                <c:pt idx="97">
                  <c:v>19.05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(All)'!$D$7:$D$107</c:f>
              <c:numCache>
                <c:formatCode>0.0000</c:formatCode>
                <c:ptCount val="101"/>
                <c:pt idx="0">
                  <c:v>7.09</c:v>
                </c:pt>
                <c:pt idx="1">
                  <c:v>7.23</c:v>
                </c:pt>
                <c:pt idx="2">
                  <c:v>7.24</c:v>
                </c:pt>
                <c:pt idx="3">
                  <c:v>7.18</c:v>
                </c:pt>
                <c:pt idx="4">
                  <c:v>7.44</c:v>
                </c:pt>
                <c:pt idx="5">
                  <c:v>7.48</c:v>
                </c:pt>
                <c:pt idx="6">
                  <c:v>7.45</c:v>
                </c:pt>
                <c:pt idx="7">
                  <c:v>7.61</c:v>
                </c:pt>
                <c:pt idx="8">
                  <c:v>7.65</c:v>
                </c:pt>
                <c:pt idx="9">
                  <c:v>7.53</c:v>
                </c:pt>
                <c:pt idx="10">
                  <c:v>7.51</c:v>
                </c:pt>
                <c:pt idx="11">
                  <c:v>7.36</c:v>
                </c:pt>
                <c:pt idx="12">
                  <c:v>7.4</c:v>
                </c:pt>
                <c:pt idx="13">
                  <c:v>8.0299999999999994</c:v>
                </c:pt>
                <c:pt idx="14">
                  <c:v>9.59</c:v>
                </c:pt>
                <c:pt idx="15">
                  <c:v>9.51</c:v>
                </c:pt>
                <c:pt idx="16">
                  <c:v>9.35</c:v>
                </c:pt>
                <c:pt idx="17">
                  <c:v>9.31</c:v>
                </c:pt>
                <c:pt idx="18">
                  <c:v>9.1300000000000008</c:v>
                </c:pt>
                <c:pt idx="19">
                  <c:v>9.18</c:v>
                </c:pt>
                <c:pt idx="20">
                  <c:v>8.89</c:v>
                </c:pt>
                <c:pt idx="21">
                  <c:v>9.01</c:v>
                </c:pt>
                <c:pt idx="22">
                  <c:v>8.89</c:v>
                </c:pt>
                <c:pt idx="23">
                  <c:v>8.84</c:v>
                </c:pt>
                <c:pt idx="24">
                  <c:v>9.31</c:v>
                </c:pt>
                <c:pt idx="25">
                  <c:v>9.49</c:v>
                </c:pt>
                <c:pt idx="26">
                  <c:v>10.1</c:v>
                </c:pt>
                <c:pt idx="27">
                  <c:v>10.18</c:v>
                </c:pt>
                <c:pt idx="28">
                  <c:v>9.75</c:v>
                </c:pt>
                <c:pt idx="29">
                  <c:v>9.48</c:v>
                </c:pt>
                <c:pt idx="30">
                  <c:v>9.4700000000000006</c:v>
                </c:pt>
                <c:pt idx="31">
                  <c:v>9.6300000000000008</c:v>
                </c:pt>
                <c:pt idx="32">
                  <c:v>15.51</c:v>
                </c:pt>
                <c:pt idx="33">
                  <c:v>20.49</c:v>
                </c:pt>
                <c:pt idx="34">
                  <c:v>16.98</c:v>
                </c:pt>
                <c:pt idx="35">
                  <c:v>13.1</c:v>
                </c:pt>
                <c:pt idx="36">
                  <c:v>10.8</c:v>
                </c:pt>
                <c:pt idx="37">
                  <c:v>10.050000000000001</c:v>
                </c:pt>
                <c:pt idx="38">
                  <c:v>9.35</c:v>
                </c:pt>
                <c:pt idx="39">
                  <c:v>8.6300000000000008</c:v>
                </c:pt>
                <c:pt idx="40">
                  <c:v>8.76</c:v>
                </c:pt>
                <c:pt idx="41">
                  <c:v>8.83</c:v>
                </c:pt>
                <c:pt idx="42">
                  <c:v>8.99</c:v>
                </c:pt>
                <c:pt idx="43">
                  <c:v>9.1999999999999993</c:v>
                </c:pt>
                <c:pt idx="44">
                  <c:v>9.18</c:v>
                </c:pt>
                <c:pt idx="45">
                  <c:v>8.83</c:v>
                </c:pt>
                <c:pt idx="46">
                  <c:v>8.32</c:v>
                </c:pt>
                <c:pt idx="47">
                  <c:v>8.19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11.7</c:v>
                </c:pt>
                <c:pt idx="64">
                  <c:v>11.13</c:v>
                </c:pt>
                <c:pt idx="65">
                  <c:v>10.56</c:v>
                </c:pt>
                <c:pt idx="66">
                  <c:v>10.9</c:v>
                </c:pt>
                <c:pt idx="67">
                  <c:v>12.75</c:v>
                </c:pt>
                <c:pt idx="68">
                  <c:v>12.77</c:v>
                </c:pt>
                <c:pt idx="69">
                  <c:v>11.3</c:v>
                </c:pt>
                <c:pt idx="70">
                  <c:v>11.72</c:v>
                </c:pt>
                <c:pt idx="71">
                  <c:v>11.43</c:v>
                </c:pt>
                <c:pt idx="72">
                  <c:v>12.7</c:v>
                </c:pt>
                <c:pt idx="73">
                  <c:v>13.94</c:v>
                </c:pt>
                <c:pt idx="74">
                  <c:v>13.65</c:v>
                </c:pt>
                <c:pt idx="75">
                  <c:v>16.96</c:v>
                </c:pt>
                <c:pt idx="76">
                  <c:v>24.64</c:v>
                </c:pt>
                <c:pt idx="77">
                  <c:v>27.16</c:v>
                </c:pt>
                <c:pt idx="78">
                  <c:v>30.6</c:v>
                </c:pt>
                <c:pt idx="79">
                  <c:v>46.2</c:v>
                </c:pt>
                <c:pt idx="80">
                  <c:v>79.8</c:v>
                </c:pt>
                <c:pt idx="81">
                  <c:v>34.83</c:v>
                </c:pt>
                <c:pt idx="82">
                  <c:v>24.16</c:v>
                </c:pt>
                <c:pt idx="83">
                  <c:v>25.13</c:v>
                </c:pt>
                <c:pt idx="84">
                  <c:v>23.38</c:v>
                </c:pt>
                <c:pt idx="85">
                  <c:v>20.079999999999998</c:v>
                </c:pt>
                <c:pt idx="86">
                  <c:v>18.59</c:v>
                </c:pt>
                <c:pt idx="87">
                  <c:v>17.8</c:v>
                </c:pt>
                <c:pt idx="88">
                  <c:v>15.67</c:v>
                </c:pt>
                <c:pt idx="89">
                  <c:v>16.13</c:v>
                </c:pt>
                <c:pt idx="90">
                  <c:v>16.64</c:v>
                </c:pt>
                <c:pt idx="91">
                  <c:v>15.98</c:v>
                </c:pt>
                <c:pt idx="92">
                  <c:v>16.27</c:v>
                </c:pt>
                <c:pt idx="93">
                  <c:v>16.079999999999998</c:v>
                </c:pt>
                <c:pt idx="94">
                  <c:v>16.079999999999998</c:v>
                </c:pt>
                <c:pt idx="95">
                  <c:v>16.3</c:v>
                </c:pt>
                <c:pt idx="96">
                  <c:v>16.98</c:v>
                </c:pt>
                <c:pt idx="97">
                  <c:v>19.05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438224"/>
        <c:axId val="551438784"/>
      </c:scatterChart>
      <c:valAx>
        <c:axId val="551438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438784"/>
        <c:crosses val="autoZero"/>
        <c:crossBetween val="midCat"/>
        <c:majorUnit val="5"/>
      </c:valAx>
      <c:valAx>
        <c:axId val="5514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438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(All)'!$E$7:$E$107</c:f>
              <c:numCache>
                <c:formatCode>0.0000</c:formatCode>
                <c:ptCount val="101"/>
                <c:pt idx="62">
                  <c:v>81.736909323116095</c:v>
                </c:pt>
                <c:pt idx="63">
                  <c:v>112.03549639489759</c:v>
                </c:pt>
                <c:pt idx="64">
                  <c:v>80.123786749191353</c:v>
                </c:pt>
                <c:pt idx="65">
                  <c:v>63.89610389610381</c:v>
                </c:pt>
                <c:pt idx="66">
                  <c:v>119.9661112680034</c:v>
                </c:pt>
                <c:pt idx="67">
                  <c:v>96.157635467980342</c:v>
                </c:pt>
                <c:pt idx="68">
                  <c:v>45.996353947552961</c:v>
                </c:pt>
                <c:pt idx="69">
                  <c:v>82.561797752809085</c:v>
                </c:pt>
                <c:pt idx="70">
                  <c:v>115.18377693282656</c:v>
                </c:pt>
                <c:pt idx="71">
                  <c:v>84.952822054149962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(All)'!$E$7:$E$107</c:f>
              <c:numCache>
                <c:formatCode>0.0000</c:formatCode>
                <c:ptCount val="101"/>
                <c:pt idx="62">
                  <c:v>81.736909323116095</c:v>
                </c:pt>
                <c:pt idx="63">
                  <c:v>112.03549639489759</c:v>
                </c:pt>
                <c:pt idx="64">
                  <c:v>80.123786749191353</c:v>
                </c:pt>
                <c:pt idx="65">
                  <c:v>63.89610389610381</c:v>
                </c:pt>
                <c:pt idx="66">
                  <c:v>119.9661112680034</c:v>
                </c:pt>
                <c:pt idx="67">
                  <c:v>96.157635467980342</c:v>
                </c:pt>
                <c:pt idx="68">
                  <c:v>45.996353947552961</c:v>
                </c:pt>
                <c:pt idx="69">
                  <c:v>82.561797752809085</c:v>
                </c:pt>
                <c:pt idx="70">
                  <c:v>115.18377693282656</c:v>
                </c:pt>
                <c:pt idx="71">
                  <c:v>84.952822054149962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560560"/>
        <c:axId val="229561120"/>
      </c:scatterChart>
      <c:valAx>
        <c:axId val="2295605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9561120"/>
        <c:crosses val="autoZero"/>
        <c:crossBetween val="midCat"/>
        <c:majorUnit val="5"/>
      </c:valAx>
      <c:valAx>
        <c:axId val="2295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9560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(All)'!$DA$7:$DA$107</c:f>
              <c:numCache>
                <c:formatCode>General</c:formatCode>
                <c:ptCount val="101"/>
                <c:pt idx="49" formatCode="_(* #,##0.0000_);_(* \(#,##0.0000\);_(* &quot;-&quot;??_);_(@_)">
                  <c:v>4.8945536445536444</c:v>
                </c:pt>
                <c:pt idx="50" formatCode="_(* #,##0.0000_);_(* \(#,##0.0000\);_(* &quot;-&quot;??_);_(@_)">
                  <c:v>5.621672809172809</c:v>
                </c:pt>
                <c:pt idx="51" formatCode="_(* #,##0.0000_);_(* \(#,##0.0000\);_(* &quot;-&quot;??_);_(@_)">
                  <c:v>5.1207386363636367</c:v>
                </c:pt>
                <c:pt idx="52" formatCode="_(* #,##0.0000_);_(* \(#,##0.0000\);_(* &quot;-&quot;??_);_(@_)">
                  <c:v>4.5984336609336607</c:v>
                </c:pt>
                <c:pt idx="53" formatCode="_(* #,##0.0000_);_(* \(#,##0.0000\);_(* &quot;-&quot;??_);_(@_)">
                  <c:v>4.0688753270218774</c:v>
                </c:pt>
                <c:pt idx="54" formatCode="_(* #,##0.0000_);_(* \(#,##0.0000\);_(* &quot;-&quot;??_);_(@_)">
                  <c:v>3.1909459458821274</c:v>
                </c:pt>
                <c:pt idx="55" formatCode="_(* #,##0.0000_);_(* \(#,##0.0000\);_(* &quot;-&quot;??_);_(@_)">
                  <c:v>4.2175622888431148</c:v>
                </c:pt>
                <c:pt idx="56" formatCode="_(* #,##0.0000_);_(* \(#,##0.0000\);_(* &quot;-&quot;??_);_(@_)">
                  <c:v>4.8817567567462357</c:v>
                </c:pt>
                <c:pt idx="57" formatCode="_(* #,##0.0000_);_(* \(#,##0.0000\);_(* &quot;-&quot;??_);_(@_)">
                  <c:v>4.3006408471434412</c:v>
                </c:pt>
                <c:pt idx="58" formatCode="_(* #,##0.0000_);_(* \(#,##0.0000\);_(* &quot;-&quot;??_);_(@_)">
                  <c:v>4.0952280405405403</c:v>
                </c:pt>
                <c:pt idx="59" formatCode="_(* #,##0.0000_);_(* \(#,##0.0000\);_(* &quot;-&quot;??_);_(@_)">
                  <c:v>4.6589783500900221</c:v>
                </c:pt>
                <c:pt idx="60" formatCode="_(* #,##0.0000_);_(* \(#,##0.0000\);_(* &quot;-&quot;??_);_(@_)">
                  <c:v>4.7442567568753642</c:v>
                </c:pt>
                <c:pt idx="61" formatCode="_(* #,##0.0000_);_(* \(#,##0.0000\);_(* &quot;-&quot;??_);_(@_)">
                  <c:v>5.3512411868375596</c:v>
                </c:pt>
                <c:pt idx="62" formatCode="_(* #,##0.0000_);_(* \(#,##0.0000\);_(* &quot;-&quot;??_);_(@_)">
                  <c:v>5.0710867117117111</c:v>
                </c:pt>
                <c:pt idx="63" formatCode="_(* #,##0.0000_);_(* \(#,##0.0000\);_(* &quot;-&quot;??_);_(@_)">
                  <c:v>3.9626175088120839</c:v>
                </c:pt>
                <c:pt idx="64" formatCode="_(* #,##0.0000_);_(* \(#,##0.0000\);_(* &quot;-&quot;??_);_(@_)">
                  <c:v>4.2517251293960117</c:v>
                </c:pt>
                <c:pt idx="65" formatCode="_(* #,##0.0000_);_(* \(#,##0.0000\);_(* &quot;-&quot;??_);_(@_)">
                  <c:v>3.9131756756854577</c:v>
                </c:pt>
                <c:pt idx="66" formatCode="_(* #,##0.0000_);_(* \(#,##0.0000\);_(* &quot;-&quot;??_);_(@_)">
                  <c:v>3.9447174447084801</c:v>
                </c:pt>
                <c:pt idx="67" formatCode="_(* #,##0.0000_);_(* \(#,##0.0000\);_(* &quot;-&quot;??_);_(@_)">
                  <c:v>5.2216216217521625</c:v>
                </c:pt>
                <c:pt idx="68" formatCode="_(* #,##0.0000_);_(* \(#,##0.0000\);_(* &quot;-&quot;??_);_(@_)">
                  <c:v>7.3632935260628187</c:v>
                </c:pt>
                <c:pt idx="69" formatCode="_(* #,##0.0000_);_(* \(#,##0.0000\);_(* &quot;-&quot;??_);_(@_)">
                  <c:v>5.4946911196911197</c:v>
                </c:pt>
                <c:pt idx="70" formatCode="_(* #,##0.0000_);_(* \(#,##0.0000\);_(* &quot;-&quot;??_);_(@_)">
                  <c:v>4.2159059462225237</c:v>
                </c:pt>
                <c:pt idx="71" formatCode="_(* #,##0.0000_);_(* \(#,##0.0000\);_(* &quot;-&quot;??_);_(@_)">
                  <c:v>4.3841647498678995</c:v>
                </c:pt>
                <c:pt idx="72" formatCode="_(* #,##0.0000_);_(* \(#,##0.0000\);_(* &quot;-&quot;??_);_(@_)">
                  <c:v>4.4737825382883587</c:v>
                </c:pt>
                <c:pt idx="73" formatCode="_(* #,##0.0000_);_(* \(#,##0.0000\);_(* &quot;-&quot;??_);_(@_)">
                  <c:v>4.7990839397077849</c:v>
                </c:pt>
                <c:pt idx="74" formatCode="_(* #,##0.0000_);_(* \(#,##0.0000\);_(* &quot;-&quot;??_);_(@_)">
                  <c:v>3.6835937500000004</c:v>
                </c:pt>
                <c:pt idx="75" formatCode="_(* #,##0.0000_);_(* \(#,##0.0000\);_(* &quot;-&quot;??_);_(@_)">
                  <c:v>3.6738281250000004</c:v>
                </c:pt>
                <c:pt idx="76" formatCode="_(* #,##0.0000_);_(* \(#,##0.0000\);_(* &quot;-&quot;??_);_(@_)">
                  <c:v>3.3339843750000004</c:v>
                </c:pt>
                <c:pt idx="77" formatCode="_(* #,##0.0000_);_(* \(#,##0.0000\);_(* &quot;-&quot;??_);_(@_)">
                  <c:v>3.6074218750000004</c:v>
                </c:pt>
                <c:pt idx="78" formatCode="_(* #,##0.0000_);_(* \(#,##0.0000\);_(* &quot;-&quot;??_);_(@_)">
                  <c:v>3.9199218750000004</c:v>
                </c:pt>
                <c:pt idx="79" formatCode="_(* #,##0.0000_);_(* \(#,##0.0000\);_(* &quot;-&quot;??_);_(@_)">
                  <c:v>4.7949218750000009</c:v>
                </c:pt>
                <c:pt idx="80" formatCode="_(* #,##0.0000_);_(* \(#,##0.0000\);_(* &quot;-&quot;??_);_(@_)">
                  <c:v>7.5000000000000009</c:v>
                </c:pt>
                <c:pt idx="81" formatCode="_(* #,##0.0000_);_(* \(#,##0.0000\);_(* &quot;-&quot;??_);_(@_)">
                  <c:v>7.5000000000000009</c:v>
                </c:pt>
                <c:pt idx="82" formatCode="_(* #,##0.0000_);_(* \(#,##0.0000\);_(* &quot;-&quot;??_);_(@_)">
                  <c:v>13.500000000000002</c:v>
                </c:pt>
                <c:pt idx="83" formatCode="_(* #,##0.0000_);_(* \(#,##0.0000\);_(* &quot;-&quot;??_);_(@_)">
                  <c:v>13.125000000000002</c:v>
                </c:pt>
                <c:pt idx="84" formatCode="_(* #,##0.0000_);_(* \(#,##0.0000\);_(* &quot;-&quot;??_);_(@_)">
                  <c:v>11.250000000000002</c:v>
                </c:pt>
                <c:pt idx="85" formatCode="_(* #,##0.0000_);_(* \(#,##0.0000\);_(* &quot;-&quot;??_);_(@_)">
                  <c:v>8.9062500000000018</c:v>
                </c:pt>
                <c:pt idx="86" formatCode="_(* #,##0.0000_);_(* \(#,##0.0000\);_(* &quot;-&quot;??_);_(@_)">
                  <c:v>7.9687500000000009</c:v>
                </c:pt>
                <c:pt idx="87" formatCode="_(* #,##0.0000_);_(* \(#,##0.0000\);_(* &quot;-&quot;??_);_(@_)">
                  <c:v>7.4062500000000009</c:v>
                </c:pt>
                <c:pt idx="88" formatCode="_(* #,##0.0000_);_(* \(#,##0.0000\);_(* &quot;-&quot;??_);_(@_)">
                  <c:v>7.2187500000000009</c:v>
                </c:pt>
                <c:pt idx="89" formatCode="_(* #,##0.0000_);_(* \(#,##0.0000\);_(* &quot;-&quot;??_);_(@_)">
                  <c:v>7.3125000000000009</c:v>
                </c:pt>
                <c:pt idx="90" formatCode="_(* #,##0.0000_);_(* \(#,##0.0000\);_(* &quot;-&quot;??_);_(@_)">
                  <c:v>7.0257352941176467</c:v>
                </c:pt>
                <c:pt idx="91" formatCode="_(* #,##0.0000_);_(* \(#,##0.0000\);_(* &quot;-&quot;??_);_(@_)">
                  <c:v>6.617647058823529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(All)'!$DA$7:$DA$107</c:f>
              <c:numCache>
                <c:formatCode>General</c:formatCode>
                <c:ptCount val="101"/>
                <c:pt idx="49" formatCode="_(* #,##0.0000_);_(* \(#,##0.0000\);_(* &quot;-&quot;??_);_(@_)">
                  <c:v>4.8945536445536444</c:v>
                </c:pt>
                <c:pt idx="50" formatCode="_(* #,##0.0000_);_(* \(#,##0.0000\);_(* &quot;-&quot;??_);_(@_)">
                  <c:v>5.621672809172809</c:v>
                </c:pt>
                <c:pt idx="51" formatCode="_(* #,##0.0000_);_(* \(#,##0.0000\);_(* &quot;-&quot;??_);_(@_)">
                  <c:v>5.1207386363636367</c:v>
                </c:pt>
                <c:pt idx="52" formatCode="_(* #,##0.0000_);_(* \(#,##0.0000\);_(* &quot;-&quot;??_);_(@_)">
                  <c:v>4.5984336609336607</c:v>
                </c:pt>
                <c:pt idx="53" formatCode="_(* #,##0.0000_);_(* \(#,##0.0000\);_(* &quot;-&quot;??_);_(@_)">
                  <c:v>4.0688753270218774</c:v>
                </c:pt>
                <c:pt idx="54" formatCode="_(* #,##0.0000_);_(* \(#,##0.0000\);_(* &quot;-&quot;??_);_(@_)">
                  <c:v>3.1909459458821274</c:v>
                </c:pt>
                <c:pt idx="55" formatCode="_(* #,##0.0000_);_(* \(#,##0.0000\);_(* &quot;-&quot;??_);_(@_)">
                  <c:v>4.2175622888431148</c:v>
                </c:pt>
                <c:pt idx="56" formatCode="_(* #,##0.0000_);_(* \(#,##0.0000\);_(* &quot;-&quot;??_);_(@_)">
                  <c:v>4.8817567567462357</c:v>
                </c:pt>
                <c:pt idx="57" formatCode="_(* #,##0.0000_);_(* \(#,##0.0000\);_(* &quot;-&quot;??_);_(@_)">
                  <c:v>4.3006408471434412</c:v>
                </c:pt>
                <c:pt idx="58" formatCode="_(* #,##0.0000_);_(* \(#,##0.0000\);_(* &quot;-&quot;??_);_(@_)">
                  <c:v>4.0952280405405403</c:v>
                </c:pt>
                <c:pt idx="59" formatCode="_(* #,##0.0000_);_(* \(#,##0.0000\);_(* &quot;-&quot;??_);_(@_)">
                  <c:v>4.6589783500900221</c:v>
                </c:pt>
                <c:pt idx="60" formatCode="_(* #,##0.0000_);_(* \(#,##0.0000\);_(* &quot;-&quot;??_);_(@_)">
                  <c:v>4.7442567568753642</c:v>
                </c:pt>
                <c:pt idx="61" formatCode="_(* #,##0.0000_);_(* \(#,##0.0000\);_(* &quot;-&quot;??_);_(@_)">
                  <c:v>5.3512411868375596</c:v>
                </c:pt>
                <c:pt idx="62" formatCode="_(* #,##0.0000_);_(* \(#,##0.0000\);_(* &quot;-&quot;??_);_(@_)">
                  <c:v>5.0710867117117111</c:v>
                </c:pt>
                <c:pt idx="63" formatCode="_(* #,##0.0000_);_(* \(#,##0.0000\);_(* &quot;-&quot;??_);_(@_)">
                  <c:v>3.9626175088120839</c:v>
                </c:pt>
                <c:pt idx="64" formatCode="_(* #,##0.0000_);_(* \(#,##0.0000\);_(* &quot;-&quot;??_);_(@_)">
                  <c:v>4.2517251293960117</c:v>
                </c:pt>
                <c:pt idx="65" formatCode="_(* #,##0.0000_);_(* \(#,##0.0000\);_(* &quot;-&quot;??_);_(@_)">
                  <c:v>3.9131756756854577</c:v>
                </c:pt>
                <c:pt idx="66" formatCode="_(* #,##0.0000_);_(* \(#,##0.0000\);_(* &quot;-&quot;??_);_(@_)">
                  <c:v>3.9447174447084801</c:v>
                </c:pt>
                <c:pt idx="67" formatCode="_(* #,##0.0000_);_(* \(#,##0.0000\);_(* &quot;-&quot;??_);_(@_)">
                  <c:v>5.2216216217521625</c:v>
                </c:pt>
                <c:pt idx="68" formatCode="_(* #,##0.0000_);_(* \(#,##0.0000\);_(* &quot;-&quot;??_);_(@_)">
                  <c:v>7.3632935260628187</c:v>
                </c:pt>
                <c:pt idx="69" formatCode="_(* #,##0.0000_);_(* \(#,##0.0000\);_(* &quot;-&quot;??_);_(@_)">
                  <c:v>5.4946911196911197</c:v>
                </c:pt>
                <c:pt idx="70" formatCode="_(* #,##0.0000_);_(* \(#,##0.0000\);_(* &quot;-&quot;??_);_(@_)">
                  <c:v>4.2159059462225237</c:v>
                </c:pt>
                <c:pt idx="71" formatCode="_(* #,##0.0000_);_(* \(#,##0.0000\);_(* &quot;-&quot;??_);_(@_)">
                  <c:v>4.3841647498678995</c:v>
                </c:pt>
                <c:pt idx="72" formatCode="_(* #,##0.0000_);_(* \(#,##0.0000\);_(* &quot;-&quot;??_);_(@_)">
                  <c:v>4.4737825382883587</c:v>
                </c:pt>
                <c:pt idx="73" formatCode="_(* #,##0.0000_);_(* \(#,##0.0000\);_(* &quot;-&quot;??_);_(@_)">
                  <c:v>4.7990839397077849</c:v>
                </c:pt>
                <c:pt idx="74" formatCode="_(* #,##0.0000_);_(* \(#,##0.0000\);_(* &quot;-&quot;??_);_(@_)">
                  <c:v>3.6835937500000004</c:v>
                </c:pt>
                <c:pt idx="75" formatCode="_(* #,##0.0000_);_(* \(#,##0.0000\);_(* &quot;-&quot;??_);_(@_)">
                  <c:v>3.6738281250000004</c:v>
                </c:pt>
                <c:pt idx="76" formatCode="_(* #,##0.0000_);_(* \(#,##0.0000\);_(* &quot;-&quot;??_);_(@_)">
                  <c:v>3.3339843750000004</c:v>
                </c:pt>
                <c:pt idx="77" formatCode="_(* #,##0.0000_);_(* \(#,##0.0000\);_(* &quot;-&quot;??_);_(@_)">
                  <c:v>3.6074218750000004</c:v>
                </c:pt>
                <c:pt idx="78" formatCode="_(* #,##0.0000_);_(* \(#,##0.0000\);_(* &quot;-&quot;??_);_(@_)">
                  <c:v>3.9199218750000004</c:v>
                </c:pt>
                <c:pt idx="79" formatCode="_(* #,##0.0000_);_(* \(#,##0.0000\);_(* &quot;-&quot;??_);_(@_)">
                  <c:v>4.7949218750000009</c:v>
                </c:pt>
                <c:pt idx="80" formatCode="_(* #,##0.0000_);_(* \(#,##0.0000\);_(* &quot;-&quot;??_);_(@_)">
                  <c:v>7.5000000000000009</c:v>
                </c:pt>
                <c:pt idx="81" formatCode="_(* #,##0.0000_);_(* \(#,##0.0000\);_(* &quot;-&quot;??_);_(@_)">
                  <c:v>7.5000000000000009</c:v>
                </c:pt>
                <c:pt idx="82" formatCode="_(* #,##0.0000_);_(* \(#,##0.0000\);_(* &quot;-&quot;??_);_(@_)">
                  <c:v>13.500000000000002</c:v>
                </c:pt>
                <c:pt idx="83" formatCode="_(* #,##0.0000_);_(* \(#,##0.0000\);_(* &quot;-&quot;??_);_(@_)">
                  <c:v>13.125000000000002</c:v>
                </c:pt>
                <c:pt idx="84" formatCode="_(* #,##0.0000_);_(* \(#,##0.0000\);_(* &quot;-&quot;??_);_(@_)">
                  <c:v>11.250000000000002</c:v>
                </c:pt>
                <c:pt idx="85" formatCode="_(* #,##0.0000_);_(* \(#,##0.0000\);_(* &quot;-&quot;??_);_(@_)">
                  <c:v>8.9062500000000018</c:v>
                </c:pt>
                <c:pt idx="86" formatCode="_(* #,##0.0000_);_(* \(#,##0.0000\);_(* &quot;-&quot;??_);_(@_)">
                  <c:v>7.9687500000000009</c:v>
                </c:pt>
                <c:pt idx="87" formatCode="_(* #,##0.0000_);_(* \(#,##0.0000\);_(* &quot;-&quot;??_);_(@_)">
                  <c:v>7.4062500000000009</c:v>
                </c:pt>
                <c:pt idx="88" formatCode="_(* #,##0.0000_);_(* \(#,##0.0000\);_(* &quot;-&quot;??_);_(@_)">
                  <c:v>7.2187500000000009</c:v>
                </c:pt>
                <c:pt idx="89" formatCode="_(* #,##0.0000_);_(* \(#,##0.0000\);_(* &quot;-&quot;??_);_(@_)">
                  <c:v>7.3125000000000009</c:v>
                </c:pt>
                <c:pt idx="90" formatCode="_(* #,##0.0000_);_(* \(#,##0.0000\);_(* &quot;-&quot;??_);_(@_)">
                  <c:v>7.0257352941176467</c:v>
                </c:pt>
                <c:pt idx="91" formatCode="_(* #,##0.0000_);_(* \(#,##0.0000\);_(* &quot;-&quot;??_);_(@_)">
                  <c:v>6.617647058823529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50240"/>
        <c:axId val="360050800"/>
      </c:scatterChart>
      <c:valAx>
        <c:axId val="360050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0800"/>
        <c:crosses val="autoZero"/>
        <c:crossBetween val="midCat"/>
        <c:majorUnit val="5"/>
      </c:valAx>
      <c:valAx>
        <c:axId val="3600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0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Production,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(All)'!$DB$7:$DB$107</c:f>
              <c:numCache>
                <c:formatCode>General</c:formatCode>
                <c:ptCount val="101"/>
                <c:pt idx="55" formatCode="_(* #,##0.0000_);_(* \(#,##0.0000\);_(* &quot;-&quot;??_);_(@_)">
                  <c:v>3.6796833180194395</c:v>
                </c:pt>
                <c:pt idx="56" formatCode="_(* #,##0.0000_);_(* \(#,##0.0000\);_(* &quot;-&quot;??_);_(@_)">
                  <c:v>3.7560238493352429</c:v>
                </c:pt>
                <c:pt idx="57" formatCode="_(* #,##0.0000_);_(* \(#,##0.0000\);_(* &quot;-&quot;??_);_(@_)">
                  <c:v>3.7849218721789457</c:v>
                </c:pt>
                <c:pt idx="58" formatCode="_(* #,##0.0000_);_(* \(#,##0.0000\);_(* &quot;-&quot;??_);_(@_)">
                  <c:v>3.7805099068335268</c:v>
                </c:pt>
                <c:pt idx="59" formatCode="_(* #,##0.0000_);_(* \(#,##0.0000\);_(* &quot;-&quot;??_);_(@_)">
                  <c:v>4.1773638102119275</c:v>
                </c:pt>
                <c:pt idx="60" formatCode="_(* #,##0.0000_);_(* \(#,##0.0000\);_(* &quot;-&quot;??_);_(@_)">
                  <c:v>4.3900918693080158</c:v>
                </c:pt>
                <c:pt idx="61" formatCode="_(* #,##0.0000_);_(* \(#,##0.0000\);_(* &quot;-&quot;??_);_(@_)">
                  <c:v>3.9886270185617945</c:v>
                </c:pt>
                <c:pt idx="62" formatCode="_(* #,##0.0000_);_(* \(#,##0.0000\);_(* &quot;-&quot;??_);_(@_)">
                  <c:v>3.6821676400232746</c:v>
                </c:pt>
                <c:pt idx="63" formatCode="_(* #,##0.0000_);_(* \(#,##0.0000\);_(* &quot;-&quot;??_);_(@_)">
                  <c:v>3.494618321770341</c:v>
                </c:pt>
                <c:pt idx="64" formatCode="_(* #,##0.0000_);_(* \(#,##0.0000\);_(* &quot;-&quot;??_);_(@_)">
                  <c:v>3.40482913712624</c:v>
                </c:pt>
                <c:pt idx="65" formatCode="_(* #,##0.0000_);_(* \(#,##0.0000\);_(* &quot;-&quot;??_);_(@_)">
                  <c:v>3.3725041843183785</c:v>
                </c:pt>
                <c:pt idx="66" formatCode="_(* #,##0.0000_);_(* \(#,##0.0000\);_(* &quot;-&quot;??_);_(@_)">
                  <c:v>3.9088094447141799</c:v>
                </c:pt>
                <c:pt idx="67" formatCode="_(* #,##0.0000_);_(* \(#,##0.0000\);_(* &quot;-&quot;??_);_(@_)">
                  <c:v>4.682240308651239</c:v>
                </c:pt>
                <c:pt idx="68" formatCode="_(* #,##0.0000_);_(* \(#,##0.0000\);_(* &quot;-&quot;??_);_(@_)">
                  <c:v>5.2565464870374132</c:v>
                </c:pt>
                <c:pt idx="69" formatCode="_(* #,##0.0000_);_(* \(#,##0.0000\);_(* &quot;-&quot;??_);_(@_)">
                  <c:v>4.6838264730501873</c:v>
                </c:pt>
                <c:pt idx="70" formatCode="_(* #,##0.0000_);_(* \(#,##0.0000\);_(* &quot;-&quot;??_);_(@_)">
                  <c:v>4.076466873012488</c:v>
                </c:pt>
                <c:pt idx="71" formatCode="_(* #,##0.0000_);_(* \(#,##0.0000\);_(* &quot;-&quot;??_);_(@_)">
                  <c:v>3.9363128595307129</c:v>
                </c:pt>
                <c:pt idx="72" formatCode="_(* #,##0.0000_);_(* \(#,##0.0000\);_(* &quot;-&quot;??_);_(@_)">
                  <c:v>4.5019566052434943</c:v>
                </c:pt>
                <c:pt idx="73" formatCode="_(* #,##0.0000_);_(* \(#,##0.0000\);_(* &quot;-&quot;??_);_(@_)">
                  <c:v>4.686740980955773</c:v>
                </c:pt>
                <c:pt idx="74" formatCode="_(* #,##0.0000_);_(* \(#,##0.0000\);_(* &quot;-&quot;??_);_(@_)">
                  <c:v>4.7464985222842957</c:v>
                </c:pt>
                <c:pt idx="75" formatCode="_(* #,##0.0000_);_(* \(#,##0.0000\);_(* &quot;-&quot;??_);_(@_)">
                  <c:v>4.4212804400765862</c:v>
                </c:pt>
                <c:pt idx="76" formatCode="_(* #,##0.0000_);_(* \(#,##0.0000\);_(* &quot;-&quot;??_);_(@_)">
                  <c:v>4.4957627685930515</c:v>
                </c:pt>
                <c:pt idx="77" formatCode="_(* #,##0.0000_);_(* \(#,##0.0000\);_(* &quot;-&quot;??_);_(@_)">
                  <c:v>4.9543351592534481</c:v>
                </c:pt>
                <c:pt idx="78" formatCode="_(* #,##0.0000_);_(* \(#,##0.0000\);_(* &quot;-&quot;??_);_(@_)">
                  <c:v>5.8073726940093549</c:v>
                </c:pt>
                <c:pt idx="79" formatCode="_(* #,##0.0000_);_(* \(#,##0.0000\);_(* &quot;-&quot;??_);_(@_)">
                  <c:v>5.9626656965427447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(All)'!$DB$7:$DB$107</c:f>
              <c:numCache>
                <c:formatCode>General</c:formatCode>
                <c:ptCount val="101"/>
                <c:pt idx="55" formatCode="_(* #,##0.0000_);_(* \(#,##0.0000\);_(* &quot;-&quot;??_);_(@_)">
                  <c:v>3.6796833180194395</c:v>
                </c:pt>
                <c:pt idx="56" formatCode="_(* #,##0.0000_);_(* \(#,##0.0000\);_(* &quot;-&quot;??_);_(@_)">
                  <c:v>3.7560238493352429</c:v>
                </c:pt>
                <c:pt idx="57" formatCode="_(* #,##0.0000_);_(* \(#,##0.0000\);_(* &quot;-&quot;??_);_(@_)">
                  <c:v>3.7849218721789457</c:v>
                </c:pt>
                <c:pt idx="58" formatCode="_(* #,##0.0000_);_(* \(#,##0.0000\);_(* &quot;-&quot;??_);_(@_)">
                  <c:v>3.7805099068335268</c:v>
                </c:pt>
                <c:pt idx="59" formatCode="_(* #,##0.0000_);_(* \(#,##0.0000\);_(* &quot;-&quot;??_);_(@_)">
                  <c:v>4.1773638102119275</c:v>
                </c:pt>
                <c:pt idx="60" formatCode="_(* #,##0.0000_);_(* \(#,##0.0000\);_(* &quot;-&quot;??_);_(@_)">
                  <c:v>4.3900918693080158</c:v>
                </c:pt>
                <c:pt idx="61" formatCode="_(* #,##0.0000_);_(* \(#,##0.0000\);_(* &quot;-&quot;??_);_(@_)">
                  <c:v>3.9886270185617945</c:v>
                </c:pt>
                <c:pt idx="62" formatCode="_(* #,##0.0000_);_(* \(#,##0.0000\);_(* &quot;-&quot;??_);_(@_)">
                  <c:v>3.6821676400232746</c:v>
                </c:pt>
                <c:pt idx="63" formatCode="_(* #,##0.0000_);_(* \(#,##0.0000\);_(* &quot;-&quot;??_);_(@_)">
                  <c:v>3.494618321770341</c:v>
                </c:pt>
                <c:pt idx="64" formatCode="_(* #,##0.0000_);_(* \(#,##0.0000\);_(* &quot;-&quot;??_);_(@_)">
                  <c:v>3.40482913712624</c:v>
                </c:pt>
                <c:pt idx="65" formatCode="_(* #,##0.0000_);_(* \(#,##0.0000\);_(* &quot;-&quot;??_);_(@_)">
                  <c:v>3.3725041843183785</c:v>
                </c:pt>
                <c:pt idx="66" formatCode="_(* #,##0.0000_);_(* \(#,##0.0000\);_(* &quot;-&quot;??_);_(@_)">
                  <c:v>3.9088094447141799</c:v>
                </c:pt>
                <c:pt idx="67" formatCode="_(* #,##0.0000_);_(* \(#,##0.0000\);_(* &quot;-&quot;??_);_(@_)">
                  <c:v>4.682240308651239</c:v>
                </c:pt>
                <c:pt idx="68" formatCode="_(* #,##0.0000_);_(* \(#,##0.0000\);_(* &quot;-&quot;??_);_(@_)">
                  <c:v>5.2565464870374132</c:v>
                </c:pt>
                <c:pt idx="69" formatCode="_(* #,##0.0000_);_(* \(#,##0.0000\);_(* &quot;-&quot;??_);_(@_)">
                  <c:v>4.6838264730501873</c:v>
                </c:pt>
                <c:pt idx="70" formatCode="_(* #,##0.0000_);_(* \(#,##0.0000\);_(* &quot;-&quot;??_);_(@_)">
                  <c:v>4.076466873012488</c:v>
                </c:pt>
                <c:pt idx="71" formatCode="_(* #,##0.0000_);_(* \(#,##0.0000\);_(* &quot;-&quot;??_);_(@_)">
                  <c:v>3.9363128595307129</c:v>
                </c:pt>
                <c:pt idx="72" formatCode="_(* #,##0.0000_);_(* \(#,##0.0000\);_(* &quot;-&quot;??_);_(@_)">
                  <c:v>4.5019566052434943</c:v>
                </c:pt>
                <c:pt idx="73" formatCode="_(* #,##0.0000_);_(* \(#,##0.0000\);_(* &quot;-&quot;??_);_(@_)">
                  <c:v>4.686740980955773</c:v>
                </c:pt>
                <c:pt idx="74" formatCode="_(* #,##0.0000_);_(* \(#,##0.0000\);_(* &quot;-&quot;??_);_(@_)">
                  <c:v>4.7464985222842957</c:v>
                </c:pt>
                <c:pt idx="75" formatCode="_(* #,##0.0000_);_(* \(#,##0.0000\);_(* &quot;-&quot;??_);_(@_)">
                  <c:v>4.4212804400765862</c:v>
                </c:pt>
                <c:pt idx="76" formatCode="_(* #,##0.0000_);_(* \(#,##0.0000\);_(* &quot;-&quot;??_);_(@_)">
                  <c:v>4.4957627685930515</c:v>
                </c:pt>
                <c:pt idx="77" formatCode="_(* #,##0.0000_);_(* \(#,##0.0000\);_(* &quot;-&quot;??_);_(@_)">
                  <c:v>4.9543351592534481</c:v>
                </c:pt>
                <c:pt idx="78" formatCode="_(* #,##0.0000_);_(* \(#,##0.0000\);_(* &quot;-&quot;??_);_(@_)">
                  <c:v>5.8073726940093549</c:v>
                </c:pt>
                <c:pt idx="79" formatCode="_(* #,##0.0000_);_(* \(#,##0.0000\);_(* &quot;-&quot;??_);_(@_)">
                  <c:v>5.9626656965427447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53600"/>
        <c:axId val="360054160"/>
      </c:scatterChart>
      <c:valAx>
        <c:axId val="3600536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4160"/>
        <c:crosses val="autoZero"/>
        <c:crossBetween val="midCat"/>
        <c:majorUnit val="5"/>
      </c:valAx>
      <c:valAx>
        <c:axId val="36005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36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(All)'!$AF$7:$AF$107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(All)'!$AF$7:$AF$107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56960"/>
        <c:axId val="360057520"/>
      </c:scatterChart>
      <c:valAx>
        <c:axId val="3600569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7520"/>
        <c:crosses val="autoZero"/>
        <c:crossBetween val="midCat"/>
        <c:majorUnit val="5"/>
      </c:valAx>
      <c:valAx>
        <c:axId val="3600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569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(All)'!$AG$7:$AG$107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(All)'!$AG$7:$AG$107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60320"/>
        <c:axId val="360060880"/>
      </c:scatterChart>
      <c:valAx>
        <c:axId val="360060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60880"/>
        <c:crosses val="autoZero"/>
        <c:crossBetween val="midCat"/>
        <c:majorUnit val="5"/>
      </c:valAx>
      <c:valAx>
        <c:axId val="3600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60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(All)'!$AH$7:$AH$107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(All)'!$AH$7:$AH$107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63680"/>
        <c:axId val="360064240"/>
      </c:scatterChart>
      <c:valAx>
        <c:axId val="360063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64240"/>
        <c:crosses val="autoZero"/>
        <c:crossBetween val="midCat"/>
        <c:majorUnit val="5"/>
      </c:valAx>
      <c:valAx>
        <c:axId val="36006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63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Coal, in</a:t>
            </a:r>
            <a:r>
              <a:rPr lang="en-US" sz="2000" b="1" baseline="0">
                <a:solidFill>
                  <a:schemeClr val="tx1"/>
                </a:solidFill>
              </a:rPr>
              <a:t> s/ton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'Coal (All)'!$D$6</c:f>
              <c:strCache>
                <c:ptCount val="1"/>
                <c:pt idx="0">
                  <c:v>UK, Exports, in s/ton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(All)'!$D$7:$D$107</c:f>
              <c:numCache>
                <c:formatCode>0.0000</c:formatCode>
                <c:ptCount val="101"/>
                <c:pt idx="0">
                  <c:v>7.09</c:v>
                </c:pt>
                <c:pt idx="1">
                  <c:v>7.23</c:v>
                </c:pt>
                <c:pt idx="2">
                  <c:v>7.24</c:v>
                </c:pt>
                <c:pt idx="3">
                  <c:v>7.18</c:v>
                </c:pt>
                <c:pt idx="4">
                  <c:v>7.44</c:v>
                </c:pt>
                <c:pt idx="5">
                  <c:v>7.48</c:v>
                </c:pt>
                <c:pt idx="6">
                  <c:v>7.45</c:v>
                </c:pt>
                <c:pt idx="7">
                  <c:v>7.61</c:v>
                </c:pt>
                <c:pt idx="8">
                  <c:v>7.65</c:v>
                </c:pt>
                <c:pt idx="9">
                  <c:v>7.53</c:v>
                </c:pt>
                <c:pt idx="10">
                  <c:v>7.51</c:v>
                </c:pt>
                <c:pt idx="11">
                  <c:v>7.36</c:v>
                </c:pt>
                <c:pt idx="12">
                  <c:v>7.4</c:v>
                </c:pt>
                <c:pt idx="13">
                  <c:v>8.0299999999999994</c:v>
                </c:pt>
                <c:pt idx="14">
                  <c:v>9.59</c:v>
                </c:pt>
                <c:pt idx="15">
                  <c:v>9.51</c:v>
                </c:pt>
                <c:pt idx="16">
                  <c:v>9.35</c:v>
                </c:pt>
                <c:pt idx="17">
                  <c:v>9.31</c:v>
                </c:pt>
                <c:pt idx="18">
                  <c:v>9.1300000000000008</c:v>
                </c:pt>
                <c:pt idx="19">
                  <c:v>9.18</c:v>
                </c:pt>
                <c:pt idx="20">
                  <c:v>8.89</c:v>
                </c:pt>
                <c:pt idx="21">
                  <c:v>9.01</c:v>
                </c:pt>
                <c:pt idx="22">
                  <c:v>8.89</c:v>
                </c:pt>
                <c:pt idx="23">
                  <c:v>8.84</c:v>
                </c:pt>
                <c:pt idx="24">
                  <c:v>9.31</c:v>
                </c:pt>
                <c:pt idx="25">
                  <c:v>9.49</c:v>
                </c:pt>
                <c:pt idx="26">
                  <c:v>10.1</c:v>
                </c:pt>
                <c:pt idx="27">
                  <c:v>10.18</c:v>
                </c:pt>
                <c:pt idx="28">
                  <c:v>9.75</c:v>
                </c:pt>
                <c:pt idx="29">
                  <c:v>9.48</c:v>
                </c:pt>
                <c:pt idx="30">
                  <c:v>9.4700000000000006</c:v>
                </c:pt>
                <c:pt idx="31">
                  <c:v>9.6300000000000008</c:v>
                </c:pt>
                <c:pt idx="32">
                  <c:v>15.51</c:v>
                </c:pt>
                <c:pt idx="33">
                  <c:v>20.49</c:v>
                </c:pt>
                <c:pt idx="34">
                  <c:v>16.98</c:v>
                </c:pt>
                <c:pt idx="35">
                  <c:v>13.1</c:v>
                </c:pt>
                <c:pt idx="36">
                  <c:v>10.8</c:v>
                </c:pt>
                <c:pt idx="37">
                  <c:v>10.050000000000001</c:v>
                </c:pt>
                <c:pt idx="38">
                  <c:v>9.35</c:v>
                </c:pt>
                <c:pt idx="39">
                  <c:v>8.6300000000000008</c:v>
                </c:pt>
                <c:pt idx="40">
                  <c:v>8.76</c:v>
                </c:pt>
                <c:pt idx="41">
                  <c:v>8.83</c:v>
                </c:pt>
                <c:pt idx="42">
                  <c:v>8.99</c:v>
                </c:pt>
                <c:pt idx="43">
                  <c:v>9.1999999999999993</c:v>
                </c:pt>
                <c:pt idx="44">
                  <c:v>9.18</c:v>
                </c:pt>
                <c:pt idx="45">
                  <c:v>8.83</c:v>
                </c:pt>
                <c:pt idx="46">
                  <c:v>8.32</c:v>
                </c:pt>
                <c:pt idx="47">
                  <c:v>8.19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11.7</c:v>
                </c:pt>
                <c:pt idx="64">
                  <c:v>11.13</c:v>
                </c:pt>
                <c:pt idx="65">
                  <c:v>10.56</c:v>
                </c:pt>
                <c:pt idx="66">
                  <c:v>10.9</c:v>
                </c:pt>
                <c:pt idx="67">
                  <c:v>12.75</c:v>
                </c:pt>
                <c:pt idx="68">
                  <c:v>12.77</c:v>
                </c:pt>
                <c:pt idx="69">
                  <c:v>11.3</c:v>
                </c:pt>
                <c:pt idx="70">
                  <c:v>11.72</c:v>
                </c:pt>
                <c:pt idx="71">
                  <c:v>11.43</c:v>
                </c:pt>
                <c:pt idx="72">
                  <c:v>12.7</c:v>
                </c:pt>
                <c:pt idx="73">
                  <c:v>13.94</c:v>
                </c:pt>
                <c:pt idx="74">
                  <c:v>13.65</c:v>
                </c:pt>
                <c:pt idx="75">
                  <c:v>16.96</c:v>
                </c:pt>
                <c:pt idx="76">
                  <c:v>24.64</c:v>
                </c:pt>
                <c:pt idx="77">
                  <c:v>27.16</c:v>
                </c:pt>
                <c:pt idx="78">
                  <c:v>30.6</c:v>
                </c:pt>
                <c:pt idx="79">
                  <c:v>46.2</c:v>
                </c:pt>
                <c:pt idx="80">
                  <c:v>79.8</c:v>
                </c:pt>
                <c:pt idx="81">
                  <c:v>34.83</c:v>
                </c:pt>
                <c:pt idx="82">
                  <c:v>24.16</c:v>
                </c:pt>
                <c:pt idx="83">
                  <c:v>25.13</c:v>
                </c:pt>
                <c:pt idx="84">
                  <c:v>23.38</c:v>
                </c:pt>
                <c:pt idx="85">
                  <c:v>20.079999999999998</c:v>
                </c:pt>
                <c:pt idx="86">
                  <c:v>18.59</c:v>
                </c:pt>
                <c:pt idx="87">
                  <c:v>17.8</c:v>
                </c:pt>
                <c:pt idx="88">
                  <c:v>15.67</c:v>
                </c:pt>
                <c:pt idx="89">
                  <c:v>16.13</c:v>
                </c:pt>
                <c:pt idx="90">
                  <c:v>16.64</c:v>
                </c:pt>
                <c:pt idx="91">
                  <c:v>15.98</c:v>
                </c:pt>
                <c:pt idx="92">
                  <c:v>16.27</c:v>
                </c:pt>
                <c:pt idx="93">
                  <c:v>16.079999999999998</c:v>
                </c:pt>
                <c:pt idx="94">
                  <c:v>16.079999999999998</c:v>
                </c:pt>
                <c:pt idx="95">
                  <c:v>16.3</c:v>
                </c:pt>
                <c:pt idx="96">
                  <c:v>16.98</c:v>
                </c:pt>
                <c:pt idx="97">
                  <c:v>19.05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'Coal (All)'!$C$6</c:f>
              <c:strCache>
                <c:ptCount val="1"/>
                <c:pt idx="0">
                  <c:v>UK, Exports, in s/ton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'Coal (All)'!$E$6</c:f>
              <c:strCache>
                <c:ptCount val="1"/>
                <c:pt idx="0">
                  <c:v>Baghdad, Imports, in s/ton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(All)'!$E$7:$E$107</c:f>
              <c:numCache>
                <c:formatCode>0.0000</c:formatCode>
                <c:ptCount val="101"/>
                <c:pt idx="62">
                  <c:v>81.736909323116095</c:v>
                </c:pt>
                <c:pt idx="63">
                  <c:v>112.03549639489759</c:v>
                </c:pt>
                <c:pt idx="64">
                  <c:v>80.123786749191353</c:v>
                </c:pt>
                <c:pt idx="65">
                  <c:v>63.89610389610381</c:v>
                </c:pt>
                <c:pt idx="66">
                  <c:v>119.9661112680034</c:v>
                </c:pt>
                <c:pt idx="67">
                  <c:v>96.157635467980342</c:v>
                </c:pt>
                <c:pt idx="68">
                  <c:v>45.996353947552961</c:v>
                </c:pt>
                <c:pt idx="69">
                  <c:v>82.561797752809085</c:v>
                </c:pt>
                <c:pt idx="70">
                  <c:v>115.18377693282656</c:v>
                </c:pt>
                <c:pt idx="71">
                  <c:v>84.952822054149962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'Coal (All)'!$F$6</c:f>
              <c:strCache>
                <c:ptCount val="1"/>
                <c:pt idx="0">
                  <c:v>Baghdad, Imports, in s/ton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'Coal (All)'!$G$6</c:f>
              <c:strCache>
                <c:ptCount val="1"/>
                <c:pt idx="0">
                  <c:v>Baghdad,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(All)'!$G$7:$G$107</c:f>
              <c:numCache>
                <c:formatCode>0.0000</c:formatCode>
                <c:ptCount val="101"/>
                <c:pt idx="26">
                  <c:v>81.818056319999997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'Coal (All)'!$H$6</c:f>
              <c:strCache>
                <c:ptCount val="1"/>
                <c:pt idx="0">
                  <c:v>Basrah, Imports, in s/ton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(All)'!$H$7:$H$107</c:f>
              <c:numCache>
                <c:formatCode>0.0000</c:formatCode>
                <c:ptCount val="101"/>
                <c:pt idx="47">
                  <c:v>29.012494961708967</c:v>
                </c:pt>
                <c:pt idx="48">
                  <c:v>35.776110790536663</c:v>
                </c:pt>
                <c:pt idx="49">
                  <c:v>36.309914642153643</c:v>
                </c:pt>
                <c:pt idx="50">
                  <c:v>36.876456876456871</c:v>
                </c:pt>
                <c:pt idx="51">
                  <c:v>31.394341065511068</c:v>
                </c:pt>
                <c:pt idx="52">
                  <c:v>27.999077916090357</c:v>
                </c:pt>
                <c:pt idx="53">
                  <c:v>29.999999999999996</c:v>
                </c:pt>
                <c:pt idx="54">
                  <c:v>29.996188540210909</c:v>
                </c:pt>
                <c:pt idx="55">
                  <c:v>29.999999999999996</c:v>
                </c:pt>
                <c:pt idx="56">
                  <c:v>34.997523526498263</c:v>
                </c:pt>
                <c:pt idx="57">
                  <c:v>34.851081883750538</c:v>
                </c:pt>
                <c:pt idx="58">
                  <c:v>40.000000000000007</c:v>
                </c:pt>
                <c:pt idx="59">
                  <c:v>40.000000000000007</c:v>
                </c:pt>
                <c:pt idx="60">
                  <c:v>44.997878659312761</c:v>
                </c:pt>
                <c:pt idx="61">
                  <c:v>42.000998003992024</c:v>
                </c:pt>
                <c:pt idx="62">
                  <c:v>40.000000000000007</c:v>
                </c:pt>
                <c:pt idx="63">
                  <c:v>30.666366339309839</c:v>
                </c:pt>
                <c:pt idx="64">
                  <c:v>34.9991648571906</c:v>
                </c:pt>
                <c:pt idx="65">
                  <c:v>35</c:v>
                </c:pt>
                <c:pt idx="66">
                  <c:v>32.00048658840705</c:v>
                </c:pt>
                <c:pt idx="67">
                  <c:v>29.999999999999996</c:v>
                </c:pt>
                <c:pt idx="68">
                  <c:v>35.998629667694402</c:v>
                </c:pt>
                <c:pt idx="69">
                  <c:v>35.998116206510844</c:v>
                </c:pt>
                <c:pt idx="70">
                  <c:v>35.999692343191178</c:v>
                </c:pt>
                <c:pt idx="71">
                  <c:v>35.999680230234247</c:v>
                </c:pt>
                <c:pt idx="72">
                  <c:v>40.000000000000007</c:v>
                </c:pt>
                <c:pt idx="73">
                  <c:v>38.000190458051627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'Coal (All)'!$I$6</c:f>
              <c:strCache>
                <c:ptCount val="1"/>
                <c:pt idx="0">
                  <c:v>Basrah, Exports,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(All)'!$I$7:$I$107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"/>
          <c:order val="7"/>
          <c:tx>
            <c:strRef>
              <c:f>'Coal (All)'!$J$6</c:f>
              <c:strCache>
                <c:ptCount val="1"/>
                <c:pt idx="0">
                  <c:v>Basrah,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(All)'!$J$7:$J$107</c:f>
              <c:numCache>
                <c:formatCode>0.0000</c:formatCode>
                <c:ptCount val="101"/>
                <c:pt idx="24">
                  <c:v>218.59649122807016</c:v>
                </c:pt>
                <c:pt idx="25">
                  <c:v>141.22807017543883</c:v>
                </c:pt>
                <c:pt idx="26">
                  <c:v>112.98245614035072</c:v>
                </c:pt>
                <c:pt idx="64">
                  <c:v>67.878787878788089</c:v>
                </c:pt>
                <c:pt idx="65">
                  <c:v>61.09090909090893</c:v>
                </c:pt>
                <c:pt idx="69">
                  <c:v>35.999998720000001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'Coal (All)'!$K$6</c:f>
              <c:strCache>
                <c:ptCount val="1"/>
                <c:pt idx="0">
                  <c:v>Mosul, Imports,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(All)'!$K$7:$K$107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"/>
          <c:order val="9"/>
          <c:tx>
            <c:strRef>
              <c:f>'Coal (All)'!$L$6</c:f>
              <c:strCache>
                <c:ptCount val="1"/>
                <c:pt idx="0">
                  <c:v>Mosul, Exports,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(All)'!$L$7:$L$107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9"/>
          <c:order val="10"/>
          <c:tx>
            <c:strRef>
              <c:f>'Coal (All)'!$M$6</c:f>
              <c:strCache>
                <c:ptCount val="1"/>
                <c:pt idx="0">
                  <c:v>Mosul,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(All)'!$M$7:$M$107</c:f>
              <c:numCache>
                <c:formatCode>0.0000</c:formatCode>
                <c:ptCount val="101"/>
                <c:pt idx="44">
                  <c:v>52.727272727272798</c:v>
                </c:pt>
              </c:numCache>
            </c:numRef>
          </c:val>
          <c:smooth val="0"/>
        </c:ser>
        <c:ser>
          <c:idx val="21"/>
          <c:order val="11"/>
          <c:tx>
            <c:strRef>
              <c:f>'Coal (All)'!$Q$6</c:f>
              <c:strCache>
                <c:ptCount val="1"/>
                <c:pt idx="0">
                  <c:v>Palestine, Imports,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(All)'!$Q$7:$Q$107</c:f>
              <c:numCache>
                <c:formatCode>0.0000</c:formatCode>
                <c:ptCount val="101"/>
                <c:pt idx="36">
                  <c:v>32.558139534883743</c:v>
                </c:pt>
                <c:pt idx="37">
                  <c:v>29.876262626262616</c:v>
                </c:pt>
                <c:pt idx="39">
                  <c:v>31.111111111111093</c:v>
                </c:pt>
                <c:pt idx="40">
                  <c:v>33.333333333333329</c:v>
                </c:pt>
                <c:pt idx="41">
                  <c:v>35.555555555555571</c:v>
                </c:pt>
                <c:pt idx="42">
                  <c:v>40.000000000000007</c:v>
                </c:pt>
                <c:pt idx="43">
                  <c:v>41.328413284132843</c:v>
                </c:pt>
                <c:pt idx="44">
                  <c:v>42.647058823529399</c:v>
                </c:pt>
                <c:pt idx="45">
                  <c:v>29.999999999999996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29.999999999999996</c:v>
                </c:pt>
                <c:pt idx="51">
                  <c:v>76.363636363636161</c:v>
                </c:pt>
                <c:pt idx="52">
                  <c:v>30.624999999999996</c:v>
                </c:pt>
                <c:pt idx="53">
                  <c:v>31.280898876404486</c:v>
                </c:pt>
                <c:pt idx="54">
                  <c:v>29.999999999999996</c:v>
                </c:pt>
                <c:pt idx="55">
                  <c:v>30.294117647058808</c:v>
                </c:pt>
                <c:pt idx="56">
                  <c:v>29.930795847750872</c:v>
                </c:pt>
                <c:pt idx="57">
                  <c:v>27.874999999999979</c:v>
                </c:pt>
                <c:pt idx="58">
                  <c:v>31.999999999999986</c:v>
                </c:pt>
                <c:pt idx="59">
                  <c:v>37.702127659574472</c:v>
                </c:pt>
                <c:pt idx="60">
                  <c:v>39.044092898014135</c:v>
                </c:pt>
                <c:pt idx="61">
                  <c:v>35.115511551155123</c:v>
                </c:pt>
                <c:pt idx="62">
                  <c:v>17.303370786516865</c:v>
                </c:pt>
                <c:pt idx="63">
                  <c:v>30.514579759862777</c:v>
                </c:pt>
                <c:pt idx="64">
                  <c:v>39.640718562874241</c:v>
                </c:pt>
                <c:pt idx="65">
                  <c:v>32.109181141439223</c:v>
                </c:pt>
                <c:pt idx="66">
                  <c:v>34.202650705429654</c:v>
                </c:pt>
                <c:pt idx="67">
                  <c:v>33.726866624122515</c:v>
                </c:pt>
                <c:pt idx="68">
                  <c:v>31.073797678275298</c:v>
                </c:pt>
                <c:pt idx="69">
                  <c:v>28.808691308691301</c:v>
                </c:pt>
                <c:pt idx="70">
                  <c:v>30.861538461538448</c:v>
                </c:pt>
                <c:pt idx="71">
                  <c:v>30.582714118107155</c:v>
                </c:pt>
                <c:pt idx="72">
                  <c:v>33.131283524342706</c:v>
                </c:pt>
                <c:pt idx="73">
                  <c:v>38.122012932246299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'Coal (All)'!$R$6</c:f>
              <c:strCache>
                <c:ptCount val="1"/>
                <c:pt idx="0">
                  <c:v>Palestine, Exports,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(All)'!$R$7:$R$107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5"/>
          <c:order val="13"/>
          <c:tx>
            <c:strRef>
              <c:f>'Coal (All)'!$S$6</c:f>
              <c:strCache>
                <c:ptCount val="1"/>
                <c:pt idx="0">
                  <c:v>Palestine,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(All)'!$S$7:$S$107</c:f>
              <c:numCache>
                <c:formatCode>0.0000</c:formatCode>
                <c:ptCount val="101"/>
                <c:pt idx="18">
                  <c:v>151.19763647854657</c:v>
                </c:pt>
                <c:pt idx="40">
                  <c:v>68.726198399339268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'Coal (All)'!$U$6</c:f>
              <c:strCache>
                <c:ptCount val="1"/>
                <c:pt idx="0">
                  <c:v>Damascus, Exports,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(All)'!$U$7:$U$107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1"/>
          <c:order val="15"/>
          <c:tx>
            <c:strRef>
              <c:f>'Coal (All)'!$V$6</c:f>
              <c:strCache>
                <c:ptCount val="1"/>
                <c:pt idx="0">
                  <c:v>Damascus,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(All)'!$V$7:$V$107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3"/>
          <c:order val="16"/>
          <c:tx>
            <c:strRef>
              <c:f>'Coal (All)'!$W$6</c:f>
              <c:strCache>
                <c:ptCount val="1"/>
                <c:pt idx="0">
                  <c:v>Beirut, Imports, in s/ton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(All)'!$W$7:$W$107</c:f>
              <c:numCache>
                <c:formatCode>0.0000</c:formatCode>
                <c:ptCount val="101"/>
                <c:pt idx="37">
                  <c:v>33.333333333333336</c:v>
                </c:pt>
                <c:pt idx="38">
                  <c:v>31.25</c:v>
                </c:pt>
                <c:pt idx="41">
                  <c:v>17</c:v>
                </c:pt>
                <c:pt idx="42">
                  <c:v>25</c:v>
                </c:pt>
                <c:pt idx="43">
                  <c:v>30</c:v>
                </c:pt>
                <c:pt idx="45">
                  <c:v>21.285714285714285</c:v>
                </c:pt>
                <c:pt idx="46">
                  <c:v>21.333333333333332</c:v>
                </c:pt>
                <c:pt idx="47">
                  <c:v>22.400000000000002</c:v>
                </c:pt>
                <c:pt idx="48">
                  <c:v>25</c:v>
                </c:pt>
                <c:pt idx="49">
                  <c:v>30</c:v>
                </c:pt>
                <c:pt idx="50">
                  <c:v>30</c:v>
                </c:pt>
                <c:pt idx="52">
                  <c:v>20</c:v>
                </c:pt>
                <c:pt idx="53">
                  <c:v>20</c:v>
                </c:pt>
                <c:pt idx="54">
                  <c:v>28</c:v>
                </c:pt>
                <c:pt idx="56">
                  <c:v>26.400000000000002</c:v>
                </c:pt>
                <c:pt idx="58">
                  <c:v>37</c:v>
                </c:pt>
                <c:pt idx="61">
                  <c:v>37</c:v>
                </c:pt>
                <c:pt idx="68">
                  <c:v>29.25</c:v>
                </c:pt>
                <c:pt idx="69">
                  <c:v>30</c:v>
                </c:pt>
                <c:pt idx="70">
                  <c:v>26</c:v>
                </c:pt>
                <c:pt idx="71">
                  <c:v>36</c:v>
                </c:pt>
                <c:pt idx="72">
                  <c:v>38</c:v>
                </c:pt>
                <c:pt idx="73">
                  <c:v>53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'Coal (All)'!$X$6</c:f>
              <c:strCache>
                <c:ptCount val="1"/>
                <c:pt idx="0">
                  <c:v>Beirut, Exports, in s/ton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(All)'!$X$7:$X$107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7"/>
          <c:order val="18"/>
          <c:tx>
            <c:strRef>
              <c:f>'Coal (All)'!$Y$6</c:f>
              <c:strCache>
                <c:ptCount val="1"/>
                <c:pt idx="0">
                  <c:v>Beirut, Bazaar (Local),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(All)'!$Y$7:$Y$107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8"/>
          <c:order val="19"/>
          <c:tx>
            <c:strRef>
              <c:f>'Coal (All)'!$Z$6</c:f>
              <c:strCache>
                <c:ptCount val="1"/>
                <c:pt idx="0">
                  <c:v>Istanbul (Malatya), Imports, in s/ton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(All)'!$Z$7:$Z$107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0"/>
          <c:order val="20"/>
          <c:tx>
            <c:strRef>
              <c:f>'Coal (All)'!$AA$6</c:f>
              <c:strCache>
                <c:ptCount val="1"/>
                <c:pt idx="0">
                  <c:v>Istanbul (Malatya), Exports, in s/ton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(All)'!$AA$7:$AA$107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2"/>
          <c:order val="21"/>
          <c:tx>
            <c:strRef>
              <c:f>'Coal (All)'!$AB$6</c:f>
              <c:strCache>
                <c:ptCount val="1"/>
                <c:pt idx="0">
                  <c:v>Istanbul (Malatya), Bazaar (Local), in s/ton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(All)'!$AB$7:$AB$107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3"/>
          <c:order val="22"/>
          <c:tx>
            <c:strRef>
              <c:f>'Coal (All)'!$AC$6</c:f>
              <c:strCache>
                <c:ptCount val="1"/>
                <c:pt idx="0">
                  <c:v>Istanbul (Geyve),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(All)'!$AC$7:$AC$107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5"/>
          <c:order val="23"/>
          <c:tx>
            <c:strRef>
              <c:f>'Coal (All)'!$AD$6</c:f>
              <c:strCache>
                <c:ptCount val="1"/>
                <c:pt idx="0">
                  <c:v>Istanbul (Geyve),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(All)'!$AD$7:$AD$107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7"/>
          <c:order val="24"/>
          <c:tx>
            <c:strRef>
              <c:f>'Coal (All)'!$AE$6</c:f>
              <c:strCache>
                <c:ptCount val="1"/>
                <c:pt idx="0">
                  <c:v>Istanbul (Geyve),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(All)'!$AE$7:$AE$107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9"/>
          <c:order val="25"/>
          <c:tx>
            <c:strRef>
              <c:f>'Coal (All)'!$AI$6</c:f>
              <c:strCache>
                <c:ptCount val="1"/>
                <c:pt idx="0">
                  <c:v>Turkey,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(All)'!$AI$7:$AI$107</c:f>
              <c:numCache>
                <c:formatCode>0.0000</c:formatCode>
                <c:ptCount val="101"/>
                <c:pt idx="59">
                  <c:v>19.183372484624559</c:v>
                </c:pt>
                <c:pt idx="60">
                  <c:v>16.19621741743838</c:v>
                </c:pt>
                <c:pt idx="61">
                  <c:v>14.227144203581521</c:v>
                </c:pt>
                <c:pt idx="62">
                  <c:v>13.321318391883821</c:v>
                </c:pt>
                <c:pt idx="63">
                  <c:v>12.868654611811541</c:v>
                </c:pt>
                <c:pt idx="64">
                  <c:v>15.70339095152352</c:v>
                </c:pt>
                <c:pt idx="65">
                  <c:v>12.995014180499959</c:v>
                </c:pt>
                <c:pt idx="66">
                  <c:v>13.756462827598499</c:v>
                </c:pt>
                <c:pt idx="67">
                  <c:v>15.804388308638979</c:v>
                </c:pt>
                <c:pt idx="68">
                  <c:v>12.981744421906701</c:v>
                </c:pt>
                <c:pt idx="69">
                  <c:v>13.711967545638938</c:v>
                </c:pt>
                <c:pt idx="70">
                  <c:v>12.894211576846299</c:v>
                </c:pt>
                <c:pt idx="71">
                  <c:v>14.367816091954019</c:v>
                </c:pt>
                <c:pt idx="72">
                  <c:v>16.05405405405406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'Coal (All)'!$AJ$6</c:f>
              <c:strCache>
                <c:ptCount val="1"/>
                <c:pt idx="0">
                  <c:v>Turkey,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(All)'!$AJ$7:$AJ$107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3"/>
          <c:order val="27"/>
          <c:tx>
            <c:strRef>
              <c:f>'Coal (All)'!$AK$6</c:f>
              <c:strCache>
                <c:ptCount val="1"/>
                <c:pt idx="0">
                  <c:v>Turkey,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(All)'!$AK$7:$AK$107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5"/>
          <c:order val="28"/>
          <c:tx>
            <c:strRef>
              <c:f>'Coal (All)'!$AL$6</c:f>
              <c:strCache>
                <c:ptCount val="1"/>
                <c:pt idx="0">
                  <c:v>Constantinople, Imports, in s/ton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(All)'!$AL$7:$AL$107</c:f>
              <c:numCache>
                <c:formatCode>0.0000</c:formatCode>
                <c:ptCount val="101"/>
                <c:pt idx="31">
                  <c:v>31</c:v>
                </c:pt>
                <c:pt idx="32">
                  <c:v>42.5</c:v>
                </c:pt>
                <c:pt idx="33">
                  <c:v>41</c:v>
                </c:pt>
                <c:pt idx="34">
                  <c:v>31</c:v>
                </c:pt>
                <c:pt idx="35">
                  <c:v>28</c:v>
                </c:pt>
                <c:pt idx="38">
                  <c:v>22.5</c:v>
                </c:pt>
                <c:pt idx="45">
                  <c:v>22.5</c:v>
                </c:pt>
                <c:pt idx="49">
                  <c:v>16.5</c:v>
                </c:pt>
                <c:pt idx="67">
                  <c:v>22.760526743619</c:v>
                </c:pt>
                <c:pt idx="70">
                  <c:v>20.1769362098402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'Coal (All)'!$AM$6</c:f>
              <c:strCache>
                <c:ptCount val="1"/>
                <c:pt idx="0">
                  <c:v>Constantinople, Exports, in s/ton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(All)'!$AM$7:$AM$107</c:f>
              <c:numCache>
                <c:formatCode>0.0000</c:formatCode>
                <c:ptCount val="101"/>
                <c:pt idx="59">
                  <c:v>10.166666666666659</c:v>
                </c:pt>
                <c:pt idx="62">
                  <c:v>17</c:v>
                </c:pt>
                <c:pt idx="70">
                  <c:v>11</c:v>
                </c:pt>
                <c:pt idx="71">
                  <c:v>14</c:v>
                </c:pt>
                <c:pt idx="72">
                  <c:v>17.75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'Coal (All)'!$AN$6</c:f>
              <c:strCache>
                <c:ptCount val="1"/>
                <c:pt idx="0">
                  <c:v>Constantinople, Bazaar (Local), in s/ton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(All)'!$AN$7:$AN$107</c:f>
              <c:numCache>
                <c:formatCode>0.0000</c:formatCode>
                <c:ptCount val="101"/>
                <c:pt idx="67">
                  <c:v>10.92108553814462</c:v>
                </c:pt>
              </c:numCache>
            </c:numRef>
          </c:val>
          <c:smooth val="0"/>
        </c:ser>
        <c:ser>
          <c:idx val="61"/>
          <c:order val="31"/>
          <c:tx>
            <c:strRef>
              <c:f>'Coal (All)'!$AO$6</c:f>
              <c:strCache>
                <c:ptCount val="1"/>
                <c:pt idx="0">
                  <c:v>Trebizond (Anatolia),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(All)'!$AO$7:$AO$107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3"/>
          <c:order val="32"/>
          <c:tx>
            <c:strRef>
              <c:f>'Coal (All)'!$AP$6</c:f>
              <c:strCache>
                <c:ptCount val="1"/>
                <c:pt idx="0">
                  <c:v>Trebizond (Anatolia),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(All)'!$AP$7:$AP$107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5"/>
          <c:order val="33"/>
          <c:tx>
            <c:strRef>
              <c:f>'Coal (All)'!$AQ$6</c:f>
              <c:strCache>
                <c:ptCount val="1"/>
                <c:pt idx="0">
                  <c:v>Trebizond (Anatolia),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(All)'!$AQ$7:$AQ$107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7"/>
          <c:order val="34"/>
          <c:tx>
            <c:strRef>
              <c:f>'Coal (All)'!$AR$6</c:f>
              <c:strCache>
                <c:ptCount val="1"/>
                <c:pt idx="0">
                  <c:v>Trebizond (Persia),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(All)'!$AR$7:$AR$107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9"/>
          <c:order val="35"/>
          <c:tx>
            <c:strRef>
              <c:f>'Coal (All)'!$AS$6</c:f>
              <c:strCache>
                <c:ptCount val="1"/>
                <c:pt idx="0">
                  <c:v>Trebizond (Persia),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(All)'!$AS$7:$AS$107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1"/>
          <c:order val="36"/>
          <c:tx>
            <c:strRef>
              <c:f>'Coal (All)'!$AT$6</c:f>
              <c:strCache>
                <c:ptCount val="1"/>
                <c:pt idx="0">
                  <c:v>Adana, 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(All)'!$AT$7:$AT$107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3"/>
          <c:order val="37"/>
          <c:tx>
            <c:strRef>
              <c:f>'Coal (All)'!$AU$6</c:f>
              <c:strCache>
                <c:ptCount val="1"/>
                <c:pt idx="0">
                  <c:v>Izmir, 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(All)'!$AU$7:$AU$107</c:f>
              <c:numCache>
                <c:formatCode>0.0000</c:formatCode>
                <c:ptCount val="101"/>
                <c:pt idx="24">
                  <c:v>42</c:v>
                </c:pt>
                <c:pt idx="25">
                  <c:v>35</c:v>
                </c:pt>
                <c:pt idx="26">
                  <c:v>30</c:v>
                </c:pt>
                <c:pt idx="28">
                  <c:v>35</c:v>
                </c:pt>
                <c:pt idx="29">
                  <c:v>35</c:v>
                </c:pt>
                <c:pt idx="31">
                  <c:v>34</c:v>
                </c:pt>
                <c:pt idx="32">
                  <c:v>52</c:v>
                </c:pt>
                <c:pt idx="34">
                  <c:v>50</c:v>
                </c:pt>
                <c:pt idx="35">
                  <c:v>34</c:v>
                </c:pt>
                <c:pt idx="36">
                  <c:v>42</c:v>
                </c:pt>
                <c:pt idx="37">
                  <c:v>39.952867242733696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32</c:v>
                </c:pt>
                <c:pt idx="42">
                  <c:v>30</c:v>
                </c:pt>
                <c:pt idx="43">
                  <c:v>24.000950768042308</c:v>
                </c:pt>
                <c:pt idx="44">
                  <c:v>23.999881379555767</c:v>
                </c:pt>
                <c:pt idx="45">
                  <c:v>22.000058721630111</c:v>
                </c:pt>
                <c:pt idx="46">
                  <c:v>20.999797714170121</c:v>
                </c:pt>
                <c:pt idx="48">
                  <c:v>24</c:v>
                </c:pt>
                <c:pt idx="49">
                  <c:v>23.999845982056911</c:v>
                </c:pt>
                <c:pt idx="50">
                  <c:v>21.147707979626485</c:v>
                </c:pt>
                <c:pt idx="51">
                  <c:v>24</c:v>
                </c:pt>
                <c:pt idx="52">
                  <c:v>28</c:v>
                </c:pt>
                <c:pt idx="54">
                  <c:v>23.999897877120645</c:v>
                </c:pt>
                <c:pt idx="65">
                  <c:v>12.000918310309032</c:v>
                </c:pt>
                <c:pt idx="66">
                  <c:v>10.565542825559501</c:v>
                </c:pt>
                <c:pt idx="67">
                  <c:v>12.856030637151754</c:v>
                </c:pt>
                <c:pt idx="68">
                  <c:v>11.780888030888031</c:v>
                </c:pt>
                <c:pt idx="70">
                  <c:v>13.670064874884151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'Coal (All)'!$AV$6</c:f>
              <c:strCache>
                <c:ptCount val="1"/>
                <c:pt idx="0">
                  <c:v>Izmir,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(All)'!$AV$7:$AV$107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7"/>
          <c:order val="39"/>
          <c:tx>
            <c:strRef>
              <c:f>'Coal (All)'!$AW$6</c:f>
              <c:strCache>
                <c:ptCount val="1"/>
                <c:pt idx="0">
                  <c:v>Izmir, 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(All)'!$AW$7:$AW$107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9"/>
          <c:order val="40"/>
          <c:tx>
            <c:strRef>
              <c:f>'Coal (All)'!$AX$6</c:f>
              <c:strCache>
                <c:ptCount val="1"/>
                <c:pt idx="0">
                  <c:v>Alexandretta,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(All)'!$AX$7:$AX$107</c:f>
              <c:numCache>
                <c:formatCode>0.0000</c:formatCode>
                <c:ptCount val="101"/>
                <c:pt idx="53">
                  <c:v>20.65573770491801</c:v>
                </c:pt>
                <c:pt idx="54">
                  <c:v>21.693693693693671</c:v>
                </c:pt>
                <c:pt idx="55">
                  <c:v>21.963636363636347</c:v>
                </c:pt>
                <c:pt idx="56">
                  <c:v>20.610687022900748</c:v>
                </c:pt>
                <c:pt idx="57">
                  <c:v>22.344827586206879</c:v>
                </c:pt>
                <c:pt idx="58">
                  <c:v>22.153846153846132</c:v>
                </c:pt>
                <c:pt idx="59">
                  <c:v>29.999999999999972</c:v>
                </c:pt>
                <c:pt idx="60">
                  <c:v>29.999999999999968</c:v>
                </c:pt>
                <c:pt idx="61">
                  <c:v>39.499999999999964</c:v>
                </c:pt>
                <c:pt idx="62">
                  <c:v>28.911564625850311</c:v>
                </c:pt>
                <c:pt idx="63">
                  <c:v>24.863387978142054</c:v>
                </c:pt>
                <c:pt idx="64">
                  <c:v>25.030303030303006</c:v>
                </c:pt>
                <c:pt idx="65">
                  <c:v>24.999999999999979</c:v>
                </c:pt>
                <c:pt idx="66">
                  <c:v>24.999999999999979</c:v>
                </c:pt>
                <c:pt idx="67">
                  <c:v>24.999999999999979</c:v>
                </c:pt>
                <c:pt idx="68">
                  <c:v>25.020576131687221</c:v>
                </c:pt>
                <c:pt idx="69">
                  <c:v>25.093525179856094</c:v>
                </c:pt>
                <c:pt idx="70">
                  <c:v>23.148148148148127</c:v>
                </c:pt>
                <c:pt idx="71">
                  <c:v>24.464516129032255</c:v>
                </c:pt>
                <c:pt idx="72">
                  <c:v>29.699999999999996</c:v>
                </c:pt>
                <c:pt idx="73">
                  <c:v>27.720000000000002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'Coal (All)'!$AY$6</c:f>
              <c:strCache>
                <c:ptCount val="1"/>
                <c:pt idx="0">
                  <c:v>Alexandretta,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(All)'!$AY$7:$AY$107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3"/>
          <c:order val="42"/>
          <c:tx>
            <c:strRef>
              <c:f>'Coal (All)'!$AZ$6</c:f>
              <c:strCache>
                <c:ptCount val="1"/>
                <c:pt idx="0">
                  <c:v>Alexandretta,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(All)'!$AZ$7:$AZ$107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5"/>
          <c:order val="43"/>
          <c:tx>
            <c:strRef>
              <c:f>'Coal (All)'!$BA$6</c:f>
              <c:strCache>
                <c:ptCount val="1"/>
                <c:pt idx="0">
                  <c:v>Ispahan,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(All)'!$BA$7:$BA$107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7"/>
          <c:order val="44"/>
          <c:tx>
            <c:strRef>
              <c:f>'Coal (All)'!$BB$6</c:f>
              <c:strCache>
                <c:ptCount val="1"/>
                <c:pt idx="0">
                  <c:v>Ispahan,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(All)'!$BB$7:$BB$107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9"/>
          <c:order val="45"/>
          <c:tx>
            <c:strRef>
              <c:f>'Coal (All)'!$BC$6</c:f>
              <c:strCache>
                <c:ptCount val="1"/>
                <c:pt idx="0">
                  <c:v>Ispahan,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(All)'!$BC$7:$BC$107</c:f>
              <c:numCache>
                <c:formatCode>0.0000</c:formatCode>
                <c:ptCount val="101"/>
                <c:pt idx="52">
                  <c:v>135.30910806984434</c:v>
                </c:pt>
                <c:pt idx="53">
                  <c:v>117.31587561374776</c:v>
                </c:pt>
                <c:pt idx="55">
                  <c:v>137.84615384615398</c:v>
                </c:pt>
                <c:pt idx="56">
                  <c:v>170.60167555217069</c:v>
                </c:pt>
                <c:pt idx="58">
                  <c:v>131.28205128205127</c:v>
                </c:pt>
              </c:numCache>
            </c:numRef>
          </c:val>
          <c:smooth val="0"/>
        </c:ser>
        <c:ser>
          <c:idx val="91"/>
          <c:order val="46"/>
          <c:tx>
            <c:strRef>
              <c:f>'Coal (All)'!$BD$6</c:f>
              <c:strCache>
                <c:ptCount val="1"/>
                <c:pt idx="0">
                  <c:v>Yezd,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(All)'!$BD$7:$BD$107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3"/>
          <c:order val="47"/>
          <c:tx>
            <c:strRef>
              <c:f>'Coal (All)'!$BE$6</c:f>
              <c:strCache>
                <c:ptCount val="1"/>
                <c:pt idx="0">
                  <c:v>Yezd,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(All)'!$BE$7:$BE$107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5"/>
          <c:order val="48"/>
          <c:tx>
            <c:strRef>
              <c:f>'Coal (All)'!$BF$6</c:f>
              <c:strCache>
                <c:ptCount val="1"/>
                <c:pt idx="0">
                  <c:v>Yezd,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(All)'!$BF$7:$BF$107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7"/>
          <c:order val="49"/>
          <c:tx>
            <c:strRef>
              <c:f>'Coal (All)'!$BG$6</c:f>
              <c:strCache>
                <c:ptCount val="1"/>
                <c:pt idx="0">
                  <c:v>Khorasan,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(All)'!$BG$7:$BG$107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9"/>
          <c:order val="50"/>
          <c:tx>
            <c:strRef>
              <c:f>'Coal (All)'!$BH$6</c:f>
              <c:strCache>
                <c:ptCount val="1"/>
                <c:pt idx="0">
                  <c:v>Khorasan,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(All)'!$BH$7:$BH$107</c:f>
              <c:numCache>
                <c:formatCode>0.0000</c:formatCode>
                <c:ptCount val="101"/>
                <c:pt idx="62">
                  <c:v>76.227239251339455</c:v>
                </c:pt>
                <c:pt idx="63">
                  <c:v>98.631592932111232</c:v>
                </c:pt>
                <c:pt idx="64">
                  <c:v>88.970609635629117</c:v>
                </c:pt>
                <c:pt idx="65">
                  <c:v>96.665639183257085</c:v>
                </c:pt>
                <c:pt idx="66">
                  <c:v>63.229226072662726</c:v>
                </c:pt>
                <c:pt idx="67">
                  <c:v>60.224047796863552</c:v>
                </c:pt>
                <c:pt idx="68">
                  <c:v>73.442622950819583</c:v>
                </c:pt>
                <c:pt idx="70">
                  <c:v>20.300742913700393</c:v>
                </c:pt>
                <c:pt idx="71">
                  <c:v>73.652331920048454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'Coal (All)'!$BI$6</c:f>
              <c:strCache>
                <c:ptCount val="1"/>
                <c:pt idx="0">
                  <c:v>Khorasan,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(All)'!$BI$7:$BI$107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3"/>
          <c:order val="52"/>
          <c:tx>
            <c:strRef>
              <c:f>'Coal (All)'!$BJ$6</c:f>
              <c:strCache>
                <c:ptCount val="1"/>
                <c:pt idx="0">
                  <c:v>Kermanshah,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(All)'!$BJ$7:$BJ$107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5"/>
          <c:order val="53"/>
          <c:tx>
            <c:strRef>
              <c:f>'Coal (All)'!$BK$6</c:f>
              <c:strCache>
                <c:ptCount val="1"/>
                <c:pt idx="0">
                  <c:v>Kermanshah,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(All)'!$BK$7:$BK$107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7"/>
          <c:order val="54"/>
          <c:tx>
            <c:strRef>
              <c:f>'Coal (All)'!$BL$6</c:f>
              <c:strCache>
                <c:ptCount val="1"/>
                <c:pt idx="0">
                  <c:v>Kermanshah,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(All)'!$BL$7:$BL$107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9"/>
          <c:order val="55"/>
          <c:tx>
            <c:strRef>
              <c:f>'Coal (All)'!$BM$6</c:f>
              <c:strCache>
                <c:ptCount val="1"/>
                <c:pt idx="0">
                  <c:v>Kerman, Imports, in s/ton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(All)'!$BM$7:$BM$107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1"/>
          <c:order val="56"/>
          <c:tx>
            <c:strRef>
              <c:f>'Coal (All)'!$BN$6</c:f>
              <c:strCache>
                <c:ptCount val="1"/>
                <c:pt idx="0">
                  <c:v>Kerman, Exports, in s/ton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(All)'!$BN$7:$BN$107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3"/>
          <c:order val="57"/>
          <c:tx>
            <c:strRef>
              <c:f>'Coal (All)'!$BO$6</c:f>
              <c:strCache>
                <c:ptCount val="1"/>
                <c:pt idx="0">
                  <c:v>Kerman, Bazaar (Local), in s/ton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(All)'!$BO$7:$BO$107</c:f>
              <c:numCache>
                <c:formatCode>0.0000</c:formatCode>
                <c:ptCount val="101"/>
                <c:pt idx="71">
                  <c:v>64.366935318345412</c:v>
                </c:pt>
              </c:numCache>
            </c:numRef>
          </c:val>
          <c:smooth val="0"/>
        </c:ser>
        <c:ser>
          <c:idx val="115"/>
          <c:order val="58"/>
          <c:tx>
            <c:strRef>
              <c:f>'Coal (All)'!$BP$6</c:f>
              <c:strCache>
                <c:ptCount val="1"/>
                <c:pt idx="0">
                  <c:v>Bam,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(All)'!$BP$7:$BP$107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7"/>
          <c:order val="59"/>
          <c:tx>
            <c:strRef>
              <c:f>'Coal (All)'!$BQ$6</c:f>
              <c:strCache>
                <c:ptCount val="1"/>
                <c:pt idx="0">
                  <c:v>Bam,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(All)'!$BQ$7:$BQ$107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9"/>
          <c:order val="60"/>
          <c:tx>
            <c:strRef>
              <c:f>'Coal (All)'!$BR$6</c:f>
              <c:strCache>
                <c:ptCount val="1"/>
                <c:pt idx="0">
                  <c:v>Bam,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(All)'!$BR$7:$BR$107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1"/>
          <c:order val="61"/>
          <c:tx>
            <c:strRef>
              <c:f>'Coal (All)'!$BS$6</c:f>
              <c:strCache>
                <c:ptCount val="1"/>
                <c:pt idx="0">
                  <c:v>Resht,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(All)'!$BS$7:$BS$107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3"/>
          <c:order val="62"/>
          <c:tx>
            <c:strRef>
              <c:f>'Coal (All)'!$BT$6</c:f>
              <c:strCache>
                <c:ptCount val="1"/>
                <c:pt idx="0">
                  <c:v>Resht,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(All)'!$BT$7:$BT$107</c:f>
              <c:numCache>
                <c:formatCode>0.0000</c:formatCode>
                <c:ptCount val="101"/>
                <c:pt idx="62">
                  <c:v>23.872129527816284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'Coal (All)'!$BU$6</c:f>
              <c:strCache>
                <c:ptCount val="1"/>
                <c:pt idx="0">
                  <c:v>Resht,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(All)'!$BU$7:$BU$107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7"/>
          <c:order val="64"/>
          <c:tx>
            <c:strRef>
              <c:f>'Coal (All)'!$BV$6</c:f>
              <c:strCache>
                <c:ptCount val="1"/>
                <c:pt idx="0">
                  <c:v>Mazandaran,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(All)'!$BV$7:$BV$107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9"/>
          <c:order val="65"/>
          <c:tx>
            <c:strRef>
              <c:f>'Coal (All)'!$BW$6</c:f>
              <c:strCache>
                <c:ptCount val="1"/>
                <c:pt idx="0">
                  <c:v>Mazandaran,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(All)'!$BW$7:$BW$107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1"/>
          <c:order val="66"/>
          <c:tx>
            <c:strRef>
              <c:f>'Coal (All)'!$BX$6</c:f>
              <c:strCache>
                <c:ptCount val="1"/>
                <c:pt idx="0">
                  <c:v>Mazandaran,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(All)'!$BX$7:$BX$107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3"/>
          <c:order val="67"/>
          <c:tx>
            <c:strRef>
              <c:f>'Coal (All)'!$BY$6</c:f>
              <c:strCache>
                <c:ptCount val="1"/>
                <c:pt idx="0">
                  <c:v>Ghilan &amp; Tunekabun,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(All)'!$BY$7:$BY$107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5"/>
          <c:order val="68"/>
          <c:tx>
            <c:strRef>
              <c:f>'Coal (All)'!$BZ$6</c:f>
              <c:strCache>
                <c:ptCount val="1"/>
                <c:pt idx="0">
                  <c:v>Ghilan &amp; Tunekabun,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(All)'!$BZ$7:$BZ$107</c:f>
              <c:numCache>
                <c:formatCode>0.0000</c:formatCode>
                <c:ptCount val="101"/>
                <c:pt idx="66">
                  <c:v>33.538329586850104</c:v>
                </c:pt>
                <c:pt idx="67">
                  <c:v>32.380059384278816</c:v>
                </c:pt>
                <c:pt idx="68">
                  <c:v>32.695002335357287</c:v>
                </c:pt>
                <c:pt idx="69">
                  <c:v>28.748648529463203</c:v>
                </c:pt>
                <c:pt idx="70">
                  <c:v>28.609945970375303</c:v>
                </c:pt>
              </c:numCache>
            </c:numRef>
          </c:val>
          <c:smooth val="0"/>
        </c:ser>
        <c:ser>
          <c:idx val="137"/>
          <c:order val="69"/>
          <c:tx>
            <c:strRef>
              <c:f>'Coal (All)'!$CA$6</c:f>
              <c:strCache>
                <c:ptCount val="1"/>
                <c:pt idx="0">
                  <c:v>Ghilan &amp; Tunekabun,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(All)'!$CA$7:$CA$107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9"/>
          <c:order val="70"/>
          <c:tx>
            <c:strRef>
              <c:f>'Coal (All)'!$CB$6</c:f>
              <c:strCache>
                <c:ptCount val="1"/>
                <c:pt idx="0">
                  <c:v>Bender Gez &amp; Astarabad,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(All)'!$CB$7:$CB$107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1"/>
          <c:order val="71"/>
          <c:tx>
            <c:strRef>
              <c:f>'Coal (All)'!$CC$6</c:f>
              <c:strCache>
                <c:ptCount val="1"/>
                <c:pt idx="0">
                  <c:v>Bender Gez &amp; Astarabad,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(All)'!$CC$7:$CC$107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3"/>
          <c:order val="72"/>
          <c:tx>
            <c:strRef>
              <c:f>'Coal (All)'!$CD$6</c:f>
              <c:strCache>
                <c:ptCount val="1"/>
                <c:pt idx="0">
                  <c:v>Bender Gez &amp; Astarabad,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(All)'!$CD$7:$CD$107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5"/>
          <c:order val="73"/>
          <c:tx>
            <c:strRef>
              <c:f>'Coal (All)'!$CE$6</c:f>
              <c:strCache>
                <c:ptCount val="1"/>
                <c:pt idx="0">
                  <c:v>Astara,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(All)'!$CE$7:$CE$107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7"/>
          <c:order val="74"/>
          <c:tx>
            <c:strRef>
              <c:f>'Coal (All)'!$CF$6</c:f>
              <c:strCache>
                <c:ptCount val="1"/>
                <c:pt idx="0">
                  <c:v>Astara,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(All)'!$CF$7:$CF$107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9"/>
          <c:order val="75"/>
          <c:tx>
            <c:strRef>
              <c:f>'Coal (All)'!$CG$6</c:f>
              <c:strCache>
                <c:ptCount val="1"/>
                <c:pt idx="0">
                  <c:v>Astara,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(All)'!$CG$7:$CG$107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1"/>
          <c:order val="76"/>
          <c:tx>
            <c:strRef>
              <c:f>'Coal (All)'!$CH$6</c:f>
              <c:strCache>
                <c:ptCount val="1"/>
                <c:pt idx="0">
                  <c:v>Sultanabad, Imports, in s/ton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(All)'!$CH$7:$CH$107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3"/>
          <c:order val="77"/>
          <c:tx>
            <c:strRef>
              <c:f>'Coal (All)'!$CI$6</c:f>
              <c:strCache>
                <c:ptCount val="1"/>
                <c:pt idx="0">
                  <c:v>Sultanabad, Exports, in s/ton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(All)'!$CI$7:$CI$107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5"/>
          <c:order val="78"/>
          <c:tx>
            <c:strRef>
              <c:f>'Coal (All)'!$CJ$6</c:f>
              <c:strCache>
                <c:ptCount val="1"/>
                <c:pt idx="0">
                  <c:v>Sultanabad, Bazaar (Local), in s/ton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(All)'!$CJ$7:$CJ$107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6"/>
          <c:order val="79"/>
          <c:tx>
            <c:strRef>
              <c:f>'Coal (All)'!$CK$6</c:f>
              <c:strCache>
                <c:ptCount val="1"/>
                <c:pt idx="0">
                  <c:v>Bahrain, Imports, in s/ton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(All)'!$CK$7:$CK$107</c:f>
              <c:numCache>
                <c:formatCode>0.0000</c:formatCode>
                <c:ptCount val="101"/>
                <c:pt idx="48">
                  <c:v>35.725490196078439</c:v>
                </c:pt>
                <c:pt idx="49">
                  <c:v>41.407249466950802</c:v>
                </c:pt>
                <c:pt idx="50">
                  <c:v>57.142857142857196</c:v>
                </c:pt>
                <c:pt idx="51">
                  <c:v>50.021052631578797</c:v>
                </c:pt>
                <c:pt idx="52">
                  <c:v>50.749999999999993</c:v>
                </c:pt>
                <c:pt idx="53">
                  <c:v>50.018018018017997</c:v>
                </c:pt>
                <c:pt idx="56">
                  <c:v>19.69131832797428</c:v>
                </c:pt>
                <c:pt idx="57">
                  <c:v>20.760869565217398</c:v>
                </c:pt>
                <c:pt idx="60">
                  <c:v>77.931034482758804</c:v>
                </c:pt>
                <c:pt idx="61">
                  <c:v>39.973924380704041</c:v>
                </c:pt>
                <c:pt idx="62">
                  <c:v>42.5</c:v>
                </c:pt>
                <c:pt idx="63">
                  <c:v>133.5703703703704</c:v>
                </c:pt>
                <c:pt idx="64">
                  <c:v>57.333333333333201</c:v>
                </c:pt>
                <c:pt idx="65">
                  <c:v>73.269841269841194</c:v>
                </c:pt>
                <c:pt idx="66">
                  <c:v>119.23333333333319</c:v>
                </c:pt>
                <c:pt idx="67">
                  <c:v>114.08934707903759</c:v>
                </c:pt>
                <c:pt idx="68">
                  <c:v>53.885350318471204</c:v>
                </c:pt>
                <c:pt idx="69">
                  <c:v>94.678780012978407</c:v>
                </c:pt>
                <c:pt idx="70">
                  <c:v>106.24430264357321</c:v>
                </c:pt>
                <c:pt idx="71">
                  <c:v>98.302180685358394</c:v>
                </c:pt>
                <c:pt idx="72">
                  <c:v>106.62915025323601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'Coal (All)'!$CL$6</c:f>
              <c:strCache>
                <c:ptCount val="1"/>
                <c:pt idx="0">
                  <c:v>Bahrain, Exports, in s/ton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(All)'!$CL$7:$CL$107</c:f>
              <c:numCache>
                <c:formatCode>0.0000</c:formatCode>
                <c:ptCount val="101"/>
                <c:pt idx="67">
                  <c:v>66.666666666666799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'Coal (All)'!$CM$6</c:f>
              <c:strCache>
                <c:ptCount val="1"/>
                <c:pt idx="0">
                  <c:v>Bahrain, Bazaar (Local), in s/ton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(All)'!$CM$7:$CM$107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0"/>
          <c:order val="82"/>
          <c:tx>
            <c:strRef>
              <c:f>'Coal (All)'!$CN$6</c:f>
              <c:strCache>
                <c:ptCount val="1"/>
                <c:pt idx="0">
                  <c:v>Muscat, Imports, in s/ton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(All)'!$CN$7:$CN$107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2"/>
          <c:order val="83"/>
          <c:tx>
            <c:strRef>
              <c:f>'Coal (All)'!$CO$6</c:f>
              <c:strCache>
                <c:ptCount val="1"/>
                <c:pt idx="0">
                  <c:v>Muscat, Exports, in s/ton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(All)'!$CO$7:$CO$107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4"/>
          <c:order val="84"/>
          <c:tx>
            <c:strRef>
              <c:f>'Coal (All)'!$CP$6</c:f>
              <c:strCache>
                <c:ptCount val="1"/>
                <c:pt idx="0">
                  <c:v>Muscat, Bazaar (Local), in s/ton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(All)'!$CP$7:$CP$107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6"/>
          <c:order val="85"/>
          <c:tx>
            <c:strRef>
              <c:f>'Coal (All)'!$CQ$6</c:f>
              <c:strCache>
                <c:ptCount val="1"/>
                <c:pt idx="0">
                  <c:v>Mohammerah, Imports, in s/ton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(All)'!$CQ$7:$CQ$107</c:f>
              <c:numCache>
                <c:formatCode>0.0000</c:formatCode>
                <c:ptCount val="101"/>
                <c:pt idx="51">
                  <c:v>39.823008849557603</c:v>
                </c:pt>
                <c:pt idx="52">
                  <c:v>35</c:v>
                </c:pt>
                <c:pt idx="53">
                  <c:v>31.840000000000003</c:v>
                </c:pt>
                <c:pt idx="54">
                  <c:v>30</c:v>
                </c:pt>
                <c:pt idx="55">
                  <c:v>24.285714285714199</c:v>
                </c:pt>
                <c:pt idx="56">
                  <c:v>29.908592321755002</c:v>
                </c:pt>
                <c:pt idx="57">
                  <c:v>36.046511627907002</c:v>
                </c:pt>
                <c:pt idx="58">
                  <c:v>30</c:v>
                </c:pt>
                <c:pt idx="59">
                  <c:v>36.6666666666666</c:v>
                </c:pt>
                <c:pt idx="60">
                  <c:v>50</c:v>
                </c:pt>
                <c:pt idx="61">
                  <c:v>20.9302325581396</c:v>
                </c:pt>
                <c:pt idx="62">
                  <c:v>40</c:v>
                </c:pt>
                <c:pt idx="67">
                  <c:v>19.2</c:v>
                </c:pt>
                <c:pt idx="68">
                  <c:v>47.074468085106396</c:v>
                </c:pt>
                <c:pt idx="69">
                  <c:v>46.704000000000001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'Coal (All)'!$CR$6</c:f>
              <c:strCache>
                <c:ptCount val="1"/>
                <c:pt idx="0">
                  <c:v>Mohammerah, Exports, in s/ton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(All)'!$CR$7:$CR$107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0"/>
          <c:order val="87"/>
          <c:tx>
            <c:strRef>
              <c:f>'Coal (All)'!$CS$6</c:f>
              <c:strCache>
                <c:ptCount val="1"/>
                <c:pt idx="0">
                  <c:v>Mohammerah, Bazaar (Local), in s/ton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(All)'!$CS$7:$CS$107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2"/>
          <c:order val="88"/>
          <c:tx>
            <c:strRef>
              <c:f>'Coal (All)'!$CT$6</c:f>
              <c:strCache>
                <c:ptCount val="1"/>
                <c:pt idx="0">
                  <c:v>Lingah, Imports, in s/ton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(All)'!$CT$7:$CT$107</c:f>
              <c:numCache>
                <c:formatCode>0.0000</c:formatCode>
                <c:ptCount val="101"/>
                <c:pt idx="57">
                  <c:v>31.071428571428562</c:v>
                </c:pt>
                <c:pt idx="58">
                  <c:v>38.666666666666686</c:v>
                </c:pt>
                <c:pt idx="59">
                  <c:v>53.451327433628407</c:v>
                </c:pt>
                <c:pt idx="60">
                  <c:v>53.226666666666802</c:v>
                </c:pt>
                <c:pt idx="61">
                  <c:v>53.333333333333201</c:v>
                </c:pt>
                <c:pt idx="62">
                  <c:v>69.97690531177841</c:v>
                </c:pt>
                <c:pt idx="63">
                  <c:v>84</c:v>
                </c:pt>
                <c:pt idx="64">
                  <c:v>84.552845528455194</c:v>
                </c:pt>
                <c:pt idx="65">
                  <c:v>78.705281090289603</c:v>
                </c:pt>
                <c:pt idx="66">
                  <c:v>64.625131995776002</c:v>
                </c:pt>
                <c:pt idx="67">
                  <c:v>87.635625181317195</c:v>
                </c:pt>
                <c:pt idx="68">
                  <c:v>117.66200762388802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'Coal (All)'!$CU$6</c:f>
              <c:strCache>
                <c:ptCount val="1"/>
                <c:pt idx="0">
                  <c:v>Lingah, Exports, in s/ton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(All)'!$CU$7:$CU$107</c:f>
              <c:numCache>
                <c:formatCode>0.0000</c:formatCode>
                <c:ptCount val="101"/>
                <c:pt idx="66">
                  <c:v>85.207100591715999</c:v>
                </c:pt>
                <c:pt idx="67">
                  <c:v>67.632850241546009</c:v>
                </c:pt>
                <c:pt idx="68">
                  <c:v>153.46534653465361</c:v>
                </c:pt>
                <c:pt idx="69">
                  <c:v>102.57477243172961</c:v>
                </c:pt>
                <c:pt idx="70">
                  <c:v>57.711442786069597</c:v>
                </c:pt>
                <c:pt idx="71">
                  <c:v>99.587345254470407</c:v>
                </c:pt>
                <c:pt idx="72">
                  <c:v>89.072847682119203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'Coal (All)'!$CV$6</c:f>
              <c:strCache>
                <c:ptCount val="1"/>
                <c:pt idx="0">
                  <c:v>Lingah, Bazaar (Local), in s/ton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(All)'!$CV$7:$CV$107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8"/>
          <c:order val="91"/>
          <c:tx>
            <c:strRef>
              <c:f>'Coal (All)'!$CW$6</c:f>
              <c:strCache>
                <c:ptCount val="1"/>
                <c:pt idx="0">
                  <c:v>Shiraz, Imports, in s/ton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(All)'!$CW$7:$CW$107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0"/>
          <c:order val="92"/>
          <c:tx>
            <c:strRef>
              <c:f>'Coal (All)'!$CX$6</c:f>
              <c:strCache>
                <c:ptCount val="1"/>
                <c:pt idx="0">
                  <c:v>Shiraz, Exports, in s/ton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(All)'!$CX$7:$CX$107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2"/>
          <c:order val="93"/>
          <c:tx>
            <c:strRef>
              <c:f>'Coal (All)'!$CY$6</c:f>
              <c:strCache>
                <c:ptCount val="1"/>
                <c:pt idx="0">
                  <c:v>India, Imports, in s/ton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(All)'!$CY$7:$CY$107</c:f>
              <c:numCache>
                <c:formatCode>General</c:formatCode>
                <c:ptCount val="101"/>
                <c:pt idx="25" formatCode="0.0000">
                  <c:v>41.473361323542186</c:v>
                </c:pt>
                <c:pt idx="26" formatCode="0.0000">
                  <c:v>38.652651646823671</c:v>
                </c:pt>
                <c:pt idx="27" formatCode="0.0000">
                  <c:v>41.606565568784212</c:v>
                </c:pt>
                <c:pt idx="28" formatCode="0.0000">
                  <c:v>44.869825613394738</c:v>
                </c:pt>
                <c:pt idx="29" formatCode="0.0000">
                  <c:v>34.915125937834937</c:v>
                </c:pt>
                <c:pt idx="30" formatCode="0.0000">
                  <c:v>28.368112887807417</c:v>
                </c:pt>
                <c:pt idx="31" formatCode="0.0000">
                  <c:v>36.368174444540998</c:v>
                </c:pt>
                <c:pt idx="32" formatCode="0.0000">
                  <c:v>34.842912647374064</c:v>
                </c:pt>
                <c:pt idx="33" formatCode="0.0000">
                  <c:v>49.496314496314447</c:v>
                </c:pt>
                <c:pt idx="34" formatCode="0.0000">
                  <c:v>53.488943488943491</c:v>
                </c:pt>
                <c:pt idx="35" formatCode="0.0000">
                  <c:v>34.469696969696969</c:v>
                </c:pt>
                <c:pt idx="36" formatCode="0.0000">
                  <c:v>36.289926289926292</c:v>
                </c:pt>
                <c:pt idx="37" formatCode="0.0000">
                  <c:v>30.750665438165441</c:v>
                </c:pt>
                <c:pt idx="38" formatCode="0.0000">
                  <c:v>30.134111384111382</c:v>
                </c:pt>
                <c:pt idx="39" formatCode="0.0000">
                  <c:v>34.208640458640467</c:v>
                </c:pt>
                <c:pt idx="40" formatCode="0.0000">
                  <c:v>32.522522522522529</c:v>
                </c:pt>
                <c:pt idx="41" formatCode="0.0000">
                  <c:v>25.716753685503694</c:v>
                </c:pt>
                <c:pt idx="42" formatCode="0.0000">
                  <c:v>21.563267813267814</c:v>
                </c:pt>
                <c:pt idx="43" formatCode="0.0000">
                  <c:v>24.225276412776413</c:v>
                </c:pt>
                <c:pt idx="44" formatCode="0.0000">
                  <c:v>27.157555282555286</c:v>
                </c:pt>
                <c:pt idx="45" formatCode="0.0000">
                  <c:v>24.26136363636364</c:v>
                </c:pt>
                <c:pt idx="46" formatCode="0.0000">
                  <c:v>20.810810810810814</c:v>
                </c:pt>
                <c:pt idx="47" formatCode="0.0000">
                  <c:v>21.776463963963966</c:v>
                </c:pt>
                <c:pt idx="48" formatCode="0.0000">
                  <c:v>27.038288288288296</c:v>
                </c:pt>
                <c:pt idx="49" formatCode="0.0000">
                  <c:v>24.123157248157248</c:v>
                </c:pt>
                <c:pt idx="50" formatCode="0.0000">
                  <c:v>26.592956592956593</c:v>
                </c:pt>
                <c:pt idx="51" formatCode="0.0000">
                  <c:v>18.453112203112205</c:v>
                </c:pt>
                <c:pt idx="52" formatCode="0.0000">
                  <c:v>19.207616707616708</c:v>
                </c:pt>
                <c:pt idx="53" formatCode="0.0000">
                  <c:v>18.153443766712989</c:v>
                </c:pt>
                <c:pt idx="54" formatCode="0.0000">
                  <c:v>15.89216216184432</c:v>
                </c:pt>
                <c:pt idx="55" formatCode="0.0000">
                  <c:v>16.366659628346415</c:v>
                </c:pt>
                <c:pt idx="56" formatCode="0.0000">
                  <c:v>22.972972972923461</c:v>
                </c:pt>
                <c:pt idx="57" formatCode="0.0000">
                  <c:v>23.039147395411291</c:v>
                </c:pt>
                <c:pt idx="58" formatCode="0.0000">
                  <c:v>20.021114864864863</c:v>
                </c:pt>
                <c:pt idx="59" formatCode="0.0000">
                  <c:v>22.363096080432108</c:v>
                </c:pt>
                <c:pt idx="60" formatCode="0.0000">
                  <c:v>28.15945946016345</c:v>
                </c:pt>
                <c:pt idx="61" formatCode="0.0000">
                  <c:v>30.669800235009294</c:v>
                </c:pt>
                <c:pt idx="62" formatCode="0.0000">
                  <c:v>22.916666666666664</c:v>
                </c:pt>
                <c:pt idx="63" formatCode="0.0000">
                  <c:v>19.195064629842022</c:v>
                </c:pt>
                <c:pt idx="64" formatCode="0.0000">
                  <c:v>22.017862277229348</c:v>
                </c:pt>
                <c:pt idx="65" formatCode="0.0000">
                  <c:v>19.415371621670154</c:v>
                </c:pt>
                <c:pt idx="66" formatCode="0.0000">
                  <c:v>22.757985257933541</c:v>
                </c:pt>
                <c:pt idx="67" formatCode="0.0000">
                  <c:v>26.434459460120323</c:v>
                </c:pt>
                <c:pt idx="68" formatCode="0.0000">
                  <c:v>26.998742928897002</c:v>
                </c:pt>
                <c:pt idx="69" formatCode="0.0000">
                  <c:v>21.978764478764479</c:v>
                </c:pt>
                <c:pt idx="70" formatCode="0.0000">
                  <c:v>20.127550969062369</c:v>
                </c:pt>
                <c:pt idx="71" formatCode="0.0000">
                  <c:v>22.062248418690075</c:v>
                </c:pt>
                <c:pt idx="72" formatCode="0.0000">
                  <c:v>24.186386847621439</c:v>
                </c:pt>
                <c:pt idx="73" formatCode="0.0000">
                  <c:v>27.791709979203294</c:v>
                </c:pt>
                <c:pt idx="74" formatCode="0.0000">
                  <c:v>17.625000000000004</c:v>
                </c:pt>
                <c:pt idx="75" formatCode="0.0000">
                  <c:v>24.562500000000004</c:v>
                </c:pt>
                <c:pt idx="76" formatCode="0.0000">
                  <c:v>30.000000000000004</c:v>
                </c:pt>
                <c:pt idx="77" formatCode="0.0000">
                  <c:v>33.750000000000007</c:v>
                </c:pt>
                <c:pt idx="78" formatCode="0.0000">
                  <c:v>50.378906250000007</c:v>
                </c:pt>
                <c:pt idx="79" formatCode="0.0000">
                  <c:v>31.816406250000004</c:v>
                </c:pt>
                <c:pt idx="80" formatCode="0.0000">
                  <c:v>37.957031250000007</c:v>
                </c:pt>
                <c:pt idx="81" formatCode="0.0000">
                  <c:v>32.0234375</c:v>
                </c:pt>
                <c:pt idx="82" formatCode="0.0000">
                  <c:v>29.250000000000004</c:v>
                </c:pt>
                <c:pt idx="83" formatCode="0.0000">
                  <c:v>27.000000000000004</c:v>
                </c:pt>
                <c:pt idx="84" formatCode="0.0000">
                  <c:v>25.875000000000004</c:v>
                </c:pt>
                <c:pt idx="85" formatCode="0.0000">
                  <c:v>22.406250000000004</c:v>
                </c:pt>
                <c:pt idx="86" formatCode="0.0000">
                  <c:v>17.410156250000004</c:v>
                </c:pt>
                <c:pt idx="87" formatCode="0.0000">
                  <c:v>14.386718750000004</c:v>
                </c:pt>
                <c:pt idx="88" formatCode="0.0000">
                  <c:v>12.642578125000002</c:v>
                </c:pt>
                <c:pt idx="89" formatCode="0.0000">
                  <c:v>12.945312500000004</c:v>
                </c:pt>
                <c:pt idx="90" formatCode="0.0000">
                  <c:v>10.661764705882351</c:v>
                </c:pt>
                <c:pt idx="91" formatCode="0.0000">
                  <c:v>10.022058823529411</c:v>
                </c:pt>
              </c:numCache>
            </c:numRef>
          </c:val>
          <c:smooth val="0"/>
        </c:ser>
        <c:ser>
          <c:idx val="0"/>
          <c:order val="94"/>
          <c:tx>
            <c:strRef>
              <c:f>'Coal (All)'!$CZ$6</c:f>
              <c:strCache>
                <c:ptCount val="1"/>
                <c:pt idx="0">
                  <c:v>India, Imports, in s/ton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(All)'!$CZ$7:$CZ$107</c:f>
              <c:numCache>
                <c:formatCode>General</c:formatCode>
                <c:ptCount val="101"/>
                <c:pt idx="28" formatCode="_(* #,##0.0000_);_(* \(#,##0.0000\);_(* &quot;-&quot;??_);_(@_)">
                  <c:v>44.324697467891241</c:v>
                </c:pt>
                <c:pt idx="29" formatCode="_(* #,##0.0000_);_(* \(#,##0.0000\);_(* &quot;-&quot;??_);_(@_)">
                  <c:v>40.914990840946828</c:v>
                </c:pt>
                <c:pt idx="30" formatCode="_(* #,##0.0000_);_(* \(#,##0.0000\);_(* &quot;-&quot;??_);_(@_)">
                  <c:v>32.310969874459602</c:v>
                </c:pt>
                <c:pt idx="31" formatCode="_(* #,##0.0000_);_(* \(#,##0.0000\);_(* &quot;-&quot;??_);_(@_)">
                  <c:v>32.643511076944584</c:v>
                </c:pt>
                <c:pt idx="32" formatCode="_(* #,##0.0000_);_(* \(#,##0.0000\);_(* &quot;-&quot;??_);_(@_)">
                  <c:v>27.516803993938534</c:v>
                </c:pt>
                <c:pt idx="33" formatCode="_(* #,##0.0000_);_(* \(#,##0.0000\);_(* &quot;-&quot;??_);_(@_)">
                  <c:v>30.676753799616804</c:v>
                </c:pt>
                <c:pt idx="34" formatCode="_(* #,##0.0000_);_(* \(#,##0.0000\);_(* &quot;-&quot;??_);_(@_)">
                  <c:v>41.123636090835589</c:v>
                </c:pt>
                <c:pt idx="35" formatCode="_(* #,##0.0000_);_(* \(#,##0.0000\);_(* &quot;-&quot;??_);_(@_)">
                  <c:v>38.121496819301001</c:v>
                </c:pt>
                <c:pt idx="36" formatCode="_(* #,##0.0000_);_(* \(#,##0.0000\);_(* &quot;-&quot;??_);_(@_)">
                  <c:v>35.107241575760135</c:v>
                </c:pt>
                <c:pt idx="37" formatCode="_(* #,##0.0000_);_(* \(#,##0.0000\);_(* &quot;-&quot;??_);_(@_)">
                  <c:v>35.864036075361014</c:v>
                </c:pt>
                <c:pt idx="38" formatCode="_(* #,##0.0000_);_(* \(#,##0.0000\);_(* &quot;-&quot;??_);_(@_)">
                  <c:v>28.872706976454619</c:v>
                </c:pt>
                <c:pt idx="39" formatCode="_(* #,##0.0000_);_(* \(#,##0.0000\);_(* &quot;-&quot;??_);_(@_)">
                  <c:v>31.376353108221334</c:v>
                </c:pt>
                <c:pt idx="40" formatCode="_(* #,##0.0000_);_(* \(#,##0.0000\);_(* &quot;-&quot;??_);_(@_)">
                  <c:v>33.138138751070954</c:v>
                </c:pt>
                <c:pt idx="41" formatCode="_(* #,##0.0000_);_(* \(#,##0.0000\);_(* &quot;-&quot;??_);_(@_)">
                  <c:v>30.703789493868886</c:v>
                </c:pt>
                <c:pt idx="42" formatCode="_(* #,##0.0000_);_(* \(#,##0.0000\);_(* &quot;-&quot;??_);_(@_)">
                  <c:v>27.076924420926531</c:v>
                </c:pt>
                <c:pt idx="43" formatCode="_(* #,##0.0000_);_(* \(#,##0.0000\);_(* &quot;-&quot;??_);_(@_)">
                  <c:v>26.86544943173984</c:v>
                </c:pt>
                <c:pt idx="44" formatCode="_(* #,##0.0000_);_(* \(#,##0.0000\);_(* &quot;-&quot;??_);_(@_)">
                  <c:v>27.247783611797285</c:v>
                </c:pt>
                <c:pt idx="45" formatCode="_(* #,##0.0000_);_(* \(#,##0.0000\);_(* &quot;-&quot;??_);_(@_)">
                  <c:v>27.202021265099351</c:v>
                </c:pt>
                <c:pt idx="46" formatCode="_(* #,##0.0000_);_(* \(#,##0.0000\);_(* &quot;-&quot;??_);_(@_)">
                  <c:v>24.590560684462801</c:v>
                </c:pt>
                <c:pt idx="47" formatCode="_(* #,##0.0000_);_(* \(#,##0.0000\);_(* &quot;-&quot;??_);_(@_)">
                  <c:v>25.17379483554771</c:v>
                </c:pt>
                <c:pt idx="48" formatCode="_(* #,##0.0000_);_(* \(#,##0.0000\);_(* &quot;-&quot;??_);_(@_)">
                  <c:v>27.531715618048409</c:v>
                </c:pt>
                <c:pt idx="49" formatCode="_(* #,##0.0000_);_(* \(#,##0.0000\);_(* &quot;-&quot;??_);_(@_)">
                  <c:v>32.000009392963982</c:v>
                </c:pt>
                <c:pt idx="50" formatCode="_(* #,##0.0000_);_(* \(#,##0.0000\);_(* &quot;-&quot;??_);_(@_)">
                  <c:v>34.03307741637655</c:v>
                </c:pt>
                <c:pt idx="51" formatCode="_(* #,##0.0000_);_(* \(#,##0.0000\);_(* &quot;-&quot;??_);_(@_)">
                  <c:v>29.03796621738314</c:v>
                </c:pt>
                <c:pt idx="52" formatCode="_(* #,##0.0000_);_(* \(#,##0.0000\);_(* &quot;-&quot;??_);_(@_)">
                  <c:v>22.095932105009805</c:v>
                </c:pt>
                <c:pt idx="53" formatCode="_(* #,##0.0000_);_(* \(#,##0.0000\);_(* &quot;-&quot;??_);_(@_)">
                  <c:v>22.046971357437112</c:v>
                </c:pt>
                <c:pt idx="54" formatCode="_(* #,##0.0000_);_(* \(#,##0.0000\);_(* &quot;-&quot;??_);_(@_)">
                  <c:v>17.534207003079775</c:v>
                </c:pt>
                <c:pt idx="55" formatCode="_(* #,##0.0000_);_(* \(#,##0.0000\);_(* &quot;-&quot;??_);_(@_)">
                  <c:v>18.031342443184862</c:v>
                </c:pt>
                <c:pt idx="56" formatCode="_(* #,##0.0000_);_(* \(#,##0.0000\);_(* &quot;-&quot;??_);_(@_)">
                  <c:v>21.145948769210928</c:v>
                </c:pt>
                <c:pt idx="57" formatCode="_(* #,##0.0000_);_(* \(#,##0.0000\);_(* &quot;-&quot;??_);_(@_)">
                  <c:v>24.304544110069884</c:v>
                </c:pt>
                <c:pt idx="58" formatCode="_(* #,##0.0000_);_(* \(#,##0.0000\);_(* &quot;-&quot;??_);_(@_)">
                  <c:v>24.819692423464691</c:v>
                </c:pt>
                <c:pt idx="59" formatCode="_(* #,##0.0000_);_(* \(#,##0.0000\);_(* &quot;-&quot;??_);_(@_)">
                  <c:v>25.872325011145783</c:v>
                </c:pt>
                <c:pt idx="60" formatCode="_(* #,##0.0000_);_(* \(#,##0.0000\);_(* &quot;-&quot;??_);_(@_)">
                  <c:v>25.576405856393354</c:v>
                </c:pt>
                <c:pt idx="61" formatCode="_(* #,##0.0000_);_(* \(#,##0.0000\);_(* &quot;-&quot;??_);_(@_)">
                  <c:v>32.123187608979094</c:v>
                </c:pt>
                <c:pt idx="62" formatCode="_(* #,##0.0000_);_(* \(#,##0.0000\);_(* &quot;-&quot;??_);_(@_)">
                  <c:v>26.13685075450945</c:v>
                </c:pt>
                <c:pt idx="63" formatCode="_(* #,##0.0000_);_(* \(#,##0.0000\);_(* &quot;-&quot;??_);_(@_)">
                  <c:v>25.072018961954541</c:v>
                </c:pt>
                <c:pt idx="64" formatCode="_(* #,##0.0000_);_(* \(#,##0.0000\);_(* &quot;-&quot;??_);_(@_)">
                  <c:v>25.01455232170629</c:v>
                </c:pt>
                <c:pt idx="65" formatCode="_(* #,##0.0000_);_(* \(#,##0.0000\);_(* &quot;-&quot;??_);_(@_)">
                  <c:v>23.489557951290251</c:v>
                </c:pt>
                <c:pt idx="66" formatCode="_(* #,##0.0000_);_(* \(#,##0.0000\);_(* &quot;-&quot;??_);_(@_)">
                  <c:v>23.799594297940921</c:v>
                </c:pt>
                <c:pt idx="67" formatCode="_(* #,##0.0000_);_(* \(#,##0.0000\);_(* &quot;-&quot;??_);_(@_)">
                  <c:v>25.193874099446742</c:v>
                </c:pt>
                <c:pt idx="68" formatCode="_(* #,##0.0000_);_(* \(#,##0.0000\);_(* &quot;-&quot;??_);_(@_)">
                  <c:v>25.662952248757897</c:v>
                </c:pt>
                <c:pt idx="69" formatCode="_(* #,##0.0000_);_(* \(#,##0.0000\);_(* &quot;-&quot;??_);_(@_)">
                  <c:v>24.059270830133876</c:v>
                </c:pt>
                <c:pt idx="70" formatCode="_(* #,##0.0000_);_(* \(#,##0.0000\);_(* &quot;-&quot;??_);_(@_)">
                  <c:v>22.591573617090788</c:v>
                </c:pt>
                <c:pt idx="71" formatCode="_(* #,##0.0000_);_(* \(#,##0.0000\);_(* &quot;-&quot;??_);_(@_)">
                  <c:v>22.826851317100612</c:v>
                </c:pt>
                <c:pt idx="72" formatCode="_(* #,##0.0000_);_(* \(#,##0.0000\);_(* &quot;-&quot;??_);_(@_)">
                  <c:v>22.957181986626924</c:v>
                </c:pt>
                <c:pt idx="73" formatCode="_(* #,##0.0000_);_(* \(#,##0.0000\);_(* &quot;-&quot;??_);_(@_)">
                  <c:v>23.804562991246669</c:v>
                </c:pt>
                <c:pt idx="74" formatCode="_(* #,##0.0000_);_(* \(#,##0.0000\);_(* &quot;-&quot;??_);_(@_)">
                  <c:v>25.426778018204903</c:v>
                </c:pt>
                <c:pt idx="75" formatCode="_(* #,##0.0000_);_(* \(#,##0.0000\);_(* &quot;-&quot;??_);_(@_)">
                  <c:v>26.678853145284243</c:v>
                </c:pt>
                <c:pt idx="76" formatCode="_(* #,##0.0000_);_(* \(#,##0.0000\);_(* &quot;-&quot;??_);_(@_)">
                  <c:v>27.49455304611881</c:v>
                </c:pt>
                <c:pt idx="77" formatCode="_(* #,##0.0000_);_(* \(#,##0.0000\);_(* &quot;-&quot;??_);_(@_)">
                  <c:v>41.928981553121304</c:v>
                </c:pt>
                <c:pt idx="78" formatCode="_(* #,##0.0000_);_(* \(#,##0.0000\);_(* &quot;-&quot;??_);_(@_)">
                  <c:v>39.975795715841699</c:v>
                </c:pt>
                <c:pt idx="79" formatCode="_(* #,##0.0000_);_(* \(#,##0.0000\);_(* &quot;-&quot;??_);_(@_)">
                  <c:v>46.287458706937237</c:v>
                </c:pt>
                <c:pt idx="80" formatCode="_(* #,##0.0000_);_(* \(#,##0.0000\);_(* &quot;-&quot;??_);_(@_)">
                  <c:v>65.023519295938499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'Coal (All)'!$DA$6</c:f>
              <c:strCache>
                <c:ptCount val="1"/>
                <c:pt idx="0">
                  <c:v>India, Exports, in s/ton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(All)'!$DA$7:$DA$107</c:f>
              <c:numCache>
                <c:formatCode>General</c:formatCode>
                <c:ptCount val="101"/>
                <c:pt idx="49" formatCode="_(* #,##0.0000_);_(* \(#,##0.0000\);_(* &quot;-&quot;??_);_(@_)">
                  <c:v>4.8945536445536444</c:v>
                </c:pt>
                <c:pt idx="50" formatCode="_(* #,##0.0000_);_(* \(#,##0.0000\);_(* &quot;-&quot;??_);_(@_)">
                  <c:v>5.621672809172809</c:v>
                </c:pt>
                <c:pt idx="51" formatCode="_(* #,##0.0000_);_(* \(#,##0.0000\);_(* &quot;-&quot;??_);_(@_)">
                  <c:v>5.1207386363636367</c:v>
                </c:pt>
                <c:pt idx="52" formatCode="_(* #,##0.0000_);_(* \(#,##0.0000\);_(* &quot;-&quot;??_);_(@_)">
                  <c:v>4.5984336609336607</c:v>
                </c:pt>
                <c:pt idx="53" formatCode="_(* #,##0.0000_);_(* \(#,##0.0000\);_(* &quot;-&quot;??_);_(@_)">
                  <c:v>4.0688753270218774</c:v>
                </c:pt>
                <c:pt idx="54" formatCode="_(* #,##0.0000_);_(* \(#,##0.0000\);_(* &quot;-&quot;??_);_(@_)">
                  <c:v>3.1909459458821274</c:v>
                </c:pt>
                <c:pt idx="55" formatCode="_(* #,##0.0000_);_(* \(#,##0.0000\);_(* &quot;-&quot;??_);_(@_)">
                  <c:v>4.2175622888431148</c:v>
                </c:pt>
                <c:pt idx="56" formatCode="_(* #,##0.0000_);_(* \(#,##0.0000\);_(* &quot;-&quot;??_);_(@_)">
                  <c:v>4.8817567567462357</c:v>
                </c:pt>
                <c:pt idx="57" formatCode="_(* #,##0.0000_);_(* \(#,##0.0000\);_(* &quot;-&quot;??_);_(@_)">
                  <c:v>4.3006408471434412</c:v>
                </c:pt>
                <c:pt idx="58" formatCode="_(* #,##0.0000_);_(* \(#,##0.0000\);_(* &quot;-&quot;??_);_(@_)">
                  <c:v>4.0952280405405403</c:v>
                </c:pt>
                <c:pt idx="59" formatCode="_(* #,##0.0000_);_(* \(#,##0.0000\);_(* &quot;-&quot;??_);_(@_)">
                  <c:v>4.6589783500900221</c:v>
                </c:pt>
                <c:pt idx="60" formatCode="_(* #,##0.0000_);_(* \(#,##0.0000\);_(* &quot;-&quot;??_);_(@_)">
                  <c:v>4.7442567568753642</c:v>
                </c:pt>
                <c:pt idx="61" formatCode="_(* #,##0.0000_);_(* \(#,##0.0000\);_(* &quot;-&quot;??_);_(@_)">
                  <c:v>5.3512411868375596</c:v>
                </c:pt>
                <c:pt idx="62" formatCode="_(* #,##0.0000_);_(* \(#,##0.0000\);_(* &quot;-&quot;??_);_(@_)">
                  <c:v>5.0710867117117111</c:v>
                </c:pt>
                <c:pt idx="63" formatCode="_(* #,##0.0000_);_(* \(#,##0.0000\);_(* &quot;-&quot;??_);_(@_)">
                  <c:v>3.9626175088120839</c:v>
                </c:pt>
                <c:pt idx="64" formatCode="_(* #,##0.0000_);_(* \(#,##0.0000\);_(* &quot;-&quot;??_);_(@_)">
                  <c:v>4.2517251293960117</c:v>
                </c:pt>
                <c:pt idx="65" formatCode="_(* #,##0.0000_);_(* \(#,##0.0000\);_(* &quot;-&quot;??_);_(@_)">
                  <c:v>3.9131756756854577</c:v>
                </c:pt>
                <c:pt idx="66" formatCode="_(* #,##0.0000_);_(* \(#,##0.0000\);_(* &quot;-&quot;??_);_(@_)">
                  <c:v>3.9447174447084801</c:v>
                </c:pt>
                <c:pt idx="67" formatCode="_(* #,##0.0000_);_(* \(#,##0.0000\);_(* &quot;-&quot;??_);_(@_)">
                  <c:v>5.2216216217521625</c:v>
                </c:pt>
                <c:pt idx="68" formatCode="_(* #,##0.0000_);_(* \(#,##0.0000\);_(* &quot;-&quot;??_);_(@_)">
                  <c:v>7.3632935260628187</c:v>
                </c:pt>
                <c:pt idx="69" formatCode="_(* #,##0.0000_);_(* \(#,##0.0000\);_(* &quot;-&quot;??_);_(@_)">
                  <c:v>5.4946911196911197</c:v>
                </c:pt>
                <c:pt idx="70" formatCode="_(* #,##0.0000_);_(* \(#,##0.0000\);_(* &quot;-&quot;??_);_(@_)">
                  <c:v>4.2159059462225237</c:v>
                </c:pt>
                <c:pt idx="71" formatCode="_(* #,##0.0000_);_(* \(#,##0.0000\);_(* &quot;-&quot;??_);_(@_)">
                  <c:v>4.3841647498678995</c:v>
                </c:pt>
                <c:pt idx="72" formatCode="_(* #,##0.0000_);_(* \(#,##0.0000\);_(* &quot;-&quot;??_);_(@_)">
                  <c:v>4.4737825382883587</c:v>
                </c:pt>
                <c:pt idx="73" formatCode="_(* #,##0.0000_);_(* \(#,##0.0000\);_(* &quot;-&quot;??_);_(@_)">
                  <c:v>4.7990839397077849</c:v>
                </c:pt>
                <c:pt idx="74" formatCode="_(* #,##0.0000_);_(* \(#,##0.0000\);_(* &quot;-&quot;??_);_(@_)">
                  <c:v>3.6835937500000004</c:v>
                </c:pt>
                <c:pt idx="75" formatCode="_(* #,##0.0000_);_(* \(#,##0.0000\);_(* &quot;-&quot;??_);_(@_)">
                  <c:v>3.6738281250000004</c:v>
                </c:pt>
                <c:pt idx="76" formatCode="_(* #,##0.0000_);_(* \(#,##0.0000\);_(* &quot;-&quot;??_);_(@_)">
                  <c:v>3.3339843750000004</c:v>
                </c:pt>
                <c:pt idx="77" formatCode="_(* #,##0.0000_);_(* \(#,##0.0000\);_(* &quot;-&quot;??_);_(@_)">
                  <c:v>3.6074218750000004</c:v>
                </c:pt>
                <c:pt idx="78" formatCode="_(* #,##0.0000_);_(* \(#,##0.0000\);_(* &quot;-&quot;??_);_(@_)">
                  <c:v>3.9199218750000004</c:v>
                </c:pt>
                <c:pt idx="79" formatCode="_(* #,##0.0000_);_(* \(#,##0.0000\);_(* &quot;-&quot;??_);_(@_)">
                  <c:v>4.7949218750000009</c:v>
                </c:pt>
                <c:pt idx="80" formatCode="_(* #,##0.0000_);_(* \(#,##0.0000\);_(* &quot;-&quot;??_);_(@_)">
                  <c:v>7.5000000000000009</c:v>
                </c:pt>
                <c:pt idx="81" formatCode="_(* #,##0.0000_);_(* \(#,##0.0000\);_(* &quot;-&quot;??_);_(@_)">
                  <c:v>7.5000000000000009</c:v>
                </c:pt>
                <c:pt idx="82" formatCode="_(* #,##0.0000_);_(* \(#,##0.0000\);_(* &quot;-&quot;??_);_(@_)">
                  <c:v>13.500000000000002</c:v>
                </c:pt>
                <c:pt idx="83" formatCode="_(* #,##0.0000_);_(* \(#,##0.0000\);_(* &quot;-&quot;??_);_(@_)">
                  <c:v>13.125000000000002</c:v>
                </c:pt>
                <c:pt idx="84" formatCode="_(* #,##0.0000_);_(* \(#,##0.0000\);_(* &quot;-&quot;??_);_(@_)">
                  <c:v>11.250000000000002</c:v>
                </c:pt>
                <c:pt idx="85" formatCode="_(* #,##0.0000_);_(* \(#,##0.0000\);_(* &quot;-&quot;??_);_(@_)">
                  <c:v>8.9062500000000018</c:v>
                </c:pt>
                <c:pt idx="86" formatCode="_(* #,##0.0000_);_(* \(#,##0.0000\);_(* &quot;-&quot;??_);_(@_)">
                  <c:v>7.9687500000000009</c:v>
                </c:pt>
                <c:pt idx="87" formatCode="_(* #,##0.0000_);_(* \(#,##0.0000\);_(* &quot;-&quot;??_);_(@_)">
                  <c:v>7.4062500000000009</c:v>
                </c:pt>
                <c:pt idx="88" formatCode="_(* #,##0.0000_);_(* \(#,##0.0000\);_(* &quot;-&quot;??_);_(@_)">
                  <c:v>7.2187500000000009</c:v>
                </c:pt>
                <c:pt idx="89" formatCode="_(* #,##0.0000_);_(* \(#,##0.0000\);_(* &quot;-&quot;??_);_(@_)">
                  <c:v>7.3125000000000009</c:v>
                </c:pt>
                <c:pt idx="90" formatCode="_(* #,##0.0000_);_(* \(#,##0.0000\);_(* &quot;-&quot;??_);_(@_)">
                  <c:v>7.0257352941176467</c:v>
                </c:pt>
                <c:pt idx="91" formatCode="_(* #,##0.0000_);_(* \(#,##0.0000\);_(* &quot;-&quot;??_);_(@_)">
                  <c:v>6.617647058823529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'Coal (All)'!$DB$6</c:f>
              <c:strCache>
                <c:ptCount val="1"/>
                <c:pt idx="0">
                  <c:v>India, Production, in s/ton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(All)'!$DB$7:$DB$107</c:f>
              <c:numCache>
                <c:formatCode>General</c:formatCode>
                <c:ptCount val="101"/>
                <c:pt idx="55" formatCode="_(* #,##0.0000_);_(* \(#,##0.0000\);_(* &quot;-&quot;??_);_(@_)">
                  <c:v>3.6796833180194395</c:v>
                </c:pt>
                <c:pt idx="56" formatCode="_(* #,##0.0000_);_(* \(#,##0.0000\);_(* &quot;-&quot;??_);_(@_)">
                  <c:v>3.7560238493352429</c:v>
                </c:pt>
                <c:pt idx="57" formatCode="_(* #,##0.0000_);_(* \(#,##0.0000\);_(* &quot;-&quot;??_);_(@_)">
                  <c:v>3.7849218721789457</c:v>
                </c:pt>
                <c:pt idx="58" formatCode="_(* #,##0.0000_);_(* \(#,##0.0000\);_(* &quot;-&quot;??_);_(@_)">
                  <c:v>3.7805099068335268</c:v>
                </c:pt>
                <c:pt idx="59" formatCode="_(* #,##0.0000_);_(* \(#,##0.0000\);_(* &quot;-&quot;??_);_(@_)">
                  <c:v>4.1773638102119275</c:v>
                </c:pt>
                <c:pt idx="60" formatCode="_(* #,##0.0000_);_(* \(#,##0.0000\);_(* &quot;-&quot;??_);_(@_)">
                  <c:v>4.3900918693080158</c:v>
                </c:pt>
                <c:pt idx="61" formatCode="_(* #,##0.0000_);_(* \(#,##0.0000\);_(* &quot;-&quot;??_);_(@_)">
                  <c:v>3.9886270185617945</c:v>
                </c:pt>
                <c:pt idx="62" formatCode="_(* #,##0.0000_);_(* \(#,##0.0000\);_(* &quot;-&quot;??_);_(@_)">
                  <c:v>3.6821676400232746</c:v>
                </c:pt>
                <c:pt idx="63" formatCode="_(* #,##0.0000_);_(* \(#,##0.0000\);_(* &quot;-&quot;??_);_(@_)">
                  <c:v>3.494618321770341</c:v>
                </c:pt>
                <c:pt idx="64" formatCode="_(* #,##0.0000_);_(* \(#,##0.0000\);_(* &quot;-&quot;??_);_(@_)">
                  <c:v>3.40482913712624</c:v>
                </c:pt>
                <c:pt idx="65" formatCode="_(* #,##0.0000_);_(* \(#,##0.0000\);_(* &quot;-&quot;??_);_(@_)">
                  <c:v>3.3725041843183785</c:v>
                </c:pt>
                <c:pt idx="66" formatCode="_(* #,##0.0000_);_(* \(#,##0.0000\);_(* &quot;-&quot;??_);_(@_)">
                  <c:v>3.9088094447141799</c:v>
                </c:pt>
                <c:pt idx="67" formatCode="_(* #,##0.0000_);_(* \(#,##0.0000\);_(* &quot;-&quot;??_);_(@_)">
                  <c:v>4.682240308651239</c:v>
                </c:pt>
                <c:pt idx="68" formatCode="_(* #,##0.0000_);_(* \(#,##0.0000\);_(* &quot;-&quot;??_);_(@_)">
                  <c:v>5.2565464870374132</c:v>
                </c:pt>
                <c:pt idx="69" formatCode="_(* #,##0.0000_);_(* \(#,##0.0000\);_(* &quot;-&quot;??_);_(@_)">
                  <c:v>4.6838264730501873</c:v>
                </c:pt>
                <c:pt idx="70" formatCode="_(* #,##0.0000_);_(* \(#,##0.0000\);_(* &quot;-&quot;??_);_(@_)">
                  <c:v>4.076466873012488</c:v>
                </c:pt>
                <c:pt idx="71" formatCode="_(* #,##0.0000_);_(* \(#,##0.0000\);_(* &quot;-&quot;??_);_(@_)">
                  <c:v>3.9363128595307129</c:v>
                </c:pt>
                <c:pt idx="72" formatCode="_(* #,##0.0000_);_(* \(#,##0.0000\);_(* &quot;-&quot;??_);_(@_)">
                  <c:v>4.5019566052434943</c:v>
                </c:pt>
                <c:pt idx="73" formatCode="_(* #,##0.0000_);_(* \(#,##0.0000\);_(* &quot;-&quot;??_);_(@_)">
                  <c:v>4.686740980955773</c:v>
                </c:pt>
                <c:pt idx="74" formatCode="_(* #,##0.0000_);_(* \(#,##0.0000\);_(* &quot;-&quot;??_);_(@_)">
                  <c:v>4.7464985222842957</c:v>
                </c:pt>
                <c:pt idx="75" formatCode="_(* #,##0.0000_);_(* \(#,##0.0000\);_(* &quot;-&quot;??_);_(@_)">
                  <c:v>4.4212804400765862</c:v>
                </c:pt>
                <c:pt idx="76" formatCode="_(* #,##0.0000_);_(* \(#,##0.0000\);_(* &quot;-&quot;??_);_(@_)">
                  <c:v>4.4957627685930515</c:v>
                </c:pt>
                <c:pt idx="77" formatCode="_(* #,##0.0000_);_(* \(#,##0.0000\);_(* &quot;-&quot;??_);_(@_)">
                  <c:v>4.9543351592534481</c:v>
                </c:pt>
                <c:pt idx="78" formatCode="_(* #,##0.0000_);_(* \(#,##0.0000\);_(* &quot;-&quot;??_);_(@_)">
                  <c:v>5.8073726940093549</c:v>
                </c:pt>
                <c:pt idx="79" formatCode="_(* #,##0.0000_);_(* \(#,##0.0000\);_(* &quot;-&quot;??_);_(@_)">
                  <c:v>5.9626656965427447</c:v>
                </c:pt>
              </c:numCache>
            </c:numRef>
          </c:val>
          <c:smooth val="0"/>
        </c:ser>
        <c:ser>
          <c:idx val="8"/>
          <c:order val="97"/>
          <c:tx>
            <c:strRef>
              <c:f>'Coal (All)'!$AF$6</c:f>
              <c:strCache>
                <c:ptCount val="1"/>
                <c:pt idx="0">
                  <c:v>Istanbul (Nallrihan), Imports, in s/ton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'Coal (All)'!$AF$7:$AF$107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"/>
          <c:order val="98"/>
          <c:tx>
            <c:strRef>
              <c:f>'Coal (All)'!$AG$6</c:f>
              <c:strCache>
                <c:ptCount val="1"/>
                <c:pt idx="0">
                  <c:v>Istanbul (Nallrihan), Exports, in s/ton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'Coal (All)'!$AG$7:$AG$107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"/>
          <c:order val="99"/>
          <c:tx>
            <c:strRef>
              <c:f>'Coal (All)'!$AH$6</c:f>
              <c:strCache>
                <c:ptCount val="1"/>
                <c:pt idx="0">
                  <c:v>Istanbul (Nallrihan), Bazaar (Local), in s/ton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'Coal (All)'!$AH$7:$AH$107</c:f>
              <c:numCache>
                <c:formatCode>0.0000</c:formatCode>
                <c:ptCount val="10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64864"/>
        <c:axId val="364065424"/>
      </c:lineChart>
      <c:catAx>
        <c:axId val="36406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65424"/>
        <c:crosses val="autoZero"/>
        <c:auto val="1"/>
        <c:lblAlgn val="ctr"/>
        <c:lblOffset val="100"/>
        <c:noMultiLvlLbl val="0"/>
      </c:catAx>
      <c:valAx>
        <c:axId val="36406542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64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2450218554367336"/>
          <c:h val="0.8497366548971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Coal, UK, Ottomon Empire, Mediterranean Sea, Caspian Sea, Persia, Persian Gulf &amp; India, in s/ton </a:t>
            </a:r>
          </a:p>
        </c:rich>
      </c:tx>
      <c:layout>
        <c:manualLayout>
          <c:xMode val="edge"/>
          <c:yMode val="edge"/>
          <c:x val="0.14939357515627494"/>
          <c:y val="1.501501501501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'Coal (Adjusted)'!$C$6</c:f>
              <c:strCache>
                <c:ptCount val="1"/>
                <c:pt idx="0">
                  <c:v>UK, Exports, in s/ton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'Coal (Adjusted)'!$D$6</c:f>
              <c:strCache>
                <c:ptCount val="1"/>
                <c:pt idx="0">
                  <c:v>UK, Exports, in s/ton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(Adjusted)'!$D$7:$D$107</c:f>
              <c:numCache>
                <c:formatCode>0.0000</c:formatCode>
                <c:ptCount val="101"/>
                <c:pt idx="0">
                  <c:v>7.09</c:v>
                </c:pt>
                <c:pt idx="1">
                  <c:v>7.23</c:v>
                </c:pt>
                <c:pt idx="2">
                  <c:v>7.24</c:v>
                </c:pt>
                <c:pt idx="3">
                  <c:v>7.18</c:v>
                </c:pt>
                <c:pt idx="4">
                  <c:v>7.44</c:v>
                </c:pt>
                <c:pt idx="5">
                  <c:v>7.48</c:v>
                </c:pt>
                <c:pt idx="6">
                  <c:v>7.45</c:v>
                </c:pt>
                <c:pt idx="7">
                  <c:v>7.61</c:v>
                </c:pt>
                <c:pt idx="8">
                  <c:v>7.65</c:v>
                </c:pt>
                <c:pt idx="9">
                  <c:v>7.53</c:v>
                </c:pt>
                <c:pt idx="10">
                  <c:v>7.51</c:v>
                </c:pt>
                <c:pt idx="11">
                  <c:v>7.36</c:v>
                </c:pt>
                <c:pt idx="12">
                  <c:v>7.4</c:v>
                </c:pt>
                <c:pt idx="13">
                  <c:v>8.0299999999999994</c:v>
                </c:pt>
                <c:pt idx="14">
                  <c:v>9.59</c:v>
                </c:pt>
                <c:pt idx="15">
                  <c:v>9.51</c:v>
                </c:pt>
                <c:pt idx="16">
                  <c:v>9.35</c:v>
                </c:pt>
                <c:pt idx="17">
                  <c:v>9.31</c:v>
                </c:pt>
                <c:pt idx="18">
                  <c:v>9.1300000000000008</c:v>
                </c:pt>
                <c:pt idx="19">
                  <c:v>9.18</c:v>
                </c:pt>
                <c:pt idx="20">
                  <c:v>8.89</c:v>
                </c:pt>
                <c:pt idx="21">
                  <c:v>9.01</c:v>
                </c:pt>
                <c:pt idx="22">
                  <c:v>8.89</c:v>
                </c:pt>
                <c:pt idx="23">
                  <c:v>8.84</c:v>
                </c:pt>
                <c:pt idx="24">
                  <c:v>9.31</c:v>
                </c:pt>
                <c:pt idx="25">
                  <c:v>9.49</c:v>
                </c:pt>
                <c:pt idx="26">
                  <c:v>10.1</c:v>
                </c:pt>
                <c:pt idx="27">
                  <c:v>10.18</c:v>
                </c:pt>
                <c:pt idx="28">
                  <c:v>9.75</c:v>
                </c:pt>
                <c:pt idx="29">
                  <c:v>9.48</c:v>
                </c:pt>
                <c:pt idx="30">
                  <c:v>9.4700000000000006</c:v>
                </c:pt>
                <c:pt idx="31">
                  <c:v>9.6300000000000008</c:v>
                </c:pt>
                <c:pt idx="32">
                  <c:v>15.51</c:v>
                </c:pt>
                <c:pt idx="33">
                  <c:v>20.49</c:v>
                </c:pt>
                <c:pt idx="34">
                  <c:v>16.98</c:v>
                </c:pt>
                <c:pt idx="35">
                  <c:v>13.1</c:v>
                </c:pt>
                <c:pt idx="36">
                  <c:v>10.8</c:v>
                </c:pt>
                <c:pt idx="37">
                  <c:v>10.050000000000001</c:v>
                </c:pt>
                <c:pt idx="38">
                  <c:v>9.35</c:v>
                </c:pt>
                <c:pt idx="39">
                  <c:v>8.6300000000000008</c:v>
                </c:pt>
                <c:pt idx="40">
                  <c:v>8.76</c:v>
                </c:pt>
                <c:pt idx="41">
                  <c:v>8.83</c:v>
                </c:pt>
                <c:pt idx="42">
                  <c:v>8.99</c:v>
                </c:pt>
                <c:pt idx="43">
                  <c:v>9.1999999999999993</c:v>
                </c:pt>
                <c:pt idx="44">
                  <c:v>9.18</c:v>
                </c:pt>
                <c:pt idx="45">
                  <c:v>8.83</c:v>
                </c:pt>
                <c:pt idx="46">
                  <c:v>8.32</c:v>
                </c:pt>
                <c:pt idx="47">
                  <c:v>8.19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11.7</c:v>
                </c:pt>
                <c:pt idx="64">
                  <c:v>11.13</c:v>
                </c:pt>
                <c:pt idx="65">
                  <c:v>10.56</c:v>
                </c:pt>
                <c:pt idx="66">
                  <c:v>10.9</c:v>
                </c:pt>
                <c:pt idx="67">
                  <c:v>12.75</c:v>
                </c:pt>
                <c:pt idx="68">
                  <c:v>12.77</c:v>
                </c:pt>
                <c:pt idx="69">
                  <c:v>11.3</c:v>
                </c:pt>
                <c:pt idx="70">
                  <c:v>11.72</c:v>
                </c:pt>
                <c:pt idx="71">
                  <c:v>11.43</c:v>
                </c:pt>
                <c:pt idx="72">
                  <c:v>12.7</c:v>
                </c:pt>
                <c:pt idx="73">
                  <c:v>13.94</c:v>
                </c:pt>
                <c:pt idx="74">
                  <c:v>13.65</c:v>
                </c:pt>
                <c:pt idx="75">
                  <c:v>16.96</c:v>
                </c:pt>
                <c:pt idx="76">
                  <c:v>24.64</c:v>
                </c:pt>
                <c:pt idx="77">
                  <c:v>27.16</c:v>
                </c:pt>
                <c:pt idx="78">
                  <c:v>30.6</c:v>
                </c:pt>
                <c:pt idx="79">
                  <c:v>46.2</c:v>
                </c:pt>
                <c:pt idx="80">
                  <c:v>79.8</c:v>
                </c:pt>
                <c:pt idx="81">
                  <c:v>34.83</c:v>
                </c:pt>
                <c:pt idx="82">
                  <c:v>24.16</c:v>
                </c:pt>
                <c:pt idx="83">
                  <c:v>25.13</c:v>
                </c:pt>
                <c:pt idx="84">
                  <c:v>23.38</c:v>
                </c:pt>
                <c:pt idx="85">
                  <c:v>20.079999999999998</c:v>
                </c:pt>
                <c:pt idx="86">
                  <c:v>18.59</c:v>
                </c:pt>
                <c:pt idx="87">
                  <c:v>17.8</c:v>
                </c:pt>
                <c:pt idx="88">
                  <c:v>15.67</c:v>
                </c:pt>
                <c:pt idx="89">
                  <c:v>16.13</c:v>
                </c:pt>
                <c:pt idx="90">
                  <c:v>16.64</c:v>
                </c:pt>
                <c:pt idx="91">
                  <c:v>15.98</c:v>
                </c:pt>
                <c:pt idx="92">
                  <c:v>16.27</c:v>
                </c:pt>
                <c:pt idx="93">
                  <c:v>16.079999999999998</c:v>
                </c:pt>
                <c:pt idx="94">
                  <c:v>16.079999999999998</c:v>
                </c:pt>
                <c:pt idx="95">
                  <c:v>16.3</c:v>
                </c:pt>
                <c:pt idx="96">
                  <c:v>16.98</c:v>
                </c:pt>
                <c:pt idx="97">
                  <c:v>19.05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'Coal (Adjusted)'!$E$6</c:f>
              <c:strCache>
                <c:ptCount val="1"/>
                <c:pt idx="0">
                  <c:v>Baghdad, Imports, in s/ton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(Adjusted)'!$E$7:$E$107</c:f>
              <c:numCache>
                <c:formatCode>0.0000</c:formatCode>
                <c:ptCount val="101"/>
                <c:pt idx="62">
                  <c:v>81.736909323116095</c:v>
                </c:pt>
                <c:pt idx="63">
                  <c:v>112.03549639489759</c:v>
                </c:pt>
                <c:pt idx="64">
                  <c:v>80.123786749191353</c:v>
                </c:pt>
                <c:pt idx="65">
                  <c:v>63.89610389610381</c:v>
                </c:pt>
                <c:pt idx="66">
                  <c:v>119.9661112680034</c:v>
                </c:pt>
                <c:pt idx="67">
                  <c:v>96.157635467980342</c:v>
                </c:pt>
                <c:pt idx="68">
                  <c:v>45.996353947552961</c:v>
                </c:pt>
                <c:pt idx="69">
                  <c:v>82.561797752809085</c:v>
                </c:pt>
                <c:pt idx="70">
                  <c:v>115.18377693282656</c:v>
                </c:pt>
                <c:pt idx="71">
                  <c:v>84.952822054149962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'Coal (Adjusted)'!$F$6</c:f>
              <c:strCache>
                <c:ptCount val="1"/>
                <c:pt idx="0">
                  <c:v>Baghdad, Imports, in s/ton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'Coal (Adjusted)'!$H$6</c:f>
              <c:strCache>
                <c:ptCount val="1"/>
                <c:pt idx="0">
                  <c:v>Basrah, Imports, in s/ton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(Adjusted)'!$H$7:$H$107</c:f>
              <c:numCache>
                <c:formatCode>0.0000</c:formatCode>
                <c:ptCount val="101"/>
                <c:pt idx="47">
                  <c:v>29.012494961708967</c:v>
                </c:pt>
                <c:pt idx="48">
                  <c:v>35.776110790536663</c:v>
                </c:pt>
                <c:pt idx="49">
                  <c:v>36.309914642153643</c:v>
                </c:pt>
                <c:pt idx="50">
                  <c:v>36.876456876456871</c:v>
                </c:pt>
                <c:pt idx="51">
                  <c:v>31.394341065511068</c:v>
                </c:pt>
                <c:pt idx="52">
                  <c:v>27.999077916090357</c:v>
                </c:pt>
                <c:pt idx="53">
                  <c:v>29.999999999999996</c:v>
                </c:pt>
                <c:pt idx="54">
                  <c:v>29.996188540210909</c:v>
                </c:pt>
                <c:pt idx="55">
                  <c:v>29.999999999999996</c:v>
                </c:pt>
                <c:pt idx="56">
                  <c:v>34.997523526498263</c:v>
                </c:pt>
                <c:pt idx="57">
                  <c:v>34.851081883750538</c:v>
                </c:pt>
                <c:pt idx="58">
                  <c:v>40.000000000000007</c:v>
                </c:pt>
                <c:pt idx="59">
                  <c:v>40.000000000000007</c:v>
                </c:pt>
                <c:pt idx="60">
                  <c:v>44.997878659312761</c:v>
                </c:pt>
                <c:pt idx="61">
                  <c:v>42.000998003992024</c:v>
                </c:pt>
                <c:pt idx="62">
                  <c:v>40.000000000000007</c:v>
                </c:pt>
                <c:pt idx="63">
                  <c:v>30.666366339309839</c:v>
                </c:pt>
                <c:pt idx="64">
                  <c:v>34.9991648571906</c:v>
                </c:pt>
                <c:pt idx="65">
                  <c:v>35</c:v>
                </c:pt>
                <c:pt idx="66">
                  <c:v>32.00048658840705</c:v>
                </c:pt>
                <c:pt idx="67">
                  <c:v>29.999999999999996</c:v>
                </c:pt>
                <c:pt idx="68">
                  <c:v>35.998629667694402</c:v>
                </c:pt>
                <c:pt idx="69">
                  <c:v>35.998116206510844</c:v>
                </c:pt>
                <c:pt idx="70">
                  <c:v>35.999692343191178</c:v>
                </c:pt>
                <c:pt idx="71">
                  <c:v>35.999680230234247</c:v>
                </c:pt>
                <c:pt idx="72">
                  <c:v>40.000000000000007</c:v>
                </c:pt>
                <c:pt idx="73">
                  <c:v>38.000190458051627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'Coal (Adjusted)'!$K$6</c:f>
              <c:strCache>
                <c:ptCount val="1"/>
                <c:pt idx="0">
                  <c:v>Egypt, Imports, in s/ton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(Adjusted)'!$K$7:$K$107</c:f>
              <c:numCache>
                <c:formatCode>0.0000</c:formatCode>
                <c:ptCount val="101"/>
                <c:pt idx="49">
                  <c:v>19.205938827162207</c:v>
                </c:pt>
                <c:pt idx="50">
                  <c:v>20.674813425262524</c:v>
                </c:pt>
                <c:pt idx="51">
                  <c:v>20.689657054454468</c:v>
                </c:pt>
                <c:pt idx="52">
                  <c:v>20.571323483112266</c:v>
                </c:pt>
                <c:pt idx="53">
                  <c:v>15.906455908984222</c:v>
                </c:pt>
                <c:pt idx="54">
                  <c:v>12.449537333317233</c:v>
                </c:pt>
                <c:pt idx="55">
                  <c:v>13.560604803684825</c:v>
                </c:pt>
                <c:pt idx="56">
                  <c:v>12.557838517302814</c:v>
                </c:pt>
                <c:pt idx="57">
                  <c:v>13.378438823527622</c:v>
                </c:pt>
                <c:pt idx="58">
                  <c:v>15.294756008576861</c:v>
                </c:pt>
                <c:pt idx="59">
                  <c:v>18.74760295357563</c:v>
                </c:pt>
                <c:pt idx="60">
                  <c:v>27.453336810025814</c:v>
                </c:pt>
                <c:pt idx="61">
                  <c:v>23.197603609782423</c:v>
                </c:pt>
                <c:pt idx="62">
                  <c:v>18.603971537594557</c:v>
                </c:pt>
                <c:pt idx="63">
                  <c:v>17.576736639523446</c:v>
                </c:pt>
                <c:pt idx="64">
                  <c:v>15.93995147984389</c:v>
                </c:pt>
                <c:pt idx="65">
                  <c:v>15.442764336803457</c:v>
                </c:pt>
                <c:pt idx="66">
                  <c:v>15.730956952191296</c:v>
                </c:pt>
                <c:pt idx="67">
                  <c:v>18.086288038721978</c:v>
                </c:pt>
                <c:pt idx="68">
                  <c:v>20.40980318655248</c:v>
                </c:pt>
                <c:pt idx="69">
                  <c:v>16.604547998401003</c:v>
                </c:pt>
                <c:pt idx="70">
                  <c:v>17.715655741369183</c:v>
                </c:pt>
                <c:pt idx="71">
                  <c:v>17.018614535209874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'Coal (Adjusted)'!$L$6</c:f>
              <c:strCache>
                <c:ptCount val="1"/>
                <c:pt idx="0">
                  <c:v>Egypt, Exports, in s/ton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(Adjusted)'!$L$7:$L$107</c:f>
              <c:numCache>
                <c:formatCode>0.0000</c:formatCode>
                <c:ptCount val="101"/>
                <c:pt idx="45">
                  <c:v>20.361173814898418</c:v>
                </c:pt>
                <c:pt idx="46">
                  <c:v>19.413333333333334</c:v>
                </c:pt>
                <c:pt idx="47">
                  <c:v>18.584474885844749</c:v>
                </c:pt>
                <c:pt idx="48">
                  <c:v>18.455114822546971</c:v>
                </c:pt>
                <c:pt idx="49">
                  <c:v>18.726114649681527</c:v>
                </c:pt>
                <c:pt idx="50">
                  <c:v>20.163934426229506</c:v>
                </c:pt>
                <c:pt idx="51">
                  <c:v>20.170212765957448</c:v>
                </c:pt>
                <c:pt idx="52">
                  <c:v>20.032467532467532</c:v>
                </c:pt>
                <c:pt idx="53">
                  <c:v>15.517241379310345</c:v>
                </c:pt>
                <c:pt idx="54">
                  <c:v>14.841628959276019</c:v>
                </c:pt>
                <c:pt idx="55">
                  <c:v>13.235294117647058</c:v>
                </c:pt>
                <c:pt idx="56">
                  <c:v>12.241379310344826</c:v>
                </c:pt>
                <c:pt idx="57">
                  <c:v>13.038674033149171</c:v>
                </c:pt>
                <c:pt idx="58">
                  <c:v>14.907749077490775</c:v>
                </c:pt>
                <c:pt idx="59">
                  <c:v>18.268215417106653</c:v>
                </c:pt>
                <c:pt idx="60">
                  <c:v>26.759906759906759</c:v>
                </c:pt>
                <c:pt idx="61">
                  <c:v>22.615219721329044</c:v>
                </c:pt>
                <c:pt idx="62">
                  <c:v>18.153200419727177</c:v>
                </c:pt>
                <c:pt idx="63">
                  <c:v>17.134445534838076</c:v>
                </c:pt>
                <c:pt idx="64">
                  <c:v>15.538592027141645</c:v>
                </c:pt>
                <c:pt idx="65">
                  <c:v>15.05736981465137</c:v>
                </c:pt>
                <c:pt idx="66">
                  <c:v>15.333333333333334</c:v>
                </c:pt>
                <c:pt idx="67">
                  <c:v>17.63959390862944</c:v>
                </c:pt>
                <c:pt idx="68">
                  <c:v>19.892183288409704</c:v>
                </c:pt>
                <c:pt idx="69">
                  <c:v>16.193870277975766</c:v>
                </c:pt>
                <c:pt idx="70">
                  <c:v>17.276037873270212</c:v>
                </c:pt>
                <c:pt idx="71">
                  <c:v>16.586599241466498</c:v>
                </c:pt>
                <c:pt idx="72">
                  <c:v>19.23076923076923</c:v>
                </c:pt>
                <c:pt idx="73">
                  <c:v>23.381754793724578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'Coal (Adjusted)'!$M$6</c:f>
              <c:strCache>
                <c:ptCount val="1"/>
                <c:pt idx="0">
                  <c:v>Palestine, Imports, in s/ton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(Adjusted)'!$M$7:$M$107</c:f>
              <c:numCache>
                <c:formatCode>0.0000</c:formatCode>
                <c:ptCount val="101"/>
                <c:pt idx="36">
                  <c:v>32.558139534883743</c:v>
                </c:pt>
                <c:pt idx="37">
                  <c:v>29.876262626262616</c:v>
                </c:pt>
                <c:pt idx="39">
                  <c:v>31.111111111111093</c:v>
                </c:pt>
                <c:pt idx="40">
                  <c:v>33.333333333333329</c:v>
                </c:pt>
                <c:pt idx="41">
                  <c:v>35.555555555555571</c:v>
                </c:pt>
                <c:pt idx="42">
                  <c:v>40.000000000000007</c:v>
                </c:pt>
                <c:pt idx="43">
                  <c:v>41.328413284132843</c:v>
                </c:pt>
                <c:pt idx="44">
                  <c:v>42.647058823529399</c:v>
                </c:pt>
                <c:pt idx="45">
                  <c:v>29.999999999999996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29.999999999999996</c:v>
                </c:pt>
                <c:pt idx="51">
                  <c:v>76.363636363636161</c:v>
                </c:pt>
                <c:pt idx="52">
                  <c:v>30.624999999999996</c:v>
                </c:pt>
                <c:pt idx="53">
                  <c:v>31.280898876404486</c:v>
                </c:pt>
                <c:pt idx="54">
                  <c:v>29.999999999999996</c:v>
                </c:pt>
                <c:pt idx="55">
                  <c:v>30.294117647058808</c:v>
                </c:pt>
                <c:pt idx="56">
                  <c:v>29.930795847750872</c:v>
                </c:pt>
                <c:pt idx="57">
                  <c:v>27.874999999999979</c:v>
                </c:pt>
                <c:pt idx="58">
                  <c:v>31.999999999999986</c:v>
                </c:pt>
                <c:pt idx="59">
                  <c:v>37.702127659574472</c:v>
                </c:pt>
                <c:pt idx="60">
                  <c:v>39.044092898014135</c:v>
                </c:pt>
                <c:pt idx="61">
                  <c:v>35.115511551155123</c:v>
                </c:pt>
                <c:pt idx="62">
                  <c:v>17.303370786516865</c:v>
                </c:pt>
                <c:pt idx="63">
                  <c:v>30.514579759862777</c:v>
                </c:pt>
                <c:pt idx="64">
                  <c:v>39.640718562874241</c:v>
                </c:pt>
                <c:pt idx="65">
                  <c:v>32.109181141439223</c:v>
                </c:pt>
                <c:pt idx="66">
                  <c:v>34.202650705429654</c:v>
                </c:pt>
                <c:pt idx="67">
                  <c:v>33.726866624122515</c:v>
                </c:pt>
                <c:pt idx="68">
                  <c:v>31.073797678275298</c:v>
                </c:pt>
                <c:pt idx="69">
                  <c:v>28.808691308691301</c:v>
                </c:pt>
                <c:pt idx="70">
                  <c:v>30.861538461538448</c:v>
                </c:pt>
                <c:pt idx="71">
                  <c:v>30.582714118107155</c:v>
                </c:pt>
                <c:pt idx="72">
                  <c:v>33.131283524342706</c:v>
                </c:pt>
                <c:pt idx="73">
                  <c:v>38.122012932246299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'Coal (Adjusted)'!$O$6</c:f>
              <c:strCache>
                <c:ptCount val="1"/>
                <c:pt idx="0">
                  <c:v>Damascus, Imports, in s/ton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(Adjusted)'!$O$7:$O$107</c:f>
              <c:numCache>
                <c:formatCode>0.0000</c:formatCode>
                <c:ptCount val="101"/>
                <c:pt idx="61">
                  <c:v>55.696202531645575</c:v>
                </c:pt>
                <c:pt idx="62">
                  <c:v>52</c:v>
                </c:pt>
                <c:pt idx="63">
                  <c:v>52.5</c:v>
                </c:pt>
                <c:pt idx="64">
                  <c:v>47.266666666666666</c:v>
                </c:pt>
                <c:pt idx="66">
                  <c:v>57.142857142857146</c:v>
                </c:pt>
                <c:pt idx="67">
                  <c:v>61.111111111111107</c:v>
                </c:pt>
                <c:pt idx="69">
                  <c:v>86.956521739130437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'Coal (Adjusted)'!$P$6</c:f>
              <c:strCache>
                <c:ptCount val="1"/>
                <c:pt idx="0">
                  <c:v>Beirut, Imports, in s/ton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(Adjusted)'!$P$7:$P$107</c:f>
              <c:numCache>
                <c:formatCode>0.0000</c:formatCode>
                <c:ptCount val="101"/>
                <c:pt idx="37">
                  <c:v>33.333333333333336</c:v>
                </c:pt>
                <c:pt idx="38">
                  <c:v>31.25</c:v>
                </c:pt>
                <c:pt idx="41">
                  <c:v>17</c:v>
                </c:pt>
                <c:pt idx="42">
                  <c:v>25</c:v>
                </c:pt>
                <c:pt idx="43">
                  <c:v>30</c:v>
                </c:pt>
                <c:pt idx="45">
                  <c:v>21.285714285714285</c:v>
                </c:pt>
                <c:pt idx="46">
                  <c:v>21.333333333333332</c:v>
                </c:pt>
                <c:pt idx="47">
                  <c:v>22.400000000000002</c:v>
                </c:pt>
                <c:pt idx="48">
                  <c:v>25</c:v>
                </c:pt>
                <c:pt idx="49">
                  <c:v>30</c:v>
                </c:pt>
                <c:pt idx="50">
                  <c:v>30</c:v>
                </c:pt>
                <c:pt idx="52">
                  <c:v>20</c:v>
                </c:pt>
                <c:pt idx="53">
                  <c:v>20</c:v>
                </c:pt>
                <c:pt idx="54">
                  <c:v>28</c:v>
                </c:pt>
                <c:pt idx="56">
                  <c:v>26.400000000000002</c:v>
                </c:pt>
                <c:pt idx="58">
                  <c:v>37</c:v>
                </c:pt>
                <c:pt idx="61">
                  <c:v>37</c:v>
                </c:pt>
                <c:pt idx="68">
                  <c:v>29.25</c:v>
                </c:pt>
                <c:pt idx="69">
                  <c:v>30</c:v>
                </c:pt>
                <c:pt idx="70">
                  <c:v>26</c:v>
                </c:pt>
                <c:pt idx="71">
                  <c:v>36</c:v>
                </c:pt>
                <c:pt idx="72">
                  <c:v>38</c:v>
                </c:pt>
                <c:pt idx="73">
                  <c:v>53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'Coal (Adjusted)'!$Q$6</c:f>
              <c:strCache>
                <c:ptCount val="1"/>
                <c:pt idx="0">
                  <c:v>Turkey, Imports, in s/ton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(Adjusted)'!$Q$7:$Q$107</c:f>
              <c:numCache>
                <c:formatCode>0.0000</c:formatCode>
                <c:ptCount val="101"/>
                <c:pt idx="59">
                  <c:v>19.183372484624559</c:v>
                </c:pt>
                <c:pt idx="60">
                  <c:v>16.19621741743838</c:v>
                </c:pt>
                <c:pt idx="61">
                  <c:v>14.227144203581521</c:v>
                </c:pt>
                <c:pt idx="62">
                  <c:v>13.321318391883821</c:v>
                </c:pt>
                <c:pt idx="63">
                  <c:v>12.868654611811541</c:v>
                </c:pt>
                <c:pt idx="64">
                  <c:v>15.70339095152352</c:v>
                </c:pt>
                <c:pt idx="65">
                  <c:v>12.995014180499959</c:v>
                </c:pt>
                <c:pt idx="66">
                  <c:v>13.756462827598499</c:v>
                </c:pt>
                <c:pt idx="67">
                  <c:v>15.804388308638979</c:v>
                </c:pt>
                <c:pt idx="68">
                  <c:v>12.981744421906701</c:v>
                </c:pt>
                <c:pt idx="69">
                  <c:v>13.711967545638938</c:v>
                </c:pt>
                <c:pt idx="70">
                  <c:v>12.894211576846299</c:v>
                </c:pt>
                <c:pt idx="71">
                  <c:v>14.367816091954019</c:v>
                </c:pt>
                <c:pt idx="72">
                  <c:v>16.05405405405406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'Coal (Adjusted)'!$R$6</c:f>
              <c:strCache>
                <c:ptCount val="1"/>
                <c:pt idx="0">
                  <c:v>Constantinople, Imports, in s/ton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(Adjusted)'!$R$7:$R$107</c:f>
              <c:numCache>
                <c:formatCode>0.0000</c:formatCode>
                <c:ptCount val="101"/>
                <c:pt idx="31">
                  <c:v>31</c:v>
                </c:pt>
                <c:pt idx="32">
                  <c:v>42.5</c:v>
                </c:pt>
                <c:pt idx="33">
                  <c:v>41</c:v>
                </c:pt>
                <c:pt idx="34">
                  <c:v>31</c:v>
                </c:pt>
                <c:pt idx="35">
                  <c:v>28</c:v>
                </c:pt>
                <c:pt idx="38">
                  <c:v>22.5</c:v>
                </c:pt>
                <c:pt idx="45">
                  <c:v>22.5</c:v>
                </c:pt>
                <c:pt idx="49">
                  <c:v>16.5</c:v>
                </c:pt>
                <c:pt idx="67">
                  <c:v>22.760526743619</c:v>
                </c:pt>
                <c:pt idx="70">
                  <c:v>20.1769362098402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'Coal (Adjusted)'!$S$6</c:f>
              <c:strCache>
                <c:ptCount val="1"/>
                <c:pt idx="0">
                  <c:v>Constantinople, Exports, in s/ton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(Adjusted)'!$S$7:$S$107</c:f>
              <c:numCache>
                <c:formatCode>0.0000</c:formatCode>
                <c:ptCount val="101"/>
                <c:pt idx="59">
                  <c:v>10.166666666666659</c:v>
                </c:pt>
                <c:pt idx="62">
                  <c:v>17</c:v>
                </c:pt>
                <c:pt idx="70">
                  <c:v>11</c:v>
                </c:pt>
                <c:pt idx="71">
                  <c:v>14</c:v>
                </c:pt>
                <c:pt idx="72">
                  <c:v>17.75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'Coal (Adjusted)'!$U$6</c:f>
              <c:strCache>
                <c:ptCount val="1"/>
                <c:pt idx="0">
                  <c:v>Izmir, , in s/ton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(Adjusted)'!$U$7:$U$107</c:f>
              <c:numCache>
                <c:formatCode>0.0000</c:formatCode>
                <c:ptCount val="101"/>
                <c:pt idx="24">
                  <c:v>42</c:v>
                </c:pt>
                <c:pt idx="25">
                  <c:v>35</c:v>
                </c:pt>
                <c:pt idx="26">
                  <c:v>30</c:v>
                </c:pt>
                <c:pt idx="28">
                  <c:v>35</c:v>
                </c:pt>
                <c:pt idx="29">
                  <c:v>35</c:v>
                </c:pt>
                <c:pt idx="31">
                  <c:v>34</c:v>
                </c:pt>
                <c:pt idx="32">
                  <c:v>52</c:v>
                </c:pt>
                <c:pt idx="34">
                  <c:v>50</c:v>
                </c:pt>
                <c:pt idx="35">
                  <c:v>34</c:v>
                </c:pt>
                <c:pt idx="36">
                  <c:v>42</c:v>
                </c:pt>
                <c:pt idx="37">
                  <c:v>39.952867242733696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32</c:v>
                </c:pt>
                <c:pt idx="42">
                  <c:v>30</c:v>
                </c:pt>
                <c:pt idx="43">
                  <c:v>24.000950768042308</c:v>
                </c:pt>
                <c:pt idx="44">
                  <c:v>23.999881379555767</c:v>
                </c:pt>
                <c:pt idx="45">
                  <c:v>22.000058721630111</c:v>
                </c:pt>
                <c:pt idx="46">
                  <c:v>20.999797714170121</c:v>
                </c:pt>
                <c:pt idx="48">
                  <c:v>24</c:v>
                </c:pt>
                <c:pt idx="49">
                  <c:v>23.999845982056911</c:v>
                </c:pt>
                <c:pt idx="50">
                  <c:v>21.147707979626485</c:v>
                </c:pt>
                <c:pt idx="51">
                  <c:v>24</c:v>
                </c:pt>
                <c:pt idx="52">
                  <c:v>28</c:v>
                </c:pt>
                <c:pt idx="54">
                  <c:v>23.999897877120645</c:v>
                </c:pt>
                <c:pt idx="65">
                  <c:v>12.000918310309032</c:v>
                </c:pt>
                <c:pt idx="66">
                  <c:v>10.565542825559501</c:v>
                </c:pt>
                <c:pt idx="67">
                  <c:v>12.856030637151754</c:v>
                </c:pt>
                <c:pt idx="68">
                  <c:v>11.780888030888031</c:v>
                </c:pt>
                <c:pt idx="70">
                  <c:v>13.670064874884151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'Coal (Adjusted)'!$V$6</c:f>
              <c:strCache>
                <c:ptCount val="1"/>
                <c:pt idx="0">
                  <c:v>Alexandretta, Imports, in s/ton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(Adjusted)'!$V$7:$V$107</c:f>
              <c:numCache>
                <c:formatCode>0.0000</c:formatCode>
                <c:ptCount val="101"/>
                <c:pt idx="53">
                  <c:v>20.65573770491801</c:v>
                </c:pt>
                <c:pt idx="54">
                  <c:v>21.693693693693671</c:v>
                </c:pt>
                <c:pt idx="55">
                  <c:v>21.963636363636347</c:v>
                </c:pt>
                <c:pt idx="56">
                  <c:v>20.610687022900748</c:v>
                </c:pt>
                <c:pt idx="57">
                  <c:v>22.344827586206879</c:v>
                </c:pt>
                <c:pt idx="58">
                  <c:v>22.153846153846132</c:v>
                </c:pt>
                <c:pt idx="59">
                  <c:v>29.999999999999972</c:v>
                </c:pt>
                <c:pt idx="60">
                  <c:v>29.999999999999968</c:v>
                </c:pt>
                <c:pt idx="61">
                  <c:v>39.499999999999964</c:v>
                </c:pt>
                <c:pt idx="62">
                  <c:v>28.911564625850311</c:v>
                </c:pt>
                <c:pt idx="63">
                  <c:v>24.863387978142054</c:v>
                </c:pt>
                <c:pt idx="64">
                  <c:v>25.030303030303006</c:v>
                </c:pt>
                <c:pt idx="65">
                  <c:v>24.999999999999979</c:v>
                </c:pt>
                <c:pt idx="66">
                  <c:v>24.999999999999979</c:v>
                </c:pt>
                <c:pt idx="67">
                  <c:v>24.999999999999979</c:v>
                </c:pt>
                <c:pt idx="68">
                  <c:v>25.020576131687221</c:v>
                </c:pt>
                <c:pt idx="69">
                  <c:v>25.093525179856094</c:v>
                </c:pt>
                <c:pt idx="70">
                  <c:v>23.148148148148127</c:v>
                </c:pt>
                <c:pt idx="71">
                  <c:v>24.464516129032255</c:v>
                </c:pt>
                <c:pt idx="72">
                  <c:v>29.699999999999996</c:v>
                </c:pt>
                <c:pt idx="73">
                  <c:v>27.720000000000002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'Coal (Adjusted)'!$X$6</c:f>
              <c:strCache>
                <c:ptCount val="1"/>
                <c:pt idx="0">
                  <c:v>Khorasan, Exports, in s/ton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(Adjusted)'!$X$7:$X$107</c:f>
              <c:numCache>
                <c:formatCode>0.0000</c:formatCode>
                <c:ptCount val="101"/>
                <c:pt idx="62">
                  <c:v>76.227239251339455</c:v>
                </c:pt>
                <c:pt idx="63">
                  <c:v>98.631592932111232</c:v>
                </c:pt>
                <c:pt idx="64">
                  <c:v>88.970609635629117</c:v>
                </c:pt>
                <c:pt idx="65">
                  <c:v>96.665639183257085</c:v>
                </c:pt>
                <c:pt idx="66">
                  <c:v>63.229226072662726</c:v>
                </c:pt>
                <c:pt idx="67">
                  <c:v>60.224047796863552</c:v>
                </c:pt>
                <c:pt idx="68">
                  <c:v>73.442622950819583</c:v>
                </c:pt>
                <c:pt idx="70">
                  <c:v>20.300742913700393</c:v>
                </c:pt>
                <c:pt idx="71">
                  <c:v>73.652331920048454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'Coal (Adjusted)'!$Z$6</c:f>
              <c:strCache>
                <c:ptCount val="1"/>
                <c:pt idx="0">
                  <c:v>Resht, Exports, in s/ton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(Adjusted)'!$Z$7:$Z$107</c:f>
              <c:numCache>
                <c:formatCode>0.0000</c:formatCode>
                <c:ptCount val="101"/>
                <c:pt idx="62">
                  <c:v>23.872129527816284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'Coal (Adjusted)'!$AA$6</c:f>
              <c:strCache>
                <c:ptCount val="1"/>
                <c:pt idx="0">
                  <c:v>Ghilan &amp; Tunekabun, Exports, in s/ton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(Adjusted)'!$AA$7:$AA$107</c:f>
              <c:numCache>
                <c:formatCode>0.0000</c:formatCode>
                <c:ptCount val="101"/>
                <c:pt idx="66">
                  <c:v>33.538329586850104</c:v>
                </c:pt>
                <c:pt idx="67">
                  <c:v>32.380059384278816</c:v>
                </c:pt>
                <c:pt idx="68">
                  <c:v>32.695002335357287</c:v>
                </c:pt>
                <c:pt idx="69">
                  <c:v>28.748648529463203</c:v>
                </c:pt>
                <c:pt idx="70">
                  <c:v>28.609945970375303</c:v>
                </c:pt>
              </c:numCache>
            </c:numRef>
          </c:val>
          <c:smooth val="0"/>
        </c:ser>
        <c:ser>
          <c:idx val="20"/>
          <c:order val="18"/>
          <c:tx>
            <c:strRef>
              <c:f>'Coal (Adjusted)'!$AB$6</c:f>
              <c:strCache>
                <c:ptCount val="1"/>
                <c:pt idx="0">
                  <c:v>Bahrain, Imports, in s/ton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(Adjusted)'!$AB$7:$AB$107</c:f>
              <c:numCache>
                <c:formatCode>0.0000</c:formatCode>
                <c:ptCount val="101"/>
                <c:pt idx="48">
                  <c:v>35.725490196078439</c:v>
                </c:pt>
                <c:pt idx="49">
                  <c:v>41.407249466950802</c:v>
                </c:pt>
                <c:pt idx="50">
                  <c:v>57.142857142857196</c:v>
                </c:pt>
                <c:pt idx="51">
                  <c:v>50.021052631578797</c:v>
                </c:pt>
                <c:pt idx="52">
                  <c:v>50.749999999999993</c:v>
                </c:pt>
                <c:pt idx="53">
                  <c:v>50.018018018017997</c:v>
                </c:pt>
                <c:pt idx="56">
                  <c:v>19.69131832797428</c:v>
                </c:pt>
                <c:pt idx="57">
                  <c:v>20.760869565217398</c:v>
                </c:pt>
                <c:pt idx="60">
                  <c:v>77.931034482758804</c:v>
                </c:pt>
                <c:pt idx="61">
                  <c:v>39.973924380704041</c:v>
                </c:pt>
                <c:pt idx="62">
                  <c:v>42.5</c:v>
                </c:pt>
                <c:pt idx="63">
                  <c:v>133.5703703703704</c:v>
                </c:pt>
                <c:pt idx="64">
                  <c:v>57.333333333333201</c:v>
                </c:pt>
                <c:pt idx="65">
                  <c:v>73.269841269841194</c:v>
                </c:pt>
                <c:pt idx="66">
                  <c:v>119.23333333333319</c:v>
                </c:pt>
                <c:pt idx="67">
                  <c:v>114.08934707903759</c:v>
                </c:pt>
                <c:pt idx="68">
                  <c:v>53.885350318471204</c:v>
                </c:pt>
                <c:pt idx="69">
                  <c:v>94.678780012978407</c:v>
                </c:pt>
                <c:pt idx="70">
                  <c:v>106.24430264357321</c:v>
                </c:pt>
                <c:pt idx="71">
                  <c:v>98.302180685358394</c:v>
                </c:pt>
                <c:pt idx="72">
                  <c:v>106.62915025323601</c:v>
                </c:pt>
              </c:numCache>
            </c:numRef>
          </c:val>
          <c:smooth val="0"/>
        </c:ser>
        <c:ser>
          <c:idx val="21"/>
          <c:order val="19"/>
          <c:tx>
            <c:strRef>
              <c:f>'Coal (Adjusted)'!$AC$6</c:f>
              <c:strCache>
                <c:ptCount val="1"/>
                <c:pt idx="0">
                  <c:v>Bahrain, Exports, in s/ton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(Adjusted)'!$AC$7:$AC$107</c:f>
              <c:numCache>
                <c:formatCode>0.0000</c:formatCode>
                <c:ptCount val="101"/>
                <c:pt idx="67">
                  <c:v>66.666666666666799</c:v>
                </c:pt>
              </c:numCache>
            </c:numRef>
          </c:val>
          <c:smooth val="0"/>
        </c:ser>
        <c:ser>
          <c:idx val="22"/>
          <c:order val="20"/>
          <c:tx>
            <c:strRef>
              <c:f>'Coal (Adjusted)'!$AD$6</c:f>
              <c:strCache>
                <c:ptCount val="1"/>
                <c:pt idx="0">
                  <c:v>Mohammerah, Imports, in s/ton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(Adjusted)'!$AD$7:$AD$107</c:f>
              <c:numCache>
                <c:formatCode>0.0000</c:formatCode>
                <c:ptCount val="101"/>
                <c:pt idx="51">
                  <c:v>39.823008849557603</c:v>
                </c:pt>
                <c:pt idx="52">
                  <c:v>35</c:v>
                </c:pt>
                <c:pt idx="53">
                  <c:v>31.840000000000003</c:v>
                </c:pt>
                <c:pt idx="54">
                  <c:v>30</c:v>
                </c:pt>
                <c:pt idx="55">
                  <c:v>24.285714285714199</c:v>
                </c:pt>
                <c:pt idx="56">
                  <c:v>29.908592321755002</c:v>
                </c:pt>
                <c:pt idx="57">
                  <c:v>36.046511627907002</c:v>
                </c:pt>
                <c:pt idx="58">
                  <c:v>30</c:v>
                </c:pt>
                <c:pt idx="59">
                  <c:v>36.6666666666666</c:v>
                </c:pt>
                <c:pt idx="60">
                  <c:v>50</c:v>
                </c:pt>
                <c:pt idx="61">
                  <c:v>20.9302325581396</c:v>
                </c:pt>
                <c:pt idx="62">
                  <c:v>40</c:v>
                </c:pt>
                <c:pt idx="67">
                  <c:v>19.2</c:v>
                </c:pt>
                <c:pt idx="68">
                  <c:v>47.074468085106396</c:v>
                </c:pt>
                <c:pt idx="69">
                  <c:v>46.704000000000001</c:v>
                </c:pt>
              </c:numCache>
            </c:numRef>
          </c:val>
          <c:smooth val="0"/>
        </c:ser>
        <c:ser>
          <c:idx val="23"/>
          <c:order val="21"/>
          <c:tx>
            <c:strRef>
              <c:f>'Coal (Adjusted)'!$AE$6</c:f>
              <c:strCache>
                <c:ptCount val="1"/>
                <c:pt idx="0">
                  <c:v>Lingah, Imports, in s/ton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(Adjusted)'!$AE$7:$AE$107</c:f>
              <c:numCache>
                <c:formatCode>0.0000</c:formatCode>
                <c:ptCount val="101"/>
                <c:pt idx="57">
                  <c:v>31.071428571428562</c:v>
                </c:pt>
                <c:pt idx="58">
                  <c:v>38.666666666666686</c:v>
                </c:pt>
                <c:pt idx="59">
                  <c:v>53.451327433628407</c:v>
                </c:pt>
                <c:pt idx="60">
                  <c:v>53.226666666666802</c:v>
                </c:pt>
                <c:pt idx="61">
                  <c:v>53.333333333333201</c:v>
                </c:pt>
                <c:pt idx="62">
                  <c:v>69.97690531177841</c:v>
                </c:pt>
                <c:pt idx="63">
                  <c:v>84</c:v>
                </c:pt>
                <c:pt idx="64">
                  <c:v>84.552845528455194</c:v>
                </c:pt>
                <c:pt idx="65">
                  <c:v>78.705281090289603</c:v>
                </c:pt>
                <c:pt idx="66">
                  <c:v>64.625131995776002</c:v>
                </c:pt>
                <c:pt idx="67">
                  <c:v>87.635625181317195</c:v>
                </c:pt>
                <c:pt idx="68">
                  <c:v>117.66200762388802</c:v>
                </c:pt>
              </c:numCache>
            </c:numRef>
          </c:val>
          <c:smooth val="0"/>
        </c:ser>
        <c:ser>
          <c:idx val="24"/>
          <c:order val="22"/>
          <c:tx>
            <c:strRef>
              <c:f>'Coal (Adjusted)'!$AF$6</c:f>
              <c:strCache>
                <c:ptCount val="1"/>
                <c:pt idx="0">
                  <c:v>Lingah, Exports, in s/ton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'Coal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'Coal (Adjusted)'!$AF$7:$AF$107</c:f>
              <c:numCache>
                <c:formatCode>0.0000</c:formatCode>
                <c:ptCount val="101"/>
                <c:pt idx="66">
                  <c:v>85.207100591715999</c:v>
                </c:pt>
                <c:pt idx="67">
                  <c:v>67.632850241546009</c:v>
                </c:pt>
                <c:pt idx="68">
                  <c:v>153.46534653465361</c:v>
                </c:pt>
                <c:pt idx="69">
                  <c:v>102.57477243172961</c:v>
                </c:pt>
                <c:pt idx="70">
                  <c:v>57.711442786069597</c:v>
                </c:pt>
                <c:pt idx="71">
                  <c:v>99.587345254470407</c:v>
                </c:pt>
                <c:pt idx="72">
                  <c:v>89.072847682119203</c:v>
                </c:pt>
              </c:numCache>
            </c:numRef>
          </c:val>
          <c:smooth val="0"/>
        </c:ser>
        <c:ser>
          <c:idx val="0"/>
          <c:order val="23"/>
          <c:tx>
            <c:strRef>
              <c:f>'Coal (Adjusted)'!$AG$6</c:f>
              <c:strCache>
                <c:ptCount val="1"/>
                <c:pt idx="0">
                  <c:v>India, Imports, in s/ton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'Coal (Adjusted)'!$AG$7:$AG$107</c:f>
              <c:numCache>
                <c:formatCode>General</c:formatCode>
                <c:ptCount val="101"/>
                <c:pt idx="25" formatCode="0.0000">
                  <c:v>41.473361323542186</c:v>
                </c:pt>
                <c:pt idx="26" formatCode="0.0000">
                  <c:v>38.652651646823671</c:v>
                </c:pt>
                <c:pt idx="27" formatCode="0.0000">
                  <c:v>41.606565568784212</c:v>
                </c:pt>
                <c:pt idx="28" formatCode="0.0000">
                  <c:v>44.869825613394738</c:v>
                </c:pt>
                <c:pt idx="29" formatCode="0.0000">
                  <c:v>34.915125937834937</c:v>
                </c:pt>
                <c:pt idx="30" formatCode="0.0000">
                  <c:v>28.368112887807417</c:v>
                </c:pt>
                <c:pt idx="31" formatCode="0.0000">
                  <c:v>36.368174444540998</c:v>
                </c:pt>
                <c:pt idx="32" formatCode="0.0000">
                  <c:v>34.842912647374064</c:v>
                </c:pt>
                <c:pt idx="33" formatCode="0.0000">
                  <c:v>49.496314496314447</c:v>
                </c:pt>
                <c:pt idx="34" formatCode="0.0000">
                  <c:v>53.488943488943491</c:v>
                </c:pt>
                <c:pt idx="35" formatCode="0.0000">
                  <c:v>34.469696969696969</c:v>
                </c:pt>
                <c:pt idx="36" formatCode="0.0000">
                  <c:v>36.289926289926292</c:v>
                </c:pt>
                <c:pt idx="37" formatCode="0.0000">
                  <c:v>30.750665438165441</c:v>
                </c:pt>
                <c:pt idx="38" formatCode="0.0000">
                  <c:v>30.134111384111382</c:v>
                </c:pt>
                <c:pt idx="39" formatCode="0.0000">
                  <c:v>34.208640458640467</c:v>
                </c:pt>
                <c:pt idx="40" formatCode="0.0000">
                  <c:v>32.522522522522529</c:v>
                </c:pt>
                <c:pt idx="41" formatCode="0.0000">
                  <c:v>25.716753685503694</c:v>
                </c:pt>
                <c:pt idx="42" formatCode="0.0000">
                  <c:v>21.563267813267814</c:v>
                </c:pt>
                <c:pt idx="43" formatCode="0.0000">
                  <c:v>24.225276412776413</c:v>
                </c:pt>
                <c:pt idx="44" formatCode="0.0000">
                  <c:v>27.157555282555286</c:v>
                </c:pt>
                <c:pt idx="45" formatCode="0.0000">
                  <c:v>24.26136363636364</c:v>
                </c:pt>
                <c:pt idx="46" formatCode="0.0000">
                  <c:v>20.810810810810814</c:v>
                </c:pt>
                <c:pt idx="47" formatCode="0.0000">
                  <c:v>21.776463963963966</c:v>
                </c:pt>
                <c:pt idx="48" formatCode="0.0000">
                  <c:v>27.038288288288296</c:v>
                </c:pt>
                <c:pt idx="49" formatCode="0.0000">
                  <c:v>24.123157248157248</c:v>
                </c:pt>
                <c:pt idx="50" formatCode="0.0000">
                  <c:v>26.592956592956593</c:v>
                </c:pt>
                <c:pt idx="51" formatCode="0.0000">
                  <c:v>18.453112203112205</c:v>
                </c:pt>
                <c:pt idx="52" formatCode="0.0000">
                  <c:v>19.207616707616708</c:v>
                </c:pt>
                <c:pt idx="53" formatCode="0.0000">
                  <c:v>18.153443766712989</c:v>
                </c:pt>
                <c:pt idx="54" formatCode="0.0000">
                  <c:v>15.89216216184432</c:v>
                </c:pt>
                <c:pt idx="55" formatCode="0.0000">
                  <c:v>16.366659628346415</c:v>
                </c:pt>
                <c:pt idx="56" formatCode="0.0000">
                  <c:v>22.972972972923461</c:v>
                </c:pt>
                <c:pt idx="57" formatCode="0.0000">
                  <c:v>23.039147395411291</c:v>
                </c:pt>
                <c:pt idx="58" formatCode="0.0000">
                  <c:v>20.021114864864863</c:v>
                </c:pt>
                <c:pt idx="59" formatCode="0.0000">
                  <c:v>22.363096080432108</c:v>
                </c:pt>
                <c:pt idx="60" formatCode="0.0000">
                  <c:v>28.15945946016345</c:v>
                </c:pt>
                <c:pt idx="61" formatCode="0.0000">
                  <c:v>30.669800235009294</c:v>
                </c:pt>
                <c:pt idx="62" formatCode="0.0000">
                  <c:v>22.916666666666664</c:v>
                </c:pt>
                <c:pt idx="63" formatCode="0.0000">
                  <c:v>19.195064629842022</c:v>
                </c:pt>
                <c:pt idx="64" formatCode="0.0000">
                  <c:v>22.017862277229348</c:v>
                </c:pt>
                <c:pt idx="65" formatCode="0.0000">
                  <c:v>19.415371621670154</c:v>
                </c:pt>
                <c:pt idx="66" formatCode="0.0000">
                  <c:v>22.757985257933541</c:v>
                </c:pt>
                <c:pt idx="67" formatCode="0.0000">
                  <c:v>26.434459460120323</c:v>
                </c:pt>
                <c:pt idx="68" formatCode="0.0000">
                  <c:v>26.998742928897002</c:v>
                </c:pt>
                <c:pt idx="69" formatCode="0.0000">
                  <c:v>21.978764478764479</c:v>
                </c:pt>
                <c:pt idx="70" formatCode="0.0000">
                  <c:v>20.127550969062369</c:v>
                </c:pt>
                <c:pt idx="71" formatCode="0.0000">
                  <c:v>22.062248418690075</c:v>
                </c:pt>
                <c:pt idx="72" formatCode="0.0000">
                  <c:v>24.186386847621439</c:v>
                </c:pt>
                <c:pt idx="73" formatCode="0.0000">
                  <c:v>27.791709979203294</c:v>
                </c:pt>
                <c:pt idx="74" formatCode="0.0000">
                  <c:v>17.625000000000004</c:v>
                </c:pt>
                <c:pt idx="75" formatCode="0.0000">
                  <c:v>24.562500000000004</c:v>
                </c:pt>
                <c:pt idx="76" formatCode="0.0000">
                  <c:v>30.000000000000004</c:v>
                </c:pt>
                <c:pt idx="77" formatCode="0.0000">
                  <c:v>33.750000000000007</c:v>
                </c:pt>
                <c:pt idx="78" formatCode="0.0000">
                  <c:v>50.378906250000007</c:v>
                </c:pt>
                <c:pt idx="79" formatCode="0.0000">
                  <c:v>31.816406250000004</c:v>
                </c:pt>
                <c:pt idx="80" formatCode="0.0000">
                  <c:v>37.957031250000007</c:v>
                </c:pt>
                <c:pt idx="81" formatCode="0.0000">
                  <c:v>32.0234375</c:v>
                </c:pt>
                <c:pt idx="82" formatCode="0.0000">
                  <c:v>29.250000000000004</c:v>
                </c:pt>
                <c:pt idx="83" formatCode="0.0000">
                  <c:v>27.000000000000004</c:v>
                </c:pt>
                <c:pt idx="84" formatCode="0.0000">
                  <c:v>25.875000000000004</c:v>
                </c:pt>
                <c:pt idx="85" formatCode="0.0000">
                  <c:v>22.406250000000004</c:v>
                </c:pt>
                <c:pt idx="86" formatCode="0.0000">
                  <c:v>17.410156250000004</c:v>
                </c:pt>
                <c:pt idx="87" formatCode="0.0000">
                  <c:v>14.386718750000004</c:v>
                </c:pt>
                <c:pt idx="88" formatCode="0.0000">
                  <c:v>12.642578125000002</c:v>
                </c:pt>
                <c:pt idx="89" formatCode="0.0000">
                  <c:v>12.945312500000004</c:v>
                </c:pt>
                <c:pt idx="90" formatCode="0.0000">
                  <c:v>10.661764705882351</c:v>
                </c:pt>
                <c:pt idx="91" formatCode="0.0000">
                  <c:v>10.022058823529411</c:v>
                </c:pt>
              </c:numCache>
            </c:numRef>
          </c:val>
          <c:smooth val="0"/>
        </c:ser>
        <c:ser>
          <c:idx val="1"/>
          <c:order val="24"/>
          <c:tx>
            <c:strRef>
              <c:f>'Coal (Adjusted)'!$AH$6</c:f>
              <c:strCache>
                <c:ptCount val="1"/>
                <c:pt idx="0">
                  <c:v>India, Coal and Coke, Imports, in s/ton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'Coal (Adjusted)'!$AH$7:$AH$107</c:f>
              <c:numCache>
                <c:formatCode>General</c:formatCode>
                <c:ptCount val="101"/>
                <c:pt idx="28" formatCode="_(* #,##0.0000_);_(* \(#,##0.0000\);_(* &quot;-&quot;??_);_(@_)">
                  <c:v>44.324697467891241</c:v>
                </c:pt>
                <c:pt idx="29" formatCode="_(* #,##0.0000_);_(* \(#,##0.0000\);_(* &quot;-&quot;??_);_(@_)">
                  <c:v>40.914990840946828</c:v>
                </c:pt>
                <c:pt idx="30" formatCode="_(* #,##0.0000_);_(* \(#,##0.0000\);_(* &quot;-&quot;??_);_(@_)">
                  <c:v>32.310969874459602</c:v>
                </c:pt>
                <c:pt idx="31" formatCode="_(* #,##0.0000_);_(* \(#,##0.0000\);_(* &quot;-&quot;??_);_(@_)">
                  <c:v>32.643511076944584</c:v>
                </c:pt>
                <c:pt idx="32" formatCode="_(* #,##0.0000_);_(* \(#,##0.0000\);_(* &quot;-&quot;??_);_(@_)">
                  <c:v>27.516803993938534</c:v>
                </c:pt>
                <c:pt idx="33" formatCode="_(* #,##0.0000_);_(* \(#,##0.0000\);_(* &quot;-&quot;??_);_(@_)">
                  <c:v>30.676753799616804</c:v>
                </c:pt>
                <c:pt idx="34" formatCode="_(* #,##0.0000_);_(* \(#,##0.0000\);_(* &quot;-&quot;??_);_(@_)">
                  <c:v>41.123636090835589</c:v>
                </c:pt>
                <c:pt idx="35" formatCode="_(* #,##0.0000_);_(* \(#,##0.0000\);_(* &quot;-&quot;??_);_(@_)">
                  <c:v>38.121496819301001</c:v>
                </c:pt>
                <c:pt idx="36" formatCode="_(* #,##0.0000_);_(* \(#,##0.0000\);_(* &quot;-&quot;??_);_(@_)">
                  <c:v>35.107241575760135</c:v>
                </c:pt>
                <c:pt idx="37" formatCode="_(* #,##0.0000_);_(* \(#,##0.0000\);_(* &quot;-&quot;??_);_(@_)">
                  <c:v>35.864036075361014</c:v>
                </c:pt>
                <c:pt idx="38" formatCode="_(* #,##0.0000_);_(* \(#,##0.0000\);_(* &quot;-&quot;??_);_(@_)">
                  <c:v>28.872706976454619</c:v>
                </c:pt>
                <c:pt idx="39" formatCode="_(* #,##0.0000_);_(* \(#,##0.0000\);_(* &quot;-&quot;??_);_(@_)">
                  <c:v>31.376353108221334</c:v>
                </c:pt>
                <c:pt idx="40" formatCode="_(* #,##0.0000_);_(* \(#,##0.0000\);_(* &quot;-&quot;??_);_(@_)">
                  <c:v>33.138138751070954</c:v>
                </c:pt>
                <c:pt idx="41" formatCode="_(* #,##0.0000_);_(* \(#,##0.0000\);_(* &quot;-&quot;??_);_(@_)">
                  <c:v>30.703789493868886</c:v>
                </c:pt>
                <c:pt idx="42" formatCode="_(* #,##0.0000_);_(* \(#,##0.0000\);_(* &quot;-&quot;??_);_(@_)">
                  <c:v>27.076924420926531</c:v>
                </c:pt>
                <c:pt idx="43" formatCode="_(* #,##0.0000_);_(* \(#,##0.0000\);_(* &quot;-&quot;??_);_(@_)">
                  <c:v>26.86544943173984</c:v>
                </c:pt>
                <c:pt idx="44" formatCode="_(* #,##0.0000_);_(* \(#,##0.0000\);_(* &quot;-&quot;??_);_(@_)">
                  <c:v>27.247783611797285</c:v>
                </c:pt>
                <c:pt idx="45" formatCode="_(* #,##0.0000_);_(* \(#,##0.0000\);_(* &quot;-&quot;??_);_(@_)">
                  <c:v>27.202021265099351</c:v>
                </c:pt>
                <c:pt idx="46" formatCode="_(* #,##0.0000_);_(* \(#,##0.0000\);_(* &quot;-&quot;??_);_(@_)">
                  <c:v>24.590560684462801</c:v>
                </c:pt>
                <c:pt idx="47" formatCode="_(* #,##0.0000_);_(* \(#,##0.0000\);_(* &quot;-&quot;??_);_(@_)">
                  <c:v>25.17379483554771</c:v>
                </c:pt>
                <c:pt idx="48" formatCode="_(* #,##0.0000_);_(* \(#,##0.0000\);_(* &quot;-&quot;??_);_(@_)">
                  <c:v>27.531715618048409</c:v>
                </c:pt>
                <c:pt idx="49" formatCode="_(* #,##0.0000_);_(* \(#,##0.0000\);_(* &quot;-&quot;??_);_(@_)">
                  <c:v>32.000009392963982</c:v>
                </c:pt>
                <c:pt idx="50" formatCode="_(* #,##0.0000_);_(* \(#,##0.0000\);_(* &quot;-&quot;??_);_(@_)">
                  <c:v>34.03307741637655</c:v>
                </c:pt>
                <c:pt idx="51" formatCode="_(* #,##0.0000_);_(* \(#,##0.0000\);_(* &quot;-&quot;??_);_(@_)">
                  <c:v>29.03796621738314</c:v>
                </c:pt>
                <c:pt idx="52" formatCode="_(* #,##0.0000_);_(* \(#,##0.0000\);_(* &quot;-&quot;??_);_(@_)">
                  <c:v>22.095932105009805</c:v>
                </c:pt>
                <c:pt idx="53" formatCode="_(* #,##0.0000_);_(* \(#,##0.0000\);_(* &quot;-&quot;??_);_(@_)">
                  <c:v>22.046971357437112</c:v>
                </c:pt>
                <c:pt idx="54" formatCode="_(* #,##0.0000_);_(* \(#,##0.0000\);_(* &quot;-&quot;??_);_(@_)">
                  <c:v>17.534207003079775</c:v>
                </c:pt>
                <c:pt idx="55" formatCode="_(* #,##0.0000_);_(* \(#,##0.0000\);_(* &quot;-&quot;??_);_(@_)">
                  <c:v>18.031342443184862</c:v>
                </c:pt>
                <c:pt idx="56" formatCode="_(* #,##0.0000_);_(* \(#,##0.0000\);_(* &quot;-&quot;??_);_(@_)">
                  <c:v>21.145948769210928</c:v>
                </c:pt>
                <c:pt idx="57" formatCode="_(* #,##0.0000_);_(* \(#,##0.0000\);_(* &quot;-&quot;??_);_(@_)">
                  <c:v>24.304544110069884</c:v>
                </c:pt>
                <c:pt idx="58" formatCode="_(* #,##0.0000_);_(* \(#,##0.0000\);_(* &quot;-&quot;??_);_(@_)">
                  <c:v>24.819692423464691</c:v>
                </c:pt>
                <c:pt idx="59" formatCode="_(* #,##0.0000_);_(* \(#,##0.0000\);_(* &quot;-&quot;??_);_(@_)">
                  <c:v>25.872325011145783</c:v>
                </c:pt>
                <c:pt idx="60" formatCode="_(* #,##0.0000_);_(* \(#,##0.0000\);_(* &quot;-&quot;??_);_(@_)">
                  <c:v>25.576405856393354</c:v>
                </c:pt>
                <c:pt idx="61" formatCode="_(* #,##0.0000_);_(* \(#,##0.0000\);_(* &quot;-&quot;??_);_(@_)">
                  <c:v>32.123187608979094</c:v>
                </c:pt>
                <c:pt idx="62" formatCode="_(* #,##0.0000_);_(* \(#,##0.0000\);_(* &quot;-&quot;??_);_(@_)">
                  <c:v>26.13685075450945</c:v>
                </c:pt>
                <c:pt idx="63" formatCode="_(* #,##0.0000_);_(* \(#,##0.0000\);_(* &quot;-&quot;??_);_(@_)">
                  <c:v>25.072018961954541</c:v>
                </c:pt>
                <c:pt idx="64" formatCode="_(* #,##0.0000_);_(* \(#,##0.0000\);_(* &quot;-&quot;??_);_(@_)">
                  <c:v>25.01455232170629</c:v>
                </c:pt>
                <c:pt idx="65" formatCode="_(* #,##0.0000_);_(* \(#,##0.0000\);_(* &quot;-&quot;??_);_(@_)">
                  <c:v>23.489557951290251</c:v>
                </c:pt>
                <c:pt idx="66" formatCode="_(* #,##0.0000_);_(* \(#,##0.0000\);_(* &quot;-&quot;??_);_(@_)">
                  <c:v>23.799594297940921</c:v>
                </c:pt>
                <c:pt idx="67" formatCode="_(* #,##0.0000_);_(* \(#,##0.0000\);_(* &quot;-&quot;??_);_(@_)">
                  <c:v>25.193874099446742</c:v>
                </c:pt>
                <c:pt idx="68" formatCode="_(* #,##0.0000_);_(* \(#,##0.0000\);_(* &quot;-&quot;??_);_(@_)">
                  <c:v>25.662952248757897</c:v>
                </c:pt>
                <c:pt idx="69" formatCode="_(* #,##0.0000_);_(* \(#,##0.0000\);_(* &quot;-&quot;??_);_(@_)">
                  <c:v>24.059270830133876</c:v>
                </c:pt>
                <c:pt idx="70" formatCode="_(* #,##0.0000_);_(* \(#,##0.0000\);_(* &quot;-&quot;??_);_(@_)">
                  <c:v>22.591573617090788</c:v>
                </c:pt>
                <c:pt idx="71" formatCode="_(* #,##0.0000_);_(* \(#,##0.0000\);_(* &quot;-&quot;??_);_(@_)">
                  <c:v>22.826851317100612</c:v>
                </c:pt>
                <c:pt idx="72" formatCode="_(* #,##0.0000_);_(* \(#,##0.0000\);_(* &quot;-&quot;??_);_(@_)">
                  <c:v>22.957181986626924</c:v>
                </c:pt>
                <c:pt idx="73" formatCode="_(* #,##0.0000_);_(* \(#,##0.0000\);_(* &quot;-&quot;??_);_(@_)">
                  <c:v>23.804562991246669</c:v>
                </c:pt>
                <c:pt idx="74" formatCode="_(* #,##0.0000_);_(* \(#,##0.0000\);_(* &quot;-&quot;??_);_(@_)">
                  <c:v>25.426778018204903</c:v>
                </c:pt>
                <c:pt idx="75" formatCode="_(* #,##0.0000_);_(* \(#,##0.0000\);_(* &quot;-&quot;??_);_(@_)">
                  <c:v>26.678853145284243</c:v>
                </c:pt>
                <c:pt idx="76" formatCode="_(* #,##0.0000_);_(* \(#,##0.0000\);_(* &quot;-&quot;??_);_(@_)">
                  <c:v>27.49455304611881</c:v>
                </c:pt>
                <c:pt idx="77" formatCode="_(* #,##0.0000_);_(* \(#,##0.0000\);_(* &quot;-&quot;??_);_(@_)">
                  <c:v>41.928981553121304</c:v>
                </c:pt>
                <c:pt idx="78" formatCode="_(* #,##0.0000_);_(* \(#,##0.0000\);_(* &quot;-&quot;??_);_(@_)">
                  <c:v>39.975795715841699</c:v>
                </c:pt>
                <c:pt idx="79" formatCode="_(* #,##0.0000_);_(* \(#,##0.0000\);_(* &quot;-&quot;??_);_(@_)">
                  <c:v>46.287458706937237</c:v>
                </c:pt>
                <c:pt idx="80" formatCode="_(* #,##0.0000_);_(* \(#,##0.0000\);_(* &quot;-&quot;??_);_(@_)">
                  <c:v>65.023519295938499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'Coal (Adjusted)'!$AI$6</c:f>
              <c:strCache>
                <c:ptCount val="1"/>
                <c:pt idx="0">
                  <c:v>India, Exports, in s/ton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'Coal (Adjusted)'!$AI$7:$AI$107</c:f>
              <c:numCache>
                <c:formatCode>General</c:formatCode>
                <c:ptCount val="101"/>
                <c:pt idx="49" formatCode="_(* #,##0.0000_);_(* \(#,##0.0000\);_(* &quot;-&quot;??_);_(@_)">
                  <c:v>4.8945536445536444</c:v>
                </c:pt>
                <c:pt idx="50" formatCode="_(* #,##0.0000_);_(* \(#,##0.0000\);_(* &quot;-&quot;??_);_(@_)">
                  <c:v>5.621672809172809</c:v>
                </c:pt>
                <c:pt idx="51" formatCode="_(* #,##0.0000_);_(* \(#,##0.0000\);_(* &quot;-&quot;??_);_(@_)">
                  <c:v>5.1207386363636367</c:v>
                </c:pt>
                <c:pt idx="52" formatCode="_(* #,##0.0000_);_(* \(#,##0.0000\);_(* &quot;-&quot;??_);_(@_)">
                  <c:v>4.5984336609336607</c:v>
                </c:pt>
                <c:pt idx="53" formatCode="_(* #,##0.0000_);_(* \(#,##0.0000\);_(* &quot;-&quot;??_);_(@_)">
                  <c:v>4.0688753270218774</c:v>
                </c:pt>
                <c:pt idx="54" formatCode="_(* #,##0.0000_);_(* \(#,##0.0000\);_(* &quot;-&quot;??_);_(@_)">
                  <c:v>3.1909459458821274</c:v>
                </c:pt>
                <c:pt idx="55" formatCode="_(* #,##0.0000_);_(* \(#,##0.0000\);_(* &quot;-&quot;??_);_(@_)">
                  <c:v>4.2175622888431148</c:v>
                </c:pt>
                <c:pt idx="56" formatCode="_(* #,##0.0000_);_(* \(#,##0.0000\);_(* &quot;-&quot;??_);_(@_)">
                  <c:v>4.8817567567462357</c:v>
                </c:pt>
                <c:pt idx="57" formatCode="_(* #,##0.0000_);_(* \(#,##0.0000\);_(* &quot;-&quot;??_);_(@_)">
                  <c:v>4.3006408471434412</c:v>
                </c:pt>
                <c:pt idx="58" formatCode="_(* #,##0.0000_);_(* \(#,##0.0000\);_(* &quot;-&quot;??_);_(@_)">
                  <c:v>4.0952280405405403</c:v>
                </c:pt>
                <c:pt idx="59" formatCode="_(* #,##0.0000_);_(* \(#,##0.0000\);_(* &quot;-&quot;??_);_(@_)">
                  <c:v>4.6589783500900221</c:v>
                </c:pt>
                <c:pt idx="60" formatCode="_(* #,##0.0000_);_(* \(#,##0.0000\);_(* &quot;-&quot;??_);_(@_)">
                  <c:v>4.7442567568753642</c:v>
                </c:pt>
                <c:pt idx="61" formatCode="_(* #,##0.0000_);_(* \(#,##0.0000\);_(* &quot;-&quot;??_);_(@_)">
                  <c:v>5.3512411868375596</c:v>
                </c:pt>
                <c:pt idx="62" formatCode="_(* #,##0.0000_);_(* \(#,##0.0000\);_(* &quot;-&quot;??_);_(@_)">
                  <c:v>5.0710867117117111</c:v>
                </c:pt>
                <c:pt idx="63" formatCode="_(* #,##0.0000_);_(* \(#,##0.0000\);_(* &quot;-&quot;??_);_(@_)">
                  <c:v>3.9626175088120839</c:v>
                </c:pt>
                <c:pt idx="64" formatCode="_(* #,##0.0000_);_(* \(#,##0.0000\);_(* &quot;-&quot;??_);_(@_)">
                  <c:v>4.2517251293960117</c:v>
                </c:pt>
                <c:pt idx="65" formatCode="_(* #,##0.0000_);_(* \(#,##0.0000\);_(* &quot;-&quot;??_);_(@_)">
                  <c:v>3.9131756756854577</c:v>
                </c:pt>
                <c:pt idx="66" formatCode="_(* #,##0.0000_);_(* \(#,##0.0000\);_(* &quot;-&quot;??_);_(@_)">
                  <c:v>3.9447174447084801</c:v>
                </c:pt>
                <c:pt idx="67" formatCode="_(* #,##0.0000_);_(* \(#,##0.0000\);_(* &quot;-&quot;??_);_(@_)">
                  <c:v>5.2216216217521625</c:v>
                </c:pt>
                <c:pt idx="68" formatCode="_(* #,##0.0000_);_(* \(#,##0.0000\);_(* &quot;-&quot;??_);_(@_)">
                  <c:v>7.3632935260628187</c:v>
                </c:pt>
                <c:pt idx="69" formatCode="_(* #,##0.0000_);_(* \(#,##0.0000\);_(* &quot;-&quot;??_);_(@_)">
                  <c:v>5.4946911196911197</c:v>
                </c:pt>
                <c:pt idx="70" formatCode="_(* #,##0.0000_);_(* \(#,##0.0000\);_(* &quot;-&quot;??_);_(@_)">
                  <c:v>4.2159059462225237</c:v>
                </c:pt>
                <c:pt idx="71" formatCode="_(* #,##0.0000_);_(* \(#,##0.0000\);_(* &quot;-&quot;??_);_(@_)">
                  <c:v>4.3841647498678995</c:v>
                </c:pt>
                <c:pt idx="72" formatCode="_(* #,##0.0000_);_(* \(#,##0.0000\);_(* &quot;-&quot;??_);_(@_)">
                  <c:v>4.4737825382883587</c:v>
                </c:pt>
                <c:pt idx="73" formatCode="_(* #,##0.0000_);_(* \(#,##0.0000\);_(* &quot;-&quot;??_);_(@_)">
                  <c:v>4.7990839397077849</c:v>
                </c:pt>
                <c:pt idx="74" formatCode="_(* #,##0.0000_);_(* \(#,##0.0000\);_(* &quot;-&quot;??_);_(@_)">
                  <c:v>3.6835937500000004</c:v>
                </c:pt>
                <c:pt idx="75" formatCode="_(* #,##0.0000_);_(* \(#,##0.0000\);_(* &quot;-&quot;??_);_(@_)">
                  <c:v>3.6738281250000004</c:v>
                </c:pt>
                <c:pt idx="76" formatCode="_(* #,##0.0000_);_(* \(#,##0.0000\);_(* &quot;-&quot;??_);_(@_)">
                  <c:v>3.3339843750000004</c:v>
                </c:pt>
                <c:pt idx="77" formatCode="_(* #,##0.0000_);_(* \(#,##0.0000\);_(* &quot;-&quot;??_);_(@_)">
                  <c:v>3.6074218750000004</c:v>
                </c:pt>
                <c:pt idx="78" formatCode="_(* #,##0.0000_);_(* \(#,##0.0000\);_(* &quot;-&quot;??_);_(@_)">
                  <c:v>3.9199218750000004</c:v>
                </c:pt>
                <c:pt idx="79" formatCode="_(* #,##0.0000_);_(* \(#,##0.0000\);_(* &quot;-&quot;??_);_(@_)">
                  <c:v>4.7949218750000009</c:v>
                </c:pt>
                <c:pt idx="80" formatCode="_(* #,##0.0000_);_(* \(#,##0.0000\);_(* &quot;-&quot;??_);_(@_)">
                  <c:v>7.5000000000000009</c:v>
                </c:pt>
                <c:pt idx="81" formatCode="_(* #,##0.0000_);_(* \(#,##0.0000\);_(* &quot;-&quot;??_);_(@_)">
                  <c:v>7.5000000000000009</c:v>
                </c:pt>
                <c:pt idx="82" formatCode="_(* #,##0.0000_);_(* \(#,##0.0000\);_(* &quot;-&quot;??_);_(@_)">
                  <c:v>13.500000000000002</c:v>
                </c:pt>
                <c:pt idx="83" formatCode="_(* #,##0.0000_);_(* \(#,##0.0000\);_(* &quot;-&quot;??_);_(@_)">
                  <c:v>13.125000000000002</c:v>
                </c:pt>
                <c:pt idx="84" formatCode="_(* #,##0.0000_);_(* \(#,##0.0000\);_(* &quot;-&quot;??_);_(@_)">
                  <c:v>11.250000000000002</c:v>
                </c:pt>
                <c:pt idx="85" formatCode="_(* #,##0.0000_);_(* \(#,##0.0000\);_(* &quot;-&quot;??_);_(@_)">
                  <c:v>8.9062500000000018</c:v>
                </c:pt>
                <c:pt idx="86" formatCode="_(* #,##0.0000_);_(* \(#,##0.0000\);_(* &quot;-&quot;??_);_(@_)">
                  <c:v>7.9687500000000009</c:v>
                </c:pt>
                <c:pt idx="87" formatCode="_(* #,##0.0000_);_(* \(#,##0.0000\);_(* &quot;-&quot;??_);_(@_)">
                  <c:v>7.4062500000000009</c:v>
                </c:pt>
                <c:pt idx="88" formatCode="_(* #,##0.0000_);_(* \(#,##0.0000\);_(* &quot;-&quot;??_);_(@_)">
                  <c:v>7.2187500000000009</c:v>
                </c:pt>
                <c:pt idx="89" formatCode="_(* #,##0.0000_);_(* \(#,##0.0000\);_(* &quot;-&quot;??_);_(@_)">
                  <c:v>7.3125000000000009</c:v>
                </c:pt>
                <c:pt idx="90" formatCode="_(* #,##0.0000_);_(* \(#,##0.0000\);_(* &quot;-&quot;??_);_(@_)">
                  <c:v>7.0257352941176467</c:v>
                </c:pt>
                <c:pt idx="91" formatCode="_(* #,##0.0000_);_(* \(#,##0.0000\);_(* &quot;-&quot;??_);_(@_)">
                  <c:v>6.617647058823529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'Coal (Adjusted)'!$AJ$6</c:f>
              <c:strCache>
                <c:ptCount val="1"/>
                <c:pt idx="0">
                  <c:v>India, Production, in s/ton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'Coal (Adjusted)'!$AJ$7:$AJ$107</c:f>
              <c:numCache>
                <c:formatCode>General</c:formatCode>
                <c:ptCount val="101"/>
                <c:pt idx="55" formatCode="_(* #,##0.0000_);_(* \(#,##0.0000\);_(* &quot;-&quot;??_);_(@_)">
                  <c:v>3.6796833180194395</c:v>
                </c:pt>
                <c:pt idx="56" formatCode="_(* #,##0.0000_);_(* \(#,##0.0000\);_(* &quot;-&quot;??_);_(@_)">
                  <c:v>3.7560238493352429</c:v>
                </c:pt>
                <c:pt idx="57" formatCode="_(* #,##0.0000_);_(* \(#,##0.0000\);_(* &quot;-&quot;??_);_(@_)">
                  <c:v>3.7849218721789457</c:v>
                </c:pt>
                <c:pt idx="58" formatCode="_(* #,##0.0000_);_(* \(#,##0.0000\);_(* &quot;-&quot;??_);_(@_)">
                  <c:v>3.7805099068335268</c:v>
                </c:pt>
                <c:pt idx="59" formatCode="_(* #,##0.0000_);_(* \(#,##0.0000\);_(* &quot;-&quot;??_);_(@_)">
                  <c:v>4.1773638102119275</c:v>
                </c:pt>
                <c:pt idx="60" formatCode="_(* #,##0.0000_);_(* \(#,##0.0000\);_(* &quot;-&quot;??_);_(@_)">
                  <c:v>4.3900918693080158</c:v>
                </c:pt>
                <c:pt idx="61" formatCode="_(* #,##0.0000_);_(* \(#,##0.0000\);_(* &quot;-&quot;??_);_(@_)">
                  <c:v>3.9886270185617945</c:v>
                </c:pt>
                <c:pt idx="62" formatCode="_(* #,##0.0000_);_(* \(#,##0.0000\);_(* &quot;-&quot;??_);_(@_)">
                  <c:v>3.6821676400232746</c:v>
                </c:pt>
                <c:pt idx="63" formatCode="_(* #,##0.0000_);_(* \(#,##0.0000\);_(* &quot;-&quot;??_);_(@_)">
                  <c:v>3.494618321770341</c:v>
                </c:pt>
                <c:pt idx="64" formatCode="_(* #,##0.0000_);_(* \(#,##0.0000\);_(* &quot;-&quot;??_);_(@_)">
                  <c:v>3.40482913712624</c:v>
                </c:pt>
                <c:pt idx="65" formatCode="_(* #,##0.0000_);_(* \(#,##0.0000\);_(* &quot;-&quot;??_);_(@_)">
                  <c:v>3.3725041843183785</c:v>
                </c:pt>
                <c:pt idx="66" formatCode="_(* #,##0.0000_);_(* \(#,##0.0000\);_(* &quot;-&quot;??_);_(@_)">
                  <c:v>3.9088094447141799</c:v>
                </c:pt>
                <c:pt idx="67" formatCode="_(* #,##0.0000_);_(* \(#,##0.0000\);_(* &quot;-&quot;??_);_(@_)">
                  <c:v>4.682240308651239</c:v>
                </c:pt>
                <c:pt idx="68" formatCode="_(* #,##0.0000_);_(* \(#,##0.0000\);_(* &quot;-&quot;??_);_(@_)">
                  <c:v>5.2565464870374132</c:v>
                </c:pt>
                <c:pt idx="69" formatCode="_(* #,##0.0000_);_(* \(#,##0.0000\);_(* &quot;-&quot;??_);_(@_)">
                  <c:v>4.6838264730501873</c:v>
                </c:pt>
                <c:pt idx="70" formatCode="_(* #,##0.0000_);_(* \(#,##0.0000\);_(* &quot;-&quot;??_);_(@_)">
                  <c:v>4.076466873012488</c:v>
                </c:pt>
                <c:pt idx="71" formatCode="_(* #,##0.0000_);_(* \(#,##0.0000\);_(* &quot;-&quot;??_);_(@_)">
                  <c:v>3.9363128595307129</c:v>
                </c:pt>
                <c:pt idx="72" formatCode="_(* #,##0.0000_);_(* \(#,##0.0000\);_(* &quot;-&quot;??_);_(@_)">
                  <c:v>4.5019566052434943</c:v>
                </c:pt>
                <c:pt idx="73" formatCode="_(* #,##0.0000_);_(* \(#,##0.0000\);_(* &quot;-&quot;??_);_(@_)">
                  <c:v>4.686740980955773</c:v>
                </c:pt>
                <c:pt idx="74" formatCode="_(* #,##0.0000_);_(* \(#,##0.0000\);_(* &quot;-&quot;??_);_(@_)">
                  <c:v>4.7464985222842957</c:v>
                </c:pt>
                <c:pt idx="75" formatCode="_(* #,##0.0000_);_(* \(#,##0.0000\);_(* &quot;-&quot;??_);_(@_)">
                  <c:v>4.4212804400765862</c:v>
                </c:pt>
                <c:pt idx="76" formatCode="_(* #,##0.0000_);_(* \(#,##0.0000\);_(* &quot;-&quot;??_);_(@_)">
                  <c:v>4.4957627685930515</c:v>
                </c:pt>
                <c:pt idx="77" formatCode="_(* #,##0.0000_);_(* \(#,##0.0000\);_(* &quot;-&quot;??_);_(@_)">
                  <c:v>4.9543351592534481</c:v>
                </c:pt>
                <c:pt idx="78" formatCode="_(* #,##0.0000_);_(* \(#,##0.0000\);_(* &quot;-&quot;??_);_(@_)">
                  <c:v>5.8073726940093549</c:v>
                </c:pt>
                <c:pt idx="79" formatCode="_(* #,##0.0000_);_(* \(#,##0.0000\);_(* &quot;-&quot;??_);_(@_)">
                  <c:v>5.9626656965427447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79984"/>
        <c:axId val="364080544"/>
      </c:lineChart>
      <c:catAx>
        <c:axId val="36407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80544"/>
        <c:crosses val="autoZero"/>
        <c:auto val="1"/>
        <c:lblAlgn val="ctr"/>
        <c:lblOffset val="100"/>
        <c:noMultiLvlLbl val="0"/>
      </c:catAx>
      <c:valAx>
        <c:axId val="364080544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7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31342249747873"/>
          <c:y val="6.2797246064962606E-2"/>
          <c:w val="0.18221827219851075"/>
          <c:h val="0.88214769887998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(All)'!$H$7:$H$107</c:f>
              <c:numCache>
                <c:formatCode>0.0000</c:formatCode>
                <c:ptCount val="101"/>
                <c:pt idx="47">
                  <c:v>29.012494961708967</c:v>
                </c:pt>
                <c:pt idx="48">
                  <c:v>35.776110790536663</c:v>
                </c:pt>
                <c:pt idx="49">
                  <c:v>36.309914642153643</c:v>
                </c:pt>
                <c:pt idx="50">
                  <c:v>36.876456876456871</c:v>
                </c:pt>
                <c:pt idx="51">
                  <c:v>31.394341065511068</c:v>
                </c:pt>
                <c:pt idx="52">
                  <c:v>27.999077916090357</c:v>
                </c:pt>
                <c:pt idx="53">
                  <c:v>29.999999999999996</c:v>
                </c:pt>
                <c:pt idx="54">
                  <c:v>29.996188540210909</c:v>
                </c:pt>
                <c:pt idx="55">
                  <c:v>29.999999999999996</c:v>
                </c:pt>
                <c:pt idx="56">
                  <c:v>34.997523526498263</c:v>
                </c:pt>
                <c:pt idx="57">
                  <c:v>34.851081883750538</c:v>
                </c:pt>
                <c:pt idx="58">
                  <c:v>40.000000000000007</c:v>
                </c:pt>
                <c:pt idx="59">
                  <c:v>40.000000000000007</c:v>
                </c:pt>
                <c:pt idx="60">
                  <c:v>44.997878659312761</c:v>
                </c:pt>
                <c:pt idx="61">
                  <c:v>42.000998003992024</c:v>
                </c:pt>
                <c:pt idx="62">
                  <c:v>40.000000000000007</c:v>
                </c:pt>
                <c:pt idx="63">
                  <c:v>30.666366339309839</c:v>
                </c:pt>
                <c:pt idx="64">
                  <c:v>34.9991648571906</c:v>
                </c:pt>
                <c:pt idx="65">
                  <c:v>35</c:v>
                </c:pt>
                <c:pt idx="66">
                  <c:v>32.00048658840705</c:v>
                </c:pt>
                <c:pt idx="67">
                  <c:v>29.999999999999996</c:v>
                </c:pt>
                <c:pt idx="68">
                  <c:v>35.998629667694402</c:v>
                </c:pt>
                <c:pt idx="69">
                  <c:v>35.998116206510844</c:v>
                </c:pt>
                <c:pt idx="70">
                  <c:v>35.999692343191178</c:v>
                </c:pt>
                <c:pt idx="71">
                  <c:v>35.999680230234247</c:v>
                </c:pt>
                <c:pt idx="72">
                  <c:v>40.000000000000007</c:v>
                </c:pt>
                <c:pt idx="73">
                  <c:v>38.000190458051627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(All)'!$H$7:$H$107</c:f>
              <c:numCache>
                <c:formatCode>0.0000</c:formatCode>
                <c:ptCount val="101"/>
                <c:pt idx="47">
                  <c:v>29.012494961708967</c:v>
                </c:pt>
                <c:pt idx="48">
                  <c:v>35.776110790536663</c:v>
                </c:pt>
                <c:pt idx="49">
                  <c:v>36.309914642153643</c:v>
                </c:pt>
                <c:pt idx="50">
                  <c:v>36.876456876456871</c:v>
                </c:pt>
                <c:pt idx="51">
                  <c:v>31.394341065511068</c:v>
                </c:pt>
                <c:pt idx="52">
                  <c:v>27.999077916090357</c:v>
                </c:pt>
                <c:pt idx="53">
                  <c:v>29.999999999999996</c:v>
                </c:pt>
                <c:pt idx="54">
                  <c:v>29.996188540210909</c:v>
                </c:pt>
                <c:pt idx="55">
                  <c:v>29.999999999999996</c:v>
                </c:pt>
                <c:pt idx="56">
                  <c:v>34.997523526498263</c:v>
                </c:pt>
                <c:pt idx="57">
                  <c:v>34.851081883750538</c:v>
                </c:pt>
                <c:pt idx="58">
                  <c:v>40.000000000000007</c:v>
                </c:pt>
                <c:pt idx="59">
                  <c:v>40.000000000000007</c:v>
                </c:pt>
                <c:pt idx="60">
                  <c:v>44.997878659312761</c:v>
                </c:pt>
                <c:pt idx="61">
                  <c:v>42.000998003992024</c:v>
                </c:pt>
                <c:pt idx="62">
                  <c:v>40.000000000000007</c:v>
                </c:pt>
                <c:pt idx="63">
                  <c:v>30.666366339309839</c:v>
                </c:pt>
                <c:pt idx="64">
                  <c:v>34.9991648571906</c:v>
                </c:pt>
                <c:pt idx="65">
                  <c:v>35</c:v>
                </c:pt>
                <c:pt idx="66">
                  <c:v>32.00048658840705</c:v>
                </c:pt>
                <c:pt idx="67">
                  <c:v>29.999999999999996</c:v>
                </c:pt>
                <c:pt idx="68">
                  <c:v>35.998629667694402</c:v>
                </c:pt>
                <c:pt idx="69">
                  <c:v>35.998116206510844</c:v>
                </c:pt>
                <c:pt idx="70">
                  <c:v>35.999692343191178</c:v>
                </c:pt>
                <c:pt idx="71">
                  <c:v>35.999680230234247</c:v>
                </c:pt>
                <c:pt idx="72">
                  <c:v>40.000000000000007</c:v>
                </c:pt>
                <c:pt idx="73">
                  <c:v>38.000190458051627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75424"/>
        <c:axId val="354275984"/>
      </c:scatterChart>
      <c:valAx>
        <c:axId val="35427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4275984"/>
        <c:crosses val="autoZero"/>
        <c:crossBetween val="midCat"/>
        <c:majorUnit val="5"/>
      </c:valAx>
      <c:valAx>
        <c:axId val="3542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427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(All)'!$K$7:$K$107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(All)'!$K$7:$K$107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78784"/>
        <c:axId val="592191792"/>
      </c:scatterChart>
      <c:valAx>
        <c:axId val="354278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2191792"/>
        <c:crosses val="autoZero"/>
        <c:crossBetween val="midCat"/>
        <c:majorUnit val="5"/>
      </c:valAx>
      <c:valAx>
        <c:axId val="59219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4278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(All)'!$L$7:$L$107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(All)'!$L$7:$L$107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194592"/>
        <c:axId val="592195152"/>
      </c:scatterChart>
      <c:valAx>
        <c:axId val="592194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2195152"/>
        <c:crosses val="autoZero"/>
        <c:crossBetween val="midCat"/>
        <c:majorUnit val="5"/>
      </c:valAx>
      <c:valAx>
        <c:axId val="5921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2194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(All)'!$M$7:$M$107</c:f>
              <c:numCache>
                <c:formatCode>0.0000</c:formatCode>
                <c:ptCount val="101"/>
                <c:pt idx="44">
                  <c:v>52.727272727272798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(All)'!$M$7:$M$107</c:f>
              <c:numCache>
                <c:formatCode>0.0000</c:formatCode>
                <c:ptCount val="101"/>
                <c:pt idx="44">
                  <c:v>52.727272727272798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816416"/>
        <c:axId val="400816976"/>
      </c:scatterChart>
      <c:valAx>
        <c:axId val="400816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0816976"/>
        <c:crosses val="autoZero"/>
        <c:crossBetween val="midCat"/>
        <c:majorUnit val="5"/>
      </c:valAx>
      <c:valAx>
        <c:axId val="4008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0816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(All)'!$T$7:$T$107</c:f>
              <c:numCache>
                <c:formatCode>0.0000</c:formatCode>
                <c:ptCount val="101"/>
                <c:pt idx="61">
                  <c:v>55.696202531645575</c:v>
                </c:pt>
                <c:pt idx="62">
                  <c:v>52</c:v>
                </c:pt>
                <c:pt idx="63">
                  <c:v>52.5</c:v>
                </c:pt>
                <c:pt idx="64">
                  <c:v>47.266666666666666</c:v>
                </c:pt>
                <c:pt idx="66">
                  <c:v>57.142857142857146</c:v>
                </c:pt>
                <c:pt idx="67">
                  <c:v>61.111111111111107</c:v>
                </c:pt>
                <c:pt idx="69">
                  <c:v>86.956521739130437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(All)'!$T$7:$T$107</c:f>
              <c:numCache>
                <c:formatCode>0.0000</c:formatCode>
                <c:ptCount val="101"/>
                <c:pt idx="61">
                  <c:v>55.696202531645575</c:v>
                </c:pt>
                <c:pt idx="62">
                  <c:v>52</c:v>
                </c:pt>
                <c:pt idx="63">
                  <c:v>52.5</c:v>
                </c:pt>
                <c:pt idx="64">
                  <c:v>47.266666666666666</c:v>
                </c:pt>
                <c:pt idx="66">
                  <c:v>57.142857142857146</c:v>
                </c:pt>
                <c:pt idx="67">
                  <c:v>61.111111111111107</c:v>
                </c:pt>
                <c:pt idx="69">
                  <c:v>86.956521739130437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075280"/>
        <c:axId val="398075840"/>
      </c:scatterChart>
      <c:valAx>
        <c:axId val="398075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075840"/>
        <c:crosses val="autoZero"/>
        <c:crossBetween val="midCat"/>
        <c:majorUnit val="5"/>
      </c:valAx>
      <c:valAx>
        <c:axId val="39807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075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(All)'!$U$7:$U$107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(All)'!$U$7:$U$107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475888"/>
        <c:axId val="362476448"/>
      </c:scatterChart>
      <c:valAx>
        <c:axId val="362475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476448"/>
        <c:crosses val="autoZero"/>
        <c:crossBetween val="midCat"/>
        <c:majorUnit val="5"/>
      </c:valAx>
      <c:valAx>
        <c:axId val="36247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475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(All)'!$V$7:$V$107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(All)'!$V$7:$V$107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0496"/>
        <c:axId val="230051056"/>
      </c:scatterChart>
      <c:valAx>
        <c:axId val="230050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051056"/>
        <c:crosses val="autoZero"/>
        <c:crossBetween val="midCat"/>
        <c:majorUnit val="5"/>
      </c:valAx>
      <c:valAx>
        <c:axId val="23005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050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(All)'!$W$7:$W$107</c:f>
              <c:numCache>
                <c:formatCode>0.0000</c:formatCode>
                <c:ptCount val="101"/>
                <c:pt idx="37">
                  <c:v>33.333333333333336</c:v>
                </c:pt>
                <c:pt idx="38">
                  <c:v>31.25</c:v>
                </c:pt>
                <c:pt idx="41">
                  <c:v>17</c:v>
                </c:pt>
                <c:pt idx="42">
                  <c:v>25</c:v>
                </c:pt>
                <c:pt idx="43">
                  <c:v>30</c:v>
                </c:pt>
                <c:pt idx="45">
                  <c:v>21.285714285714285</c:v>
                </c:pt>
                <c:pt idx="46">
                  <c:v>21.333333333333332</c:v>
                </c:pt>
                <c:pt idx="47">
                  <c:v>22.400000000000002</c:v>
                </c:pt>
                <c:pt idx="48">
                  <c:v>25</c:v>
                </c:pt>
                <c:pt idx="49">
                  <c:v>30</c:v>
                </c:pt>
                <c:pt idx="50">
                  <c:v>30</c:v>
                </c:pt>
                <c:pt idx="52">
                  <c:v>20</c:v>
                </c:pt>
                <c:pt idx="53">
                  <c:v>20</c:v>
                </c:pt>
                <c:pt idx="54">
                  <c:v>28</c:v>
                </c:pt>
                <c:pt idx="56">
                  <c:v>26.400000000000002</c:v>
                </c:pt>
                <c:pt idx="58">
                  <c:v>37</c:v>
                </c:pt>
                <c:pt idx="61">
                  <c:v>37</c:v>
                </c:pt>
                <c:pt idx="68">
                  <c:v>29.25</c:v>
                </c:pt>
                <c:pt idx="69">
                  <c:v>30</c:v>
                </c:pt>
                <c:pt idx="70">
                  <c:v>26</c:v>
                </c:pt>
                <c:pt idx="71">
                  <c:v>36</c:v>
                </c:pt>
                <c:pt idx="72">
                  <c:v>38</c:v>
                </c:pt>
                <c:pt idx="73">
                  <c:v>53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(All)'!$W$7:$W$107</c:f>
              <c:numCache>
                <c:formatCode>0.0000</c:formatCode>
                <c:ptCount val="101"/>
                <c:pt idx="37">
                  <c:v>33.333333333333336</c:v>
                </c:pt>
                <c:pt idx="38">
                  <c:v>31.25</c:v>
                </c:pt>
                <c:pt idx="41">
                  <c:v>17</c:v>
                </c:pt>
                <c:pt idx="42">
                  <c:v>25</c:v>
                </c:pt>
                <c:pt idx="43">
                  <c:v>30</c:v>
                </c:pt>
                <c:pt idx="45">
                  <c:v>21.285714285714285</c:v>
                </c:pt>
                <c:pt idx="46">
                  <c:v>21.333333333333332</c:v>
                </c:pt>
                <c:pt idx="47">
                  <c:v>22.400000000000002</c:v>
                </c:pt>
                <c:pt idx="48">
                  <c:v>25</c:v>
                </c:pt>
                <c:pt idx="49">
                  <c:v>30</c:v>
                </c:pt>
                <c:pt idx="50">
                  <c:v>30</c:v>
                </c:pt>
                <c:pt idx="52">
                  <c:v>20</c:v>
                </c:pt>
                <c:pt idx="53">
                  <c:v>20</c:v>
                </c:pt>
                <c:pt idx="54">
                  <c:v>28</c:v>
                </c:pt>
                <c:pt idx="56">
                  <c:v>26.400000000000002</c:v>
                </c:pt>
                <c:pt idx="58">
                  <c:v>37</c:v>
                </c:pt>
                <c:pt idx="61">
                  <c:v>37</c:v>
                </c:pt>
                <c:pt idx="68">
                  <c:v>29.25</c:v>
                </c:pt>
                <c:pt idx="69">
                  <c:v>30</c:v>
                </c:pt>
                <c:pt idx="70">
                  <c:v>26</c:v>
                </c:pt>
                <c:pt idx="71">
                  <c:v>36</c:v>
                </c:pt>
                <c:pt idx="72">
                  <c:v>38</c:v>
                </c:pt>
                <c:pt idx="73">
                  <c:v>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3856"/>
        <c:axId val="230054416"/>
      </c:scatterChart>
      <c:valAx>
        <c:axId val="230053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054416"/>
        <c:crosses val="autoZero"/>
        <c:crossBetween val="midCat"/>
        <c:majorUnit val="5"/>
      </c:valAx>
      <c:valAx>
        <c:axId val="23005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053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(All)'!$Y$7:$Y$107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(All)'!$Y$7:$Y$107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7216"/>
        <c:axId val="606339248"/>
      </c:scatterChart>
      <c:valAx>
        <c:axId val="230057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339248"/>
        <c:crosses val="autoZero"/>
        <c:crossBetween val="midCat"/>
        <c:majorUnit val="5"/>
      </c:valAx>
      <c:valAx>
        <c:axId val="60633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057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(All)'!$C$7:$C$107</c:f>
              <c:numCache>
                <c:formatCode>0.0000</c:formatCode>
                <c:ptCount val="101"/>
                <c:pt idx="7">
                  <c:v>7.8005574346568753</c:v>
                </c:pt>
                <c:pt idx="8">
                  <c:v>7.8140279991282817</c:v>
                </c:pt>
                <c:pt idx="9">
                  <c:v>7.6881683739156355</c:v>
                </c:pt>
                <c:pt idx="10">
                  <c:v>7.6627086888552096</c:v>
                </c:pt>
                <c:pt idx="11">
                  <c:v>7.5101980801748276</c:v>
                </c:pt>
                <c:pt idx="12">
                  <c:v>7.5386861249702628</c:v>
                </c:pt>
                <c:pt idx="13">
                  <c:v>8.1553530795702827</c:v>
                </c:pt>
                <c:pt idx="14">
                  <c:v>9.8725000029007344</c:v>
                </c:pt>
                <c:pt idx="15">
                  <c:v>9.8307782632649783</c:v>
                </c:pt>
                <c:pt idx="16">
                  <c:v>9.6145858543322795</c:v>
                </c:pt>
                <c:pt idx="17">
                  <c:v>9.530410741440944</c:v>
                </c:pt>
                <c:pt idx="18">
                  <c:v>9.3282546259788095</c:v>
                </c:pt>
                <c:pt idx="19">
                  <c:v>9.3336286592067381</c:v>
                </c:pt>
                <c:pt idx="20">
                  <c:v>9.058609921669877</c:v>
                </c:pt>
                <c:pt idx="21">
                  <c:v>9.2053971653086037</c:v>
                </c:pt>
                <c:pt idx="22">
                  <c:v>9.0654461759813323</c:v>
                </c:pt>
                <c:pt idx="23">
                  <c:v>8.9956439916092297</c:v>
                </c:pt>
                <c:pt idx="24">
                  <c:v>9.4842010984991134</c:v>
                </c:pt>
                <c:pt idx="25">
                  <c:v>9.69</c:v>
                </c:pt>
                <c:pt idx="26">
                  <c:v>10.29</c:v>
                </c:pt>
                <c:pt idx="27">
                  <c:v>10.39</c:v>
                </c:pt>
                <c:pt idx="28">
                  <c:v>9.92</c:v>
                </c:pt>
                <c:pt idx="29">
                  <c:v>9.6199999999999992</c:v>
                </c:pt>
                <c:pt idx="30">
                  <c:v>9.64</c:v>
                </c:pt>
                <c:pt idx="31">
                  <c:v>9.8000000000000007</c:v>
                </c:pt>
                <c:pt idx="32">
                  <c:v>15.83</c:v>
                </c:pt>
                <c:pt idx="33">
                  <c:v>20.9</c:v>
                </c:pt>
                <c:pt idx="34">
                  <c:v>17.21</c:v>
                </c:pt>
                <c:pt idx="35">
                  <c:v>13.28</c:v>
                </c:pt>
                <c:pt idx="36">
                  <c:v>10.93</c:v>
                </c:pt>
                <c:pt idx="37">
                  <c:v>10.17</c:v>
                </c:pt>
                <c:pt idx="38">
                  <c:v>9.4600000000000009</c:v>
                </c:pt>
                <c:pt idx="39">
                  <c:v>8.77</c:v>
                </c:pt>
                <c:pt idx="40">
                  <c:v>8.9499999999999993</c:v>
                </c:pt>
                <c:pt idx="41">
                  <c:v>8.9700000000000006</c:v>
                </c:pt>
                <c:pt idx="42">
                  <c:v>9.14</c:v>
                </c:pt>
                <c:pt idx="43">
                  <c:v>9.35</c:v>
                </c:pt>
                <c:pt idx="44">
                  <c:v>9.2899999999999991</c:v>
                </c:pt>
                <c:pt idx="45">
                  <c:v>8.9499999999999993</c:v>
                </c:pt>
                <c:pt idx="46">
                  <c:v>8.4499999999999993</c:v>
                </c:pt>
                <c:pt idx="47">
                  <c:v>8.32</c:v>
                </c:pt>
                <c:pt idx="48">
                  <c:v>8.27</c:v>
                </c:pt>
                <c:pt idx="49">
                  <c:v>10.06</c:v>
                </c:pt>
                <c:pt idx="50">
                  <c:v>12.39</c:v>
                </c:pt>
                <c:pt idx="51">
                  <c:v>11.96</c:v>
                </c:pt>
                <c:pt idx="52">
                  <c:v>10.89</c:v>
                </c:pt>
                <c:pt idx="53">
                  <c:v>9.77</c:v>
                </c:pt>
                <c:pt idx="54">
                  <c:v>10.41</c:v>
                </c:pt>
                <c:pt idx="55">
                  <c:v>9.2100000000000009</c:v>
                </c:pt>
                <c:pt idx="56">
                  <c:v>8.73</c:v>
                </c:pt>
                <c:pt idx="57">
                  <c:v>8.82</c:v>
                </c:pt>
                <c:pt idx="58">
                  <c:v>9.7899999999999991</c:v>
                </c:pt>
                <c:pt idx="59">
                  <c:v>10.53</c:v>
                </c:pt>
                <c:pt idx="60">
                  <c:v>16.52</c:v>
                </c:pt>
                <c:pt idx="61">
                  <c:v>13.73</c:v>
                </c:pt>
                <c:pt idx="62">
                  <c:v>12.19</c:v>
                </c:pt>
                <c:pt idx="63">
                  <c:v>11.58</c:v>
                </c:pt>
                <c:pt idx="64">
                  <c:v>11.02</c:v>
                </c:pt>
                <c:pt idx="65">
                  <c:v>10.47</c:v>
                </c:pt>
                <c:pt idx="66">
                  <c:v>10.82</c:v>
                </c:pt>
                <c:pt idx="67">
                  <c:v>12.63</c:v>
                </c:pt>
                <c:pt idx="68">
                  <c:v>12.65</c:v>
                </c:pt>
                <c:pt idx="69">
                  <c:v>11.2</c:v>
                </c:pt>
                <c:pt idx="70">
                  <c:v>11.63</c:v>
                </c:pt>
                <c:pt idx="71">
                  <c:v>11.31</c:v>
                </c:pt>
                <c:pt idx="72">
                  <c:v>12.57</c:v>
                </c:pt>
                <c:pt idx="73">
                  <c:v>13.82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98368"/>
        <c:axId val="582398928"/>
      </c:scatterChart>
      <c:valAx>
        <c:axId val="582398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398928"/>
        <c:crosses val="autoZero"/>
        <c:crossBetween val="midCat"/>
        <c:majorUnit val="5"/>
      </c:valAx>
      <c:valAx>
        <c:axId val="58239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398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(All)'!$X$7:$X$107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(All)'!$X$7:$X$107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42048"/>
        <c:axId val="606342608"/>
      </c:scatterChart>
      <c:valAx>
        <c:axId val="606342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342608"/>
        <c:crosses val="autoZero"/>
        <c:crossBetween val="midCat"/>
        <c:majorUnit val="5"/>
      </c:valAx>
      <c:valAx>
        <c:axId val="60634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342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(Malatya),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(All)'!$Z$7:$Z$107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(All)'!$Z$7:$Z$107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45408"/>
        <c:axId val="606345968"/>
      </c:scatterChart>
      <c:valAx>
        <c:axId val="606345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345968"/>
        <c:crosses val="autoZero"/>
        <c:crossBetween val="midCat"/>
        <c:majorUnit val="5"/>
      </c:valAx>
      <c:valAx>
        <c:axId val="6063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345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(Geyve),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(All)'!$AC$7:$AC$107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(All)'!$AC$7:$AC$107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866176"/>
        <c:axId val="227866736"/>
      </c:scatterChart>
      <c:valAx>
        <c:axId val="227866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866736"/>
        <c:crosses val="autoZero"/>
        <c:crossBetween val="midCat"/>
        <c:majorUnit val="5"/>
      </c:valAx>
      <c:valAx>
        <c:axId val="22786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866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Exports,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(All)'!$AA$7:$AA$107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(All)'!$AA$7:$AA$107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869536"/>
        <c:axId val="227870096"/>
      </c:scatterChart>
      <c:valAx>
        <c:axId val="227869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870096"/>
        <c:crosses val="autoZero"/>
        <c:crossBetween val="midCat"/>
        <c:majorUnit val="5"/>
      </c:valAx>
      <c:valAx>
        <c:axId val="22787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869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Bazaar (Local),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(All)'!$AB$7:$AB$107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(All)'!$AB$7:$AB$107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538496"/>
        <c:axId val="300539056"/>
      </c:scatterChart>
      <c:valAx>
        <c:axId val="300538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39056"/>
        <c:crosses val="autoZero"/>
        <c:crossBetween val="midCat"/>
        <c:majorUnit val="5"/>
      </c:valAx>
      <c:valAx>
        <c:axId val="30053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38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Exports,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(All)'!$AD$7:$AD$107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(All)'!$AD$7:$AD$107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541856"/>
        <c:axId val="300542416"/>
      </c:scatterChart>
      <c:valAx>
        <c:axId val="300541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2416"/>
        <c:crosses val="autoZero"/>
        <c:crossBetween val="midCat"/>
        <c:majorUnit val="5"/>
      </c:valAx>
      <c:valAx>
        <c:axId val="30054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1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(All)'!$AE$7:$AE$107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(All)'!$AE$7:$AE$107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545216"/>
        <c:axId val="571719984"/>
      </c:scatterChart>
      <c:valAx>
        <c:axId val="300545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1719984"/>
        <c:crosses val="autoZero"/>
        <c:crossBetween val="midCat"/>
        <c:majorUnit val="5"/>
      </c:valAx>
      <c:valAx>
        <c:axId val="57171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5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(All)'!$AJ$7:$AJ$107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(All)'!$AJ$7:$AJ$107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722784"/>
        <c:axId val="571723344"/>
      </c:scatterChart>
      <c:valAx>
        <c:axId val="571722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1723344"/>
        <c:crosses val="autoZero"/>
        <c:crossBetween val="midCat"/>
        <c:majorUnit val="5"/>
      </c:valAx>
      <c:valAx>
        <c:axId val="57172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1722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(All)'!$AI$7:$AI$107</c:f>
              <c:numCache>
                <c:formatCode>0.0000</c:formatCode>
                <c:ptCount val="101"/>
                <c:pt idx="59">
                  <c:v>19.183372484624559</c:v>
                </c:pt>
                <c:pt idx="60">
                  <c:v>16.19621741743838</c:v>
                </c:pt>
                <c:pt idx="61">
                  <c:v>14.227144203581521</c:v>
                </c:pt>
                <c:pt idx="62">
                  <c:v>13.321318391883821</c:v>
                </c:pt>
                <c:pt idx="63">
                  <c:v>12.868654611811541</c:v>
                </c:pt>
                <c:pt idx="64">
                  <c:v>15.70339095152352</c:v>
                </c:pt>
                <c:pt idx="65">
                  <c:v>12.995014180499959</c:v>
                </c:pt>
                <c:pt idx="66">
                  <c:v>13.756462827598499</c:v>
                </c:pt>
                <c:pt idx="67">
                  <c:v>15.804388308638979</c:v>
                </c:pt>
                <c:pt idx="68">
                  <c:v>12.981744421906701</c:v>
                </c:pt>
                <c:pt idx="69">
                  <c:v>13.711967545638938</c:v>
                </c:pt>
                <c:pt idx="70">
                  <c:v>12.894211576846299</c:v>
                </c:pt>
                <c:pt idx="71">
                  <c:v>14.367816091954019</c:v>
                </c:pt>
                <c:pt idx="72">
                  <c:v>16.05405405405406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(All)'!$AI$7:$AI$107</c:f>
              <c:numCache>
                <c:formatCode>0.0000</c:formatCode>
                <c:ptCount val="101"/>
                <c:pt idx="59">
                  <c:v>19.183372484624559</c:v>
                </c:pt>
                <c:pt idx="60">
                  <c:v>16.19621741743838</c:v>
                </c:pt>
                <c:pt idx="61">
                  <c:v>14.227144203581521</c:v>
                </c:pt>
                <c:pt idx="62">
                  <c:v>13.321318391883821</c:v>
                </c:pt>
                <c:pt idx="63">
                  <c:v>12.868654611811541</c:v>
                </c:pt>
                <c:pt idx="64">
                  <c:v>15.70339095152352</c:v>
                </c:pt>
                <c:pt idx="65">
                  <c:v>12.995014180499959</c:v>
                </c:pt>
                <c:pt idx="66">
                  <c:v>13.756462827598499</c:v>
                </c:pt>
                <c:pt idx="67">
                  <c:v>15.804388308638979</c:v>
                </c:pt>
                <c:pt idx="68">
                  <c:v>12.981744421906701</c:v>
                </c:pt>
                <c:pt idx="69">
                  <c:v>13.711967545638938</c:v>
                </c:pt>
                <c:pt idx="70">
                  <c:v>12.894211576846299</c:v>
                </c:pt>
                <c:pt idx="71">
                  <c:v>14.367816091954019</c:v>
                </c:pt>
                <c:pt idx="72">
                  <c:v>16.05405405405406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726144"/>
        <c:axId val="571726704"/>
      </c:scatterChart>
      <c:valAx>
        <c:axId val="571726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1726704"/>
        <c:crosses val="autoZero"/>
        <c:crossBetween val="midCat"/>
        <c:majorUnit val="5"/>
      </c:valAx>
      <c:valAx>
        <c:axId val="5717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1726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(All)'!$AK$7:$AK$107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(All)'!$AK$7:$AK$107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43632"/>
        <c:axId val="363844192"/>
      </c:scatterChart>
      <c:valAx>
        <c:axId val="3638436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844192"/>
        <c:crosses val="autoZero"/>
        <c:crossBetween val="midCat"/>
        <c:majorUnit val="5"/>
      </c:valAx>
      <c:valAx>
        <c:axId val="36384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8436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(All)'!$F$7:$F$107</c:f>
              <c:numCache>
                <c:formatCode>0.0000</c:formatCode>
                <c:ptCount val="101"/>
                <c:pt idx="57">
                  <c:v>64.646464646464509</c:v>
                </c:pt>
                <c:pt idx="62">
                  <c:v>50.295857988165885</c:v>
                </c:pt>
                <c:pt idx="64">
                  <c:v>69.966629588431744</c:v>
                </c:pt>
                <c:pt idx="65">
                  <c:v>59.999999999999808</c:v>
                </c:pt>
                <c:pt idx="66">
                  <c:v>59.999999999999808</c:v>
                </c:pt>
                <c:pt idx="67">
                  <c:v>59.999999999999808</c:v>
                </c:pt>
                <c:pt idx="68">
                  <c:v>70</c:v>
                </c:pt>
                <c:pt idx="69">
                  <c:v>59.999999999999808</c:v>
                </c:pt>
                <c:pt idx="71">
                  <c:v>59.999999999999808</c:v>
                </c:pt>
                <c:pt idx="72">
                  <c:v>59.999999999999808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118448"/>
        <c:axId val="232119008"/>
      </c:scatterChart>
      <c:valAx>
        <c:axId val="232118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119008"/>
        <c:crosses val="autoZero"/>
        <c:crossBetween val="midCat"/>
        <c:majorUnit val="5"/>
      </c:valAx>
      <c:valAx>
        <c:axId val="2321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118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(All)'!$AL$7:$AL$107</c:f>
              <c:numCache>
                <c:formatCode>0.0000</c:formatCode>
                <c:ptCount val="101"/>
                <c:pt idx="31">
                  <c:v>31</c:v>
                </c:pt>
                <c:pt idx="32">
                  <c:v>42.5</c:v>
                </c:pt>
                <c:pt idx="33">
                  <c:v>41</c:v>
                </c:pt>
                <c:pt idx="34">
                  <c:v>31</c:v>
                </c:pt>
                <c:pt idx="35">
                  <c:v>28</c:v>
                </c:pt>
                <c:pt idx="38">
                  <c:v>22.5</c:v>
                </c:pt>
                <c:pt idx="45">
                  <c:v>22.5</c:v>
                </c:pt>
                <c:pt idx="49">
                  <c:v>16.5</c:v>
                </c:pt>
                <c:pt idx="67">
                  <c:v>22.760526743619</c:v>
                </c:pt>
                <c:pt idx="70">
                  <c:v>20.1769362098402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(All)'!$AL$7:$AL$107</c:f>
              <c:numCache>
                <c:formatCode>0.0000</c:formatCode>
                <c:ptCount val="101"/>
                <c:pt idx="31">
                  <c:v>31</c:v>
                </c:pt>
                <c:pt idx="32">
                  <c:v>42.5</c:v>
                </c:pt>
                <c:pt idx="33">
                  <c:v>41</c:v>
                </c:pt>
                <c:pt idx="34">
                  <c:v>31</c:v>
                </c:pt>
                <c:pt idx="35">
                  <c:v>28</c:v>
                </c:pt>
                <c:pt idx="38">
                  <c:v>22.5</c:v>
                </c:pt>
                <c:pt idx="45">
                  <c:v>22.5</c:v>
                </c:pt>
                <c:pt idx="49">
                  <c:v>16.5</c:v>
                </c:pt>
                <c:pt idx="67">
                  <c:v>22.760526743619</c:v>
                </c:pt>
                <c:pt idx="70">
                  <c:v>20.1769362098402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46992"/>
        <c:axId val="363847552"/>
      </c:scatterChart>
      <c:valAx>
        <c:axId val="363846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847552"/>
        <c:crosses val="autoZero"/>
        <c:crossBetween val="midCat"/>
        <c:majorUnit val="5"/>
      </c:valAx>
      <c:valAx>
        <c:axId val="36384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846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(All)'!$AM$7:$AM$107</c:f>
              <c:numCache>
                <c:formatCode>0.0000</c:formatCode>
                <c:ptCount val="101"/>
                <c:pt idx="59">
                  <c:v>10.166666666666659</c:v>
                </c:pt>
                <c:pt idx="62">
                  <c:v>17</c:v>
                </c:pt>
                <c:pt idx="70">
                  <c:v>11</c:v>
                </c:pt>
                <c:pt idx="71">
                  <c:v>14</c:v>
                </c:pt>
                <c:pt idx="72">
                  <c:v>17.75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(All)'!$AM$7:$AM$107</c:f>
              <c:numCache>
                <c:formatCode>0.0000</c:formatCode>
                <c:ptCount val="101"/>
                <c:pt idx="59">
                  <c:v>10.166666666666659</c:v>
                </c:pt>
                <c:pt idx="62">
                  <c:v>17</c:v>
                </c:pt>
                <c:pt idx="70">
                  <c:v>11</c:v>
                </c:pt>
                <c:pt idx="71">
                  <c:v>14</c:v>
                </c:pt>
                <c:pt idx="72">
                  <c:v>17.75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385776"/>
        <c:axId val="306386336"/>
      </c:scatterChart>
      <c:valAx>
        <c:axId val="306385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386336"/>
        <c:crosses val="autoZero"/>
        <c:crossBetween val="midCat"/>
        <c:majorUnit val="5"/>
      </c:valAx>
      <c:valAx>
        <c:axId val="3063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385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(All)'!$AN$7:$AN$107</c:f>
              <c:numCache>
                <c:formatCode>0.0000</c:formatCode>
                <c:ptCount val="101"/>
                <c:pt idx="67">
                  <c:v>10.92108553814462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(All)'!$AN$7:$AN$107</c:f>
              <c:numCache>
                <c:formatCode>0.0000</c:formatCode>
                <c:ptCount val="101"/>
                <c:pt idx="67">
                  <c:v>10.92108553814462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389136"/>
        <c:axId val="306389696"/>
      </c:scatterChart>
      <c:valAx>
        <c:axId val="306389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389696"/>
        <c:crosses val="autoZero"/>
        <c:crossBetween val="midCat"/>
        <c:majorUnit val="5"/>
      </c:valAx>
      <c:valAx>
        <c:axId val="30638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389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(All)'!$AO$7:$AO$107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(All)'!$AO$7:$AO$107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392496"/>
        <c:axId val="293200672"/>
      </c:scatterChart>
      <c:valAx>
        <c:axId val="306392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200672"/>
        <c:crosses val="autoZero"/>
        <c:crossBetween val="midCat"/>
        <c:majorUnit val="5"/>
      </c:valAx>
      <c:valAx>
        <c:axId val="2932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392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(All)'!$AP$7:$AP$107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(All)'!$AQ$7:$AQ$107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03472"/>
        <c:axId val="293204032"/>
      </c:scatterChart>
      <c:valAx>
        <c:axId val="293203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204032"/>
        <c:crosses val="autoZero"/>
        <c:crossBetween val="midCat"/>
        <c:majorUnit val="5"/>
      </c:valAx>
      <c:valAx>
        <c:axId val="2932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203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(All)'!$AQ$7:$AQ$107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(All)'!$AQ$7:$AQ$107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06832"/>
        <c:axId val="293207392"/>
      </c:scatterChart>
      <c:valAx>
        <c:axId val="293206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207392"/>
        <c:crosses val="autoZero"/>
        <c:crossBetween val="midCat"/>
        <c:majorUnit val="5"/>
      </c:valAx>
      <c:valAx>
        <c:axId val="29320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206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(All)'!$AR$7:$AR$107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(All)'!$AR$7:$AR$107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37680"/>
        <c:axId val="231938240"/>
      </c:scatterChart>
      <c:valAx>
        <c:axId val="231937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38240"/>
        <c:crosses val="autoZero"/>
        <c:crossBetween val="midCat"/>
        <c:majorUnit val="5"/>
      </c:valAx>
      <c:valAx>
        <c:axId val="23193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37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(All)'!$AS$7:$AS$107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(All)'!$AS$7:$AS$107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41040"/>
        <c:axId val="231941600"/>
      </c:scatterChart>
      <c:valAx>
        <c:axId val="231941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1600"/>
        <c:crosses val="autoZero"/>
        <c:crossBetween val="midCat"/>
        <c:majorUnit val="5"/>
      </c:valAx>
      <c:valAx>
        <c:axId val="23194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1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Adana, in s/ton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(All)'!$AT$7:$AT$107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(All)'!$AT$7:$AT$107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44400"/>
        <c:axId val="231944960"/>
      </c:scatterChart>
      <c:valAx>
        <c:axId val="231944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4960"/>
        <c:crosses val="autoZero"/>
        <c:crossBetween val="midCat"/>
        <c:majorUnit val="5"/>
      </c:valAx>
      <c:valAx>
        <c:axId val="23194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4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(All)'!$AU$7:$AU$107</c:f>
              <c:numCache>
                <c:formatCode>0.0000</c:formatCode>
                <c:ptCount val="101"/>
                <c:pt idx="24">
                  <c:v>42</c:v>
                </c:pt>
                <c:pt idx="25">
                  <c:v>35</c:v>
                </c:pt>
                <c:pt idx="26">
                  <c:v>30</c:v>
                </c:pt>
                <c:pt idx="28">
                  <c:v>35</c:v>
                </c:pt>
                <c:pt idx="29">
                  <c:v>35</c:v>
                </c:pt>
                <c:pt idx="31">
                  <c:v>34</c:v>
                </c:pt>
                <c:pt idx="32">
                  <c:v>52</c:v>
                </c:pt>
                <c:pt idx="34">
                  <c:v>50</c:v>
                </c:pt>
                <c:pt idx="35">
                  <c:v>34</c:v>
                </c:pt>
                <c:pt idx="36">
                  <c:v>42</c:v>
                </c:pt>
                <c:pt idx="37">
                  <c:v>39.952867242733696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32</c:v>
                </c:pt>
                <c:pt idx="42">
                  <c:v>30</c:v>
                </c:pt>
                <c:pt idx="43">
                  <c:v>24.000950768042308</c:v>
                </c:pt>
                <c:pt idx="44">
                  <c:v>23.999881379555767</c:v>
                </c:pt>
                <c:pt idx="45">
                  <c:v>22.000058721630111</c:v>
                </c:pt>
                <c:pt idx="46">
                  <c:v>20.999797714170121</c:v>
                </c:pt>
                <c:pt idx="48">
                  <c:v>24</c:v>
                </c:pt>
                <c:pt idx="49">
                  <c:v>23.999845982056911</c:v>
                </c:pt>
                <c:pt idx="50">
                  <c:v>21.147707979626485</c:v>
                </c:pt>
                <c:pt idx="51">
                  <c:v>24</c:v>
                </c:pt>
                <c:pt idx="52">
                  <c:v>28</c:v>
                </c:pt>
                <c:pt idx="54">
                  <c:v>23.999897877120645</c:v>
                </c:pt>
                <c:pt idx="65">
                  <c:v>12.000918310309032</c:v>
                </c:pt>
                <c:pt idx="66">
                  <c:v>10.565542825559501</c:v>
                </c:pt>
                <c:pt idx="67">
                  <c:v>12.856030637151754</c:v>
                </c:pt>
                <c:pt idx="68">
                  <c:v>11.780888030888031</c:v>
                </c:pt>
                <c:pt idx="70">
                  <c:v>13.670064874884151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(All)'!$AU$7:$AU$107</c:f>
              <c:numCache>
                <c:formatCode>0.0000</c:formatCode>
                <c:ptCount val="101"/>
                <c:pt idx="24">
                  <c:v>42</c:v>
                </c:pt>
                <c:pt idx="25">
                  <c:v>35</c:v>
                </c:pt>
                <c:pt idx="26">
                  <c:v>30</c:v>
                </c:pt>
                <c:pt idx="28">
                  <c:v>35</c:v>
                </c:pt>
                <c:pt idx="29">
                  <c:v>35</c:v>
                </c:pt>
                <c:pt idx="31">
                  <c:v>34</c:v>
                </c:pt>
                <c:pt idx="32">
                  <c:v>52</c:v>
                </c:pt>
                <c:pt idx="34">
                  <c:v>50</c:v>
                </c:pt>
                <c:pt idx="35">
                  <c:v>34</c:v>
                </c:pt>
                <c:pt idx="36">
                  <c:v>42</c:v>
                </c:pt>
                <c:pt idx="37">
                  <c:v>39.952867242733696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32</c:v>
                </c:pt>
                <c:pt idx="42">
                  <c:v>30</c:v>
                </c:pt>
                <c:pt idx="43">
                  <c:v>24.000950768042308</c:v>
                </c:pt>
                <c:pt idx="44">
                  <c:v>23.999881379555767</c:v>
                </c:pt>
                <c:pt idx="45">
                  <c:v>22.000058721630111</c:v>
                </c:pt>
                <c:pt idx="46">
                  <c:v>20.999797714170121</c:v>
                </c:pt>
                <c:pt idx="48">
                  <c:v>24</c:v>
                </c:pt>
                <c:pt idx="49">
                  <c:v>23.999845982056911</c:v>
                </c:pt>
                <c:pt idx="50">
                  <c:v>21.147707979626485</c:v>
                </c:pt>
                <c:pt idx="51">
                  <c:v>24</c:v>
                </c:pt>
                <c:pt idx="52">
                  <c:v>28</c:v>
                </c:pt>
                <c:pt idx="54">
                  <c:v>23.999897877120645</c:v>
                </c:pt>
                <c:pt idx="65">
                  <c:v>12.000918310309032</c:v>
                </c:pt>
                <c:pt idx="66">
                  <c:v>10.565542825559501</c:v>
                </c:pt>
                <c:pt idx="67">
                  <c:v>12.856030637151754</c:v>
                </c:pt>
                <c:pt idx="68">
                  <c:v>11.780888030888031</c:v>
                </c:pt>
                <c:pt idx="70">
                  <c:v>13.670064874884151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47760"/>
        <c:axId val="231948320"/>
      </c:scatterChart>
      <c:valAx>
        <c:axId val="231947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8320"/>
        <c:crosses val="autoZero"/>
        <c:crossBetween val="midCat"/>
        <c:majorUnit val="5"/>
      </c:valAx>
      <c:valAx>
        <c:axId val="2319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47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(All)'!$G$7:$G$107</c:f>
              <c:numCache>
                <c:formatCode>0.0000</c:formatCode>
                <c:ptCount val="101"/>
                <c:pt idx="26">
                  <c:v>81.818056319999997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(All)'!$G$7:$G$107</c:f>
              <c:numCache>
                <c:formatCode>0.0000</c:formatCode>
                <c:ptCount val="101"/>
                <c:pt idx="26">
                  <c:v>81.818056319999997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2832"/>
        <c:axId val="3033392"/>
      </c:scatterChart>
      <c:valAx>
        <c:axId val="3032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3392"/>
        <c:crosses val="autoZero"/>
        <c:crossBetween val="midCat"/>
        <c:majorUnit val="5"/>
      </c:valAx>
      <c:valAx>
        <c:axId val="30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2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(All)'!$AY$7:$AY$107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(All)'!$AY$7:$AY$107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51120"/>
        <c:axId val="231951680"/>
      </c:scatterChart>
      <c:valAx>
        <c:axId val="231951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51680"/>
        <c:crosses val="autoZero"/>
        <c:crossBetween val="midCat"/>
        <c:majorUnit val="5"/>
      </c:valAx>
      <c:valAx>
        <c:axId val="2319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1951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(All)'!$BC$7:$BC$107</c:f>
              <c:numCache>
                <c:formatCode>0.0000</c:formatCode>
                <c:ptCount val="101"/>
                <c:pt idx="52">
                  <c:v>135.30910806984434</c:v>
                </c:pt>
                <c:pt idx="53">
                  <c:v>117.31587561374776</c:v>
                </c:pt>
                <c:pt idx="55">
                  <c:v>137.84615384615398</c:v>
                </c:pt>
                <c:pt idx="56">
                  <c:v>170.60167555217069</c:v>
                </c:pt>
                <c:pt idx="58">
                  <c:v>131.28205128205127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(All)'!$BC$7:$BC$107</c:f>
              <c:numCache>
                <c:formatCode>0.0000</c:formatCode>
                <c:ptCount val="101"/>
                <c:pt idx="52">
                  <c:v>135.30910806984434</c:v>
                </c:pt>
                <c:pt idx="53">
                  <c:v>117.31587561374776</c:v>
                </c:pt>
                <c:pt idx="55">
                  <c:v>137.84615384615398</c:v>
                </c:pt>
                <c:pt idx="56">
                  <c:v>170.60167555217069</c:v>
                </c:pt>
                <c:pt idx="58">
                  <c:v>131.28205128205127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59360"/>
        <c:axId val="298459920"/>
      </c:scatterChart>
      <c:valAx>
        <c:axId val="298459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59920"/>
        <c:crosses val="autoZero"/>
        <c:crossBetween val="midCat"/>
        <c:majorUnit val="5"/>
      </c:valAx>
      <c:valAx>
        <c:axId val="29845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59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(All)'!$AV$7:$AV$107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(All)'!$AV$7:$AV$107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62720"/>
        <c:axId val="298463280"/>
      </c:scatterChart>
      <c:valAx>
        <c:axId val="298462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63280"/>
        <c:crosses val="autoZero"/>
        <c:crossBetween val="midCat"/>
        <c:majorUnit val="5"/>
      </c:valAx>
      <c:valAx>
        <c:axId val="2984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62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(All)'!$AW$7:$AW$107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(All)'!$AW$7:$AW$107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66080"/>
        <c:axId val="298466640"/>
      </c:scatterChart>
      <c:valAx>
        <c:axId val="298466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66640"/>
        <c:crosses val="autoZero"/>
        <c:crossBetween val="midCat"/>
        <c:majorUnit val="5"/>
      </c:valAx>
      <c:valAx>
        <c:axId val="29846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66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(All)'!$AX$7:$AX$107</c:f>
              <c:numCache>
                <c:formatCode>0.0000</c:formatCode>
                <c:ptCount val="101"/>
                <c:pt idx="53">
                  <c:v>20.65573770491801</c:v>
                </c:pt>
                <c:pt idx="54">
                  <c:v>21.693693693693671</c:v>
                </c:pt>
                <c:pt idx="55">
                  <c:v>21.963636363636347</c:v>
                </c:pt>
                <c:pt idx="56">
                  <c:v>20.610687022900748</c:v>
                </c:pt>
                <c:pt idx="57">
                  <c:v>22.344827586206879</c:v>
                </c:pt>
                <c:pt idx="58">
                  <c:v>22.153846153846132</c:v>
                </c:pt>
                <c:pt idx="59">
                  <c:v>29.999999999999972</c:v>
                </c:pt>
                <c:pt idx="60">
                  <c:v>29.999999999999968</c:v>
                </c:pt>
                <c:pt idx="61">
                  <c:v>39.499999999999964</c:v>
                </c:pt>
                <c:pt idx="62">
                  <c:v>28.911564625850311</c:v>
                </c:pt>
                <c:pt idx="63">
                  <c:v>24.863387978142054</c:v>
                </c:pt>
                <c:pt idx="64">
                  <c:v>25.030303030303006</c:v>
                </c:pt>
                <c:pt idx="65">
                  <c:v>24.999999999999979</c:v>
                </c:pt>
                <c:pt idx="66">
                  <c:v>24.999999999999979</c:v>
                </c:pt>
                <c:pt idx="67">
                  <c:v>24.999999999999979</c:v>
                </c:pt>
                <c:pt idx="68">
                  <c:v>25.020576131687221</c:v>
                </c:pt>
                <c:pt idx="69">
                  <c:v>25.093525179856094</c:v>
                </c:pt>
                <c:pt idx="70">
                  <c:v>23.148148148148127</c:v>
                </c:pt>
                <c:pt idx="71">
                  <c:v>24.464516129032255</c:v>
                </c:pt>
                <c:pt idx="72">
                  <c:v>29.699999999999996</c:v>
                </c:pt>
                <c:pt idx="73">
                  <c:v>27.720000000000002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(All)'!$AX$7:$AX$107</c:f>
              <c:numCache>
                <c:formatCode>0.0000</c:formatCode>
                <c:ptCount val="101"/>
                <c:pt idx="53">
                  <c:v>20.65573770491801</c:v>
                </c:pt>
                <c:pt idx="54">
                  <c:v>21.693693693693671</c:v>
                </c:pt>
                <c:pt idx="55">
                  <c:v>21.963636363636347</c:v>
                </c:pt>
                <c:pt idx="56">
                  <c:v>20.610687022900748</c:v>
                </c:pt>
                <c:pt idx="57">
                  <c:v>22.344827586206879</c:v>
                </c:pt>
                <c:pt idx="58">
                  <c:v>22.153846153846132</c:v>
                </c:pt>
                <c:pt idx="59">
                  <c:v>29.999999999999972</c:v>
                </c:pt>
                <c:pt idx="60">
                  <c:v>29.999999999999968</c:v>
                </c:pt>
                <c:pt idx="61">
                  <c:v>39.499999999999964</c:v>
                </c:pt>
                <c:pt idx="62">
                  <c:v>28.911564625850311</c:v>
                </c:pt>
                <c:pt idx="63">
                  <c:v>24.863387978142054</c:v>
                </c:pt>
                <c:pt idx="64">
                  <c:v>25.030303030303006</c:v>
                </c:pt>
                <c:pt idx="65">
                  <c:v>24.999999999999979</c:v>
                </c:pt>
                <c:pt idx="66">
                  <c:v>24.999999999999979</c:v>
                </c:pt>
                <c:pt idx="67">
                  <c:v>24.999999999999979</c:v>
                </c:pt>
                <c:pt idx="68">
                  <c:v>25.020576131687221</c:v>
                </c:pt>
                <c:pt idx="69">
                  <c:v>25.093525179856094</c:v>
                </c:pt>
                <c:pt idx="70">
                  <c:v>23.148148148148127</c:v>
                </c:pt>
                <c:pt idx="71">
                  <c:v>24.464516129032255</c:v>
                </c:pt>
                <c:pt idx="72">
                  <c:v>29.699999999999996</c:v>
                </c:pt>
                <c:pt idx="73">
                  <c:v>27.720000000000002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69440"/>
        <c:axId val="298470000"/>
      </c:scatterChart>
      <c:valAx>
        <c:axId val="2984694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70000"/>
        <c:crosses val="autoZero"/>
        <c:crossBetween val="midCat"/>
        <c:majorUnit val="5"/>
      </c:valAx>
      <c:valAx>
        <c:axId val="29847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694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(All)'!$AZ$7:$AZ$107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(All)'!$AZ$7:$AZ$107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72800"/>
        <c:axId val="233497024"/>
      </c:scatterChart>
      <c:valAx>
        <c:axId val="298472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497024"/>
        <c:crosses val="autoZero"/>
        <c:crossBetween val="midCat"/>
        <c:majorUnit val="5"/>
      </c:valAx>
      <c:valAx>
        <c:axId val="23349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72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(All)'!$BB$7:$BB$107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(All)'!$BB$7:$BB$107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99824"/>
        <c:axId val="233500384"/>
      </c:scatterChart>
      <c:valAx>
        <c:axId val="233499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0384"/>
        <c:crosses val="autoZero"/>
        <c:crossBetween val="midCat"/>
        <c:majorUnit val="5"/>
      </c:valAx>
      <c:valAx>
        <c:axId val="2335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499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(All)'!$BA$7:$BA$107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(All)'!$BA$7:$BA$107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03184"/>
        <c:axId val="233503744"/>
      </c:scatterChart>
      <c:valAx>
        <c:axId val="233503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3744"/>
        <c:crosses val="autoZero"/>
        <c:crossBetween val="midCat"/>
        <c:majorUnit val="5"/>
      </c:valAx>
      <c:valAx>
        <c:axId val="2335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3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(All)'!$BD$7:$BD$107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(All)'!$BD$7:$BD$107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06544"/>
        <c:axId val="233507104"/>
      </c:scatterChart>
      <c:valAx>
        <c:axId val="233506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7104"/>
        <c:crosses val="autoZero"/>
        <c:crossBetween val="midCat"/>
        <c:majorUnit val="5"/>
      </c:valAx>
      <c:valAx>
        <c:axId val="23350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6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(All)'!$BE$7:$BE$107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(All)'!$BE$7:$BE$107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09904"/>
        <c:axId val="233510464"/>
      </c:scatterChart>
      <c:valAx>
        <c:axId val="233509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10464"/>
        <c:crosses val="autoZero"/>
        <c:crossBetween val="midCat"/>
        <c:majorUnit val="5"/>
      </c:valAx>
      <c:valAx>
        <c:axId val="2335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509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(All)'!$I$7:$I$107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(All)'!$I$7:$I$107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6192"/>
        <c:axId val="298485792"/>
      </c:scatterChart>
      <c:valAx>
        <c:axId val="3036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85792"/>
        <c:crosses val="autoZero"/>
        <c:crossBetween val="midCat"/>
        <c:majorUnit val="5"/>
      </c:valAx>
      <c:valAx>
        <c:axId val="29848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6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(All)'!$BF$7:$BF$107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(All)'!$BF$7:$BF$107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34800"/>
        <c:axId val="581035360"/>
      </c:scatterChart>
      <c:valAx>
        <c:axId val="581034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35360"/>
        <c:crosses val="autoZero"/>
        <c:crossBetween val="midCat"/>
        <c:majorUnit val="5"/>
      </c:valAx>
      <c:valAx>
        <c:axId val="58103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34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(All)'!$BG$7:$BG$107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(All)'!$BG$7:$BG$107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38160"/>
        <c:axId val="581038720"/>
      </c:scatterChart>
      <c:valAx>
        <c:axId val="581038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38720"/>
        <c:crosses val="autoZero"/>
        <c:crossBetween val="midCat"/>
        <c:majorUnit val="5"/>
      </c:valAx>
      <c:valAx>
        <c:axId val="5810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38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(All)'!$BH$7:$BH$107</c:f>
              <c:numCache>
                <c:formatCode>0.0000</c:formatCode>
                <c:ptCount val="101"/>
                <c:pt idx="62">
                  <c:v>76.227239251339455</c:v>
                </c:pt>
                <c:pt idx="63">
                  <c:v>98.631592932111232</c:v>
                </c:pt>
                <c:pt idx="64">
                  <c:v>88.970609635629117</c:v>
                </c:pt>
                <c:pt idx="65">
                  <c:v>96.665639183257085</c:v>
                </c:pt>
                <c:pt idx="66">
                  <c:v>63.229226072662726</c:v>
                </c:pt>
                <c:pt idx="67">
                  <c:v>60.224047796863552</c:v>
                </c:pt>
                <c:pt idx="68">
                  <c:v>73.442622950819583</c:v>
                </c:pt>
                <c:pt idx="70">
                  <c:v>20.300742913700393</c:v>
                </c:pt>
                <c:pt idx="71">
                  <c:v>73.652331920048454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(All)'!$BH$7:$BH$107</c:f>
              <c:numCache>
                <c:formatCode>0.0000</c:formatCode>
                <c:ptCount val="101"/>
                <c:pt idx="62">
                  <c:v>76.227239251339455</c:v>
                </c:pt>
                <c:pt idx="63">
                  <c:v>98.631592932111232</c:v>
                </c:pt>
                <c:pt idx="64">
                  <c:v>88.970609635629117</c:v>
                </c:pt>
                <c:pt idx="65">
                  <c:v>96.665639183257085</c:v>
                </c:pt>
                <c:pt idx="66">
                  <c:v>63.229226072662726</c:v>
                </c:pt>
                <c:pt idx="67">
                  <c:v>60.224047796863552</c:v>
                </c:pt>
                <c:pt idx="68">
                  <c:v>73.442622950819583</c:v>
                </c:pt>
                <c:pt idx="70">
                  <c:v>20.300742913700393</c:v>
                </c:pt>
                <c:pt idx="71">
                  <c:v>73.652331920048454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41520"/>
        <c:axId val="581042080"/>
      </c:scatterChart>
      <c:valAx>
        <c:axId val="5810415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2080"/>
        <c:crosses val="autoZero"/>
        <c:crossBetween val="midCat"/>
        <c:majorUnit val="5"/>
      </c:valAx>
      <c:valAx>
        <c:axId val="5810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15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(All)'!$BI$7:$BI$107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(All)'!$BI$7:$BI$107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44880"/>
        <c:axId val="581045440"/>
      </c:scatterChart>
      <c:valAx>
        <c:axId val="581044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5440"/>
        <c:crosses val="autoZero"/>
        <c:crossBetween val="midCat"/>
        <c:majorUnit val="5"/>
      </c:valAx>
      <c:valAx>
        <c:axId val="5810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4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(All)'!$BJ$7:$BJ$107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(All)'!$BJ$7:$BJ$107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48240"/>
        <c:axId val="581048800"/>
      </c:scatterChart>
      <c:valAx>
        <c:axId val="581048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8800"/>
        <c:crosses val="autoZero"/>
        <c:crossBetween val="midCat"/>
        <c:majorUnit val="5"/>
      </c:valAx>
      <c:valAx>
        <c:axId val="58104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048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(All)'!$BK$7:$BK$107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(All)'!$BK$7:$BK$107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32928"/>
        <c:axId val="237633488"/>
      </c:scatterChart>
      <c:valAx>
        <c:axId val="237632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33488"/>
        <c:crosses val="autoZero"/>
        <c:crossBetween val="midCat"/>
        <c:majorUnit val="5"/>
      </c:valAx>
      <c:valAx>
        <c:axId val="2376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32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(All)'!$BL$7:$BL$107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(All)'!$BL$7:$BL$107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36288"/>
        <c:axId val="237636848"/>
      </c:scatterChart>
      <c:valAx>
        <c:axId val="237636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36848"/>
        <c:crosses val="autoZero"/>
        <c:crossBetween val="midCat"/>
        <c:majorUnit val="5"/>
      </c:valAx>
      <c:valAx>
        <c:axId val="23763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3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(All)'!$BM$7:$BM$107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(All)'!$BM$7:$BM$107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39648"/>
        <c:axId val="237640208"/>
      </c:scatterChart>
      <c:valAx>
        <c:axId val="23763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40208"/>
        <c:crosses val="autoZero"/>
        <c:crossBetween val="midCat"/>
        <c:majorUnit val="5"/>
      </c:valAx>
      <c:valAx>
        <c:axId val="2376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3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(All)'!$BN$7:$BN$107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(All)'!$BN$7:$BN$107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43008"/>
        <c:axId val="237643568"/>
      </c:scatterChart>
      <c:valAx>
        <c:axId val="237643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43568"/>
        <c:crosses val="autoZero"/>
        <c:crossBetween val="midCat"/>
        <c:majorUnit val="5"/>
      </c:valAx>
      <c:valAx>
        <c:axId val="23764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43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(All)'!$BO$7:$BO$107</c:f>
              <c:numCache>
                <c:formatCode>0.0000</c:formatCode>
                <c:ptCount val="101"/>
                <c:pt idx="71">
                  <c:v>64.366935318345412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(All)'!$BO$7:$BO$107</c:f>
              <c:numCache>
                <c:formatCode>0.0000</c:formatCode>
                <c:ptCount val="101"/>
                <c:pt idx="71">
                  <c:v>64.366935318345412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46368"/>
        <c:axId val="237646928"/>
      </c:scatterChart>
      <c:valAx>
        <c:axId val="237646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46928"/>
        <c:crosses val="autoZero"/>
        <c:crossBetween val="midCat"/>
        <c:majorUnit val="5"/>
      </c:valAx>
      <c:valAx>
        <c:axId val="23764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646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s/ton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(All)'!$J$7:$J$107</c:f>
              <c:numCache>
                <c:formatCode>0.0000</c:formatCode>
                <c:ptCount val="101"/>
                <c:pt idx="24">
                  <c:v>218.59649122807016</c:v>
                </c:pt>
                <c:pt idx="25">
                  <c:v>141.22807017543883</c:v>
                </c:pt>
                <c:pt idx="26">
                  <c:v>112.98245614035072</c:v>
                </c:pt>
                <c:pt idx="64">
                  <c:v>67.878787878788089</c:v>
                </c:pt>
                <c:pt idx="65">
                  <c:v>61.09090909090893</c:v>
                </c:pt>
                <c:pt idx="69">
                  <c:v>35.999998720000001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(All)'!$J$7:$J$107</c:f>
              <c:numCache>
                <c:formatCode>0.0000</c:formatCode>
                <c:ptCount val="101"/>
                <c:pt idx="24">
                  <c:v>218.59649122807016</c:v>
                </c:pt>
                <c:pt idx="25">
                  <c:v>141.22807017543883</c:v>
                </c:pt>
                <c:pt idx="26">
                  <c:v>112.98245614035072</c:v>
                </c:pt>
                <c:pt idx="64">
                  <c:v>67.878787878788089</c:v>
                </c:pt>
                <c:pt idx="65">
                  <c:v>61.09090909090893</c:v>
                </c:pt>
                <c:pt idx="69">
                  <c:v>35.999998720000001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88592"/>
        <c:axId val="298489152"/>
      </c:scatterChart>
      <c:valAx>
        <c:axId val="298488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89152"/>
        <c:crosses val="autoZero"/>
        <c:crossBetween val="midCat"/>
        <c:majorUnit val="5"/>
      </c:valAx>
      <c:valAx>
        <c:axId val="29848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8488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(All)'!$BP$7:$BP$107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(All)'!$BP$7:$BP$107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81152"/>
        <c:axId val="610781712"/>
      </c:scatterChart>
      <c:valAx>
        <c:axId val="610781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1712"/>
        <c:crosses val="autoZero"/>
        <c:crossBetween val="midCat"/>
        <c:majorUnit val="5"/>
      </c:valAx>
      <c:valAx>
        <c:axId val="61078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1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(All)'!$BQ$7:$BQ$107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(All)'!$BQ$7:$BQ$107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84512"/>
        <c:axId val="610785072"/>
      </c:scatterChart>
      <c:valAx>
        <c:axId val="6107845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5072"/>
        <c:crosses val="autoZero"/>
        <c:crossBetween val="midCat"/>
        <c:majorUnit val="5"/>
      </c:valAx>
      <c:valAx>
        <c:axId val="6107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45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(All)'!$BR$7:$BR$107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(All)'!$BR$7:$BR$107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87872"/>
        <c:axId val="610788432"/>
      </c:scatterChart>
      <c:valAx>
        <c:axId val="610787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8432"/>
        <c:crosses val="autoZero"/>
        <c:crossBetween val="midCat"/>
        <c:majorUnit val="5"/>
      </c:valAx>
      <c:valAx>
        <c:axId val="61078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87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(All)'!$BS$7:$BS$107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(All)'!$BS$7:$BS$107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91232"/>
        <c:axId val="610791792"/>
      </c:scatterChart>
      <c:valAx>
        <c:axId val="610791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91792"/>
        <c:crosses val="autoZero"/>
        <c:crossBetween val="midCat"/>
        <c:majorUnit val="5"/>
      </c:valAx>
      <c:valAx>
        <c:axId val="61079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91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(All)'!$BT$7:$BT$107</c:f>
              <c:numCache>
                <c:formatCode>0.0000</c:formatCode>
                <c:ptCount val="101"/>
                <c:pt idx="62">
                  <c:v>23.872129527816284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(All)'!$BT$7:$BT$107</c:f>
              <c:numCache>
                <c:formatCode>0.0000</c:formatCode>
                <c:ptCount val="101"/>
                <c:pt idx="62">
                  <c:v>23.872129527816284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94592"/>
        <c:axId val="610795152"/>
      </c:scatterChart>
      <c:valAx>
        <c:axId val="610794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95152"/>
        <c:crosses val="autoZero"/>
        <c:crossBetween val="midCat"/>
        <c:majorUnit val="5"/>
      </c:valAx>
      <c:valAx>
        <c:axId val="6107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794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(All)'!$BU$7:$BU$107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(All)'!$BU$7:$BU$107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56416"/>
        <c:axId val="615356976"/>
      </c:scatterChart>
      <c:valAx>
        <c:axId val="615356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56976"/>
        <c:crosses val="autoZero"/>
        <c:crossBetween val="midCat"/>
        <c:majorUnit val="5"/>
      </c:valAx>
      <c:valAx>
        <c:axId val="61535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56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s/ton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(All)'!$BV$7:$BV$107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(All)'!$BV$7:$BV$107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59776"/>
        <c:axId val="615360336"/>
      </c:scatterChart>
      <c:valAx>
        <c:axId val="615359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0336"/>
        <c:crosses val="autoZero"/>
        <c:crossBetween val="midCat"/>
        <c:majorUnit val="5"/>
      </c:valAx>
      <c:valAx>
        <c:axId val="61536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59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(All)'!$BW$7:$BW$107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(All)'!$BW$7:$BW$107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63136"/>
        <c:axId val="615363696"/>
      </c:scatterChart>
      <c:valAx>
        <c:axId val="615363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3696"/>
        <c:crosses val="autoZero"/>
        <c:crossBetween val="midCat"/>
        <c:majorUnit val="5"/>
      </c:valAx>
      <c:valAx>
        <c:axId val="61536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3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(All)'!$BX$7:$BX$107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(All)'!$BX$7:$BX$107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66496"/>
        <c:axId val="615367056"/>
      </c:scatterChart>
      <c:valAx>
        <c:axId val="615366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7056"/>
        <c:crosses val="autoZero"/>
        <c:crossBetween val="midCat"/>
        <c:majorUnit val="5"/>
      </c:valAx>
      <c:valAx>
        <c:axId val="61536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6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(All)'!$BY$7:$BY$107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(All)'!$BY$7:$BY$107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69856"/>
        <c:axId val="615370416"/>
      </c:scatterChart>
      <c:valAx>
        <c:axId val="615369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70416"/>
        <c:crosses val="autoZero"/>
        <c:crossBetween val="midCat"/>
        <c:majorUnit val="5"/>
      </c:valAx>
      <c:valAx>
        <c:axId val="6153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69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(All)'!$Q$7:$Q$107</c:f>
              <c:numCache>
                <c:formatCode>0.0000</c:formatCode>
                <c:ptCount val="101"/>
                <c:pt idx="36">
                  <c:v>32.558139534883743</c:v>
                </c:pt>
                <c:pt idx="37">
                  <c:v>29.876262626262616</c:v>
                </c:pt>
                <c:pt idx="39">
                  <c:v>31.111111111111093</c:v>
                </c:pt>
                <c:pt idx="40">
                  <c:v>33.333333333333329</c:v>
                </c:pt>
                <c:pt idx="41">
                  <c:v>35.555555555555571</c:v>
                </c:pt>
                <c:pt idx="42">
                  <c:v>40.000000000000007</c:v>
                </c:pt>
                <c:pt idx="43">
                  <c:v>41.328413284132843</c:v>
                </c:pt>
                <c:pt idx="44">
                  <c:v>42.647058823529399</c:v>
                </c:pt>
                <c:pt idx="45">
                  <c:v>29.999999999999996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29.999999999999996</c:v>
                </c:pt>
                <c:pt idx="51">
                  <c:v>76.363636363636161</c:v>
                </c:pt>
                <c:pt idx="52">
                  <c:v>30.624999999999996</c:v>
                </c:pt>
                <c:pt idx="53">
                  <c:v>31.280898876404486</c:v>
                </c:pt>
                <c:pt idx="54">
                  <c:v>29.999999999999996</c:v>
                </c:pt>
                <c:pt idx="55">
                  <c:v>30.294117647058808</c:v>
                </c:pt>
                <c:pt idx="56">
                  <c:v>29.930795847750872</c:v>
                </c:pt>
                <c:pt idx="57">
                  <c:v>27.874999999999979</c:v>
                </c:pt>
                <c:pt idx="58">
                  <c:v>31.999999999999986</c:v>
                </c:pt>
                <c:pt idx="59">
                  <c:v>37.702127659574472</c:v>
                </c:pt>
                <c:pt idx="60">
                  <c:v>39.044092898014135</c:v>
                </c:pt>
                <c:pt idx="61">
                  <c:v>35.115511551155123</c:v>
                </c:pt>
                <c:pt idx="62">
                  <c:v>17.303370786516865</c:v>
                </c:pt>
                <c:pt idx="63">
                  <c:v>30.514579759862777</c:v>
                </c:pt>
                <c:pt idx="64">
                  <c:v>39.640718562874241</c:v>
                </c:pt>
                <c:pt idx="65">
                  <c:v>32.109181141439223</c:v>
                </c:pt>
                <c:pt idx="66">
                  <c:v>34.202650705429654</c:v>
                </c:pt>
                <c:pt idx="67">
                  <c:v>33.726866624122515</c:v>
                </c:pt>
                <c:pt idx="68">
                  <c:v>31.073797678275298</c:v>
                </c:pt>
                <c:pt idx="69">
                  <c:v>28.808691308691301</c:v>
                </c:pt>
                <c:pt idx="70">
                  <c:v>30.861538461538448</c:v>
                </c:pt>
                <c:pt idx="71">
                  <c:v>30.582714118107155</c:v>
                </c:pt>
                <c:pt idx="72">
                  <c:v>33.131283524342706</c:v>
                </c:pt>
                <c:pt idx="73">
                  <c:v>38.122012932246299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(All)'!$Q$7:$Q$107</c:f>
              <c:numCache>
                <c:formatCode>0.0000</c:formatCode>
                <c:ptCount val="101"/>
                <c:pt idx="36">
                  <c:v>32.558139534883743</c:v>
                </c:pt>
                <c:pt idx="37">
                  <c:v>29.876262626262616</c:v>
                </c:pt>
                <c:pt idx="39">
                  <c:v>31.111111111111093</c:v>
                </c:pt>
                <c:pt idx="40">
                  <c:v>33.333333333333329</c:v>
                </c:pt>
                <c:pt idx="41">
                  <c:v>35.555555555555571</c:v>
                </c:pt>
                <c:pt idx="42">
                  <c:v>40.000000000000007</c:v>
                </c:pt>
                <c:pt idx="43">
                  <c:v>41.328413284132843</c:v>
                </c:pt>
                <c:pt idx="44">
                  <c:v>42.647058823529399</c:v>
                </c:pt>
                <c:pt idx="45">
                  <c:v>29.999999999999996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29.999999999999996</c:v>
                </c:pt>
                <c:pt idx="51">
                  <c:v>76.363636363636161</c:v>
                </c:pt>
                <c:pt idx="52">
                  <c:v>30.624999999999996</c:v>
                </c:pt>
                <c:pt idx="53">
                  <c:v>31.280898876404486</c:v>
                </c:pt>
                <c:pt idx="54">
                  <c:v>29.999999999999996</c:v>
                </c:pt>
                <c:pt idx="55">
                  <c:v>30.294117647058808</c:v>
                </c:pt>
                <c:pt idx="56">
                  <c:v>29.930795847750872</c:v>
                </c:pt>
                <c:pt idx="57">
                  <c:v>27.874999999999979</c:v>
                </c:pt>
                <c:pt idx="58">
                  <c:v>31.999999999999986</c:v>
                </c:pt>
                <c:pt idx="59">
                  <c:v>37.702127659574472</c:v>
                </c:pt>
                <c:pt idx="60">
                  <c:v>39.044092898014135</c:v>
                </c:pt>
                <c:pt idx="61">
                  <c:v>35.115511551155123</c:v>
                </c:pt>
                <c:pt idx="62">
                  <c:v>17.303370786516865</c:v>
                </c:pt>
                <c:pt idx="63">
                  <c:v>30.514579759862777</c:v>
                </c:pt>
                <c:pt idx="64">
                  <c:v>39.640718562874241</c:v>
                </c:pt>
                <c:pt idx="65">
                  <c:v>32.109181141439223</c:v>
                </c:pt>
                <c:pt idx="66">
                  <c:v>34.202650705429654</c:v>
                </c:pt>
                <c:pt idx="67">
                  <c:v>33.726866624122515</c:v>
                </c:pt>
                <c:pt idx="68">
                  <c:v>31.073797678275298</c:v>
                </c:pt>
                <c:pt idx="69">
                  <c:v>28.808691308691301</c:v>
                </c:pt>
                <c:pt idx="70">
                  <c:v>30.861538461538448</c:v>
                </c:pt>
                <c:pt idx="71">
                  <c:v>30.582714118107155</c:v>
                </c:pt>
                <c:pt idx="72">
                  <c:v>33.131283524342706</c:v>
                </c:pt>
                <c:pt idx="73">
                  <c:v>38.122012932246299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44928"/>
        <c:axId val="234945488"/>
      </c:scatterChart>
      <c:valAx>
        <c:axId val="234944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4945488"/>
        <c:crosses val="autoZero"/>
        <c:crossBetween val="midCat"/>
        <c:majorUnit val="5"/>
      </c:valAx>
      <c:valAx>
        <c:axId val="2349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4944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(All)'!$BZ$7:$BZ$107</c:f>
              <c:numCache>
                <c:formatCode>0.0000</c:formatCode>
                <c:ptCount val="101"/>
                <c:pt idx="66">
                  <c:v>33.538329586850104</c:v>
                </c:pt>
                <c:pt idx="67">
                  <c:v>32.380059384278816</c:v>
                </c:pt>
                <c:pt idx="68">
                  <c:v>32.695002335357287</c:v>
                </c:pt>
                <c:pt idx="69">
                  <c:v>28.748648529463203</c:v>
                </c:pt>
                <c:pt idx="70">
                  <c:v>28.609945970375303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(All)'!$BZ$7:$BZ$107</c:f>
              <c:numCache>
                <c:formatCode>0.0000</c:formatCode>
                <c:ptCount val="101"/>
                <c:pt idx="66">
                  <c:v>33.538329586850104</c:v>
                </c:pt>
                <c:pt idx="67">
                  <c:v>32.380059384278816</c:v>
                </c:pt>
                <c:pt idx="68">
                  <c:v>32.695002335357287</c:v>
                </c:pt>
                <c:pt idx="69">
                  <c:v>28.748648529463203</c:v>
                </c:pt>
                <c:pt idx="70">
                  <c:v>28.609945970375303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30352"/>
        <c:axId val="543230912"/>
      </c:scatterChart>
      <c:valAx>
        <c:axId val="543230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0912"/>
        <c:crosses val="autoZero"/>
        <c:crossBetween val="midCat"/>
        <c:majorUnit val="5"/>
      </c:valAx>
      <c:valAx>
        <c:axId val="54323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0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(All)'!$CA$7:$CA$107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(All)'!$CA$7:$CA$107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33712"/>
        <c:axId val="543234272"/>
      </c:scatterChart>
      <c:valAx>
        <c:axId val="5432337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4272"/>
        <c:crosses val="autoZero"/>
        <c:crossBetween val="midCat"/>
        <c:majorUnit val="5"/>
      </c:valAx>
      <c:valAx>
        <c:axId val="5432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37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(All)'!$CB$7:$CB$107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(All)'!$CB$7:$CB$107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37072"/>
        <c:axId val="543237632"/>
      </c:scatterChart>
      <c:valAx>
        <c:axId val="543237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7632"/>
        <c:crosses val="autoZero"/>
        <c:crossBetween val="midCat"/>
        <c:majorUnit val="5"/>
      </c:valAx>
      <c:valAx>
        <c:axId val="54323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37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(All)'!$CC$7:$CC$107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(All)'!$CC$7:$CC$107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40432"/>
        <c:axId val="543240992"/>
      </c:scatterChart>
      <c:valAx>
        <c:axId val="543240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40992"/>
        <c:crosses val="autoZero"/>
        <c:crossBetween val="midCat"/>
        <c:majorUnit val="5"/>
      </c:valAx>
      <c:valAx>
        <c:axId val="54324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40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(All)'!$CD$7:$CD$107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(All)'!$CD$7:$CD$107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43792"/>
        <c:axId val="338108496"/>
      </c:scatterChart>
      <c:valAx>
        <c:axId val="543243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08496"/>
        <c:crosses val="autoZero"/>
        <c:crossBetween val="midCat"/>
        <c:majorUnit val="5"/>
      </c:valAx>
      <c:valAx>
        <c:axId val="3381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243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(All)'!$CE$7:$CE$107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(All)'!$CE$7:$CE$107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1296"/>
        <c:axId val="338111856"/>
      </c:scatterChart>
      <c:valAx>
        <c:axId val="338111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1856"/>
        <c:crosses val="autoZero"/>
        <c:crossBetween val="midCat"/>
        <c:majorUnit val="5"/>
      </c:valAx>
      <c:valAx>
        <c:axId val="33811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1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(All)'!$CF$7:$CF$107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(All)'!$CF$7:$CF$107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4656"/>
        <c:axId val="338115216"/>
      </c:scatterChart>
      <c:valAx>
        <c:axId val="338114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5216"/>
        <c:crosses val="autoZero"/>
        <c:crossBetween val="midCat"/>
        <c:majorUnit val="5"/>
      </c:valAx>
      <c:valAx>
        <c:axId val="3381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4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(All)'!$CG$7:$CG$107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(All)'!$CG$7:$CG$107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8016"/>
        <c:axId val="338118576"/>
      </c:scatterChart>
      <c:valAx>
        <c:axId val="3381180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8576"/>
        <c:crosses val="autoZero"/>
        <c:crossBetween val="midCat"/>
        <c:majorUnit val="5"/>
      </c:valAx>
      <c:valAx>
        <c:axId val="33811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180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(All)'!$CH$7:$CH$107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(All)'!$CH$7:$CH$107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21376"/>
        <c:axId val="338121936"/>
      </c:scatterChart>
      <c:valAx>
        <c:axId val="338121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21936"/>
        <c:crosses val="autoZero"/>
        <c:crossBetween val="midCat"/>
        <c:majorUnit val="5"/>
      </c:valAx>
      <c:valAx>
        <c:axId val="3381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121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(All)'!$CI$7:$CI$107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(All)'!$CI$7:$CI$107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38016"/>
        <c:axId val="362238576"/>
      </c:scatterChart>
      <c:valAx>
        <c:axId val="3622380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38576"/>
        <c:crosses val="autoZero"/>
        <c:crossBetween val="midCat"/>
        <c:majorUnit val="5"/>
      </c:valAx>
      <c:valAx>
        <c:axId val="3622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380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(All)'!$R$7:$R$107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(All)'!$R$7:$R$107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208480"/>
        <c:axId val="338209040"/>
      </c:scatterChart>
      <c:valAx>
        <c:axId val="338208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209040"/>
        <c:crosses val="autoZero"/>
        <c:crossBetween val="midCat"/>
        <c:majorUnit val="5"/>
      </c:valAx>
      <c:valAx>
        <c:axId val="33820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208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(All)'!$CJ$7:$CJ$107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(All)'!$CJ$7:$CJ$107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41376"/>
        <c:axId val="362241936"/>
      </c:scatterChart>
      <c:valAx>
        <c:axId val="362241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1936"/>
        <c:crosses val="autoZero"/>
        <c:crossBetween val="midCat"/>
        <c:majorUnit val="5"/>
      </c:valAx>
      <c:valAx>
        <c:axId val="3622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1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(All)'!$CK$7:$CK$107</c:f>
              <c:numCache>
                <c:formatCode>0.0000</c:formatCode>
                <c:ptCount val="101"/>
                <c:pt idx="48">
                  <c:v>35.725490196078439</c:v>
                </c:pt>
                <c:pt idx="49">
                  <c:v>41.407249466950802</c:v>
                </c:pt>
                <c:pt idx="50">
                  <c:v>57.142857142857196</c:v>
                </c:pt>
                <c:pt idx="51">
                  <c:v>50.021052631578797</c:v>
                </c:pt>
                <c:pt idx="52">
                  <c:v>50.749999999999993</c:v>
                </c:pt>
                <c:pt idx="53">
                  <c:v>50.018018018017997</c:v>
                </c:pt>
                <c:pt idx="56">
                  <c:v>19.69131832797428</c:v>
                </c:pt>
                <c:pt idx="57">
                  <c:v>20.760869565217398</c:v>
                </c:pt>
                <c:pt idx="60">
                  <c:v>77.931034482758804</c:v>
                </c:pt>
                <c:pt idx="61">
                  <c:v>39.973924380704041</c:v>
                </c:pt>
                <c:pt idx="62">
                  <c:v>42.5</c:v>
                </c:pt>
                <c:pt idx="63">
                  <c:v>133.5703703703704</c:v>
                </c:pt>
                <c:pt idx="64">
                  <c:v>57.333333333333201</c:v>
                </c:pt>
                <c:pt idx="65">
                  <c:v>73.269841269841194</c:v>
                </c:pt>
                <c:pt idx="66">
                  <c:v>119.23333333333319</c:v>
                </c:pt>
                <c:pt idx="67">
                  <c:v>114.08934707903759</c:v>
                </c:pt>
                <c:pt idx="68">
                  <c:v>53.885350318471204</c:v>
                </c:pt>
                <c:pt idx="69">
                  <c:v>94.678780012978407</c:v>
                </c:pt>
                <c:pt idx="70">
                  <c:v>106.24430264357321</c:v>
                </c:pt>
                <c:pt idx="71">
                  <c:v>98.302180685358394</c:v>
                </c:pt>
                <c:pt idx="72">
                  <c:v>106.62915025323601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(All)'!$CK$7:$CK$107</c:f>
              <c:numCache>
                <c:formatCode>0.0000</c:formatCode>
                <c:ptCount val="101"/>
                <c:pt idx="48">
                  <c:v>35.725490196078439</c:v>
                </c:pt>
                <c:pt idx="49">
                  <c:v>41.407249466950802</c:v>
                </c:pt>
                <c:pt idx="50">
                  <c:v>57.142857142857196</c:v>
                </c:pt>
                <c:pt idx="51">
                  <c:v>50.021052631578797</c:v>
                </c:pt>
                <c:pt idx="52">
                  <c:v>50.749999999999993</c:v>
                </c:pt>
                <c:pt idx="53">
                  <c:v>50.018018018017997</c:v>
                </c:pt>
                <c:pt idx="56">
                  <c:v>19.69131832797428</c:v>
                </c:pt>
                <c:pt idx="57">
                  <c:v>20.760869565217398</c:v>
                </c:pt>
                <c:pt idx="60">
                  <c:v>77.931034482758804</c:v>
                </c:pt>
                <c:pt idx="61">
                  <c:v>39.973924380704041</c:v>
                </c:pt>
                <c:pt idx="62">
                  <c:v>42.5</c:v>
                </c:pt>
                <c:pt idx="63">
                  <c:v>133.5703703703704</c:v>
                </c:pt>
                <c:pt idx="64">
                  <c:v>57.333333333333201</c:v>
                </c:pt>
                <c:pt idx="65">
                  <c:v>73.269841269841194</c:v>
                </c:pt>
                <c:pt idx="66">
                  <c:v>119.23333333333319</c:v>
                </c:pt>
                <c:pt idx="67">
                  <c:v>114.08934707903759</c:v>
                </c:pt>
                <c:pt idx="68">
                  <c:v>53.885350318471204</c:v>
                </c:pt>
                <c:pt idx="69">
                  <c:v>94.678780012978407</c:v>
                </c:pt>
                <c:pt idx="70">
                  <c:v>106.24430264357321</c:v>
                </c:pt>
                <c:pt idx="71">
                  <c:v>98.302180685358394</c:v>
                </c:pt>
                <c:pt idx="72">
                  <c:v>106.62915025323601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44736"/>
        <c:axId val="362245296"/>
      </c:scatterChart>
      <c:valAx>
        <c:axId val="362244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5296"/>
        <c:crosses val="autoZero"/>
        <c:crossBetween val="midCat"/>
        <c:majorUnit val="5"/>
      </c:valAx>
      <c:valAx>
        <c:axId val="36224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4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(All)'!$CL$7:$CL$107</c:f>
              <c:numCache>
                <c:formatCode>0.0000</c:formatCode>
                <c:ptCount val="101"/>
                <c:pt idx="67">
                  <c:v>66.666666666666799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(All)'!$CL$7:$CL$107</c:f>
              <c:numCache>
                <c:formatCode>0.0000</c:formatCode>
                <c:ptCount val="101"/>
                <c:pt idx="67">
                  <c:v>66.666666666666799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48096"/>
        <c:axId val="362248656"/>
      </c:scatterChart>
      <c:valAx>
        <c:axId val="362248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8656"/>
        <c:crosses val="autoZero"/>
        <c:crossBetween val="midCat"/>
        <c:majorUnit val="5"/>
      </c:valAx>
      <c:valAx>
        <c:axId val="36224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48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(All)'!$CM$7:$CM$107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(All)'!$CM$7:$CM$107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51456"/>
        <c:axId val="362252016"/>
      </c:scatterChart>
      <c:valAx>
        <c:axId val="362251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2016"/>
        <c:crosses val="autoZero"/>
        <c:crossBetween val="midCat"/>
        <c:majorUnit val="5"/>
      </c:valAx>
      <c:valAx>
        <c:axId val="36225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1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(All)'!$CN$7:$CN$107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(All)'!$CN$7:$CN$107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54816"/>
        <c:axId val="362255376"/>
      </c:scatterChart>
      <c:valAx>
        <c:axId val="362254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5376"/>
        <c:crosses val="autoZero"/>
        <c:crossBetween val="midCat"/>
        <c:majorUnit val="5"/>
      </c:valAx>
      <c:valAx>
        <c:axId val="36225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4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(All)'!$CO$7:$CO$107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(All)'!$CO$7:$CO$107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58176"/>
        <c:axId val="362258736"/>
      </c:scatterChart>
      <c:valAx>
        <c:axId val="362258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8736"/>
        <c:crosses val="autoZero"/>
        <c:crossBetween val="midCat"/>
        <c:majorUnit val="5"/>
      </c:valAx>
      <c:valAx>
        <c:axId val="3622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58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(All)'!$CP$7:$CP$107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(All)'!$CP$7:$CP$107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61536"/>
        <c:axId val="362262096"/>
      </c:scatterChart>
      <c:valAx>
        <c:axId val="362261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2096"/>
        <c:crosses val="autoZero"/>
        <c:crossBetween val="midCat"/>
        <c:majorUnit val="5"/>
      </c:valAx>
      <c:valAx>
        <c:axId val="3622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1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(All)'!$CQ$7:$CQ$107</c:f>
              <c:numCache>
                <c:formatCode>0.0000</c:formatCode>
                <c:ptCount val="101"/>
                <c:pt idx="51">
                  <c:v>39.823008849557603</c:v>
                </c:pt>
                <c:pt idx="52">
                  <c:v>35</c:v>
                </c:pt>
                <c:pt idx="53">
                  <c:v>31.840000000000003</c:v>
                </c:pt>
                <c:pt idx="54">
                  <c:v>30</c:v>
                </c:pt>
                <c:pt idx="55">
                  <c:v>24.285714285714199</c:v>
                </c:pt>
                <c:pt idx="56">
                  <c:v>29.908592321755002</c:v>
                </c:pt>
                <c:pt idx="57">
                  <c:v>36.046511627907002</c:v>
                </c:pt>
                <c:pt idx="58">
                  <c:v>30</c:v>
                </c:pt>
                <c:pt idx="59">
                  <c:v>36.6666666666666</c:v>
                </c:pt>
                <c:pt idx="60">
                  <c:v>50</c:v>
                </c:pt>
                <c:pt idx="61">
                  <c:v>20.9302325581396</c:v>
                </c:pt>
                <c:pt idx="62">
                  <c:v>40</c:v>
                </c:pt>
                <c:pt idx="67">
                  <c:v>19.2</c:v>
                </c:pt>
                <c:pt idx="68">
                  <c:v>47.074468085106396</c:v>
                </c:pt>
                <c:pt idx="69">
                  <c:v>46.704000000000001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(All)'!$CQ$7:$CQ$107</c:f>
              <c:numCache>
                <c:formatCode>0.0000</c:formatCode>
                <c:ptCount val="101"/>
                <c:pt idx="51">
                  <c:v>39.823008849557603</c:v>
                </c:pt>
                <c:pt idx="52">
                  <c:v>35</c:v>
                </c:pt>
                <c:pt idx="53">
                  <c:v>31.840000000000003</c:v>
                </c:pt>
                <c:pt idx="54">
                  <c:v>30</c:v>
                </c:pt>
                <c:pt idx="55">
                  <c:v>24.285714285714199</c:v>
                </c:pt>
                <c:pt idx="56">
                  <c:v>29.908592321755002</c:v>
                </c:pt>
                <c:pt idx="57">
                  <c:v>36.046511627907002</c:v>
                </c:pt>
                <c:pt idx="58">
                  <c:v>30</c:v>
                </c:pt>
                <c:pt idx="59">
                  <c:v>36.6666666666666</c:v>
                </c:pt>
                <c:pt idx="60">
                  <c:v>50</c:v>
                </c:pt>
                <c:pt idx="61">
                  <c:v>20.9302325581396</c:v>
                </c:pt>
                <c:pt idx="62">
                  <c:v>40</c:v>
                </c:pt>
                <c:pt idx="67">
                  <c:v>19.2</c:v>
                </c:pt>
                <c:pt idx="68">
                  <c:v>47.074468085106396</c:v>
                </c:pt>
                <c:pt idx="69">
                  <c:v>46.704000000000001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64896"/>
        <c:axId val="362265456"/>
      </c:scatterChart>
      <c:valAx>
        <c:axId val="3622648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5456"/>
        <c:crosses val="autoZero"/>
        <c:crossBetween val="midCat"/>
        <c:majorUnit val="5"/>
      </c:valAx>
      <c:valAx>
        <c:axId val="3622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4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(All)'!$CR$7:$CR$107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(All)'!$CR$7:$CR$107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68256"/>
        <c:axId val="362268816"/>
      </c:scatterChart>
      <c:valAx>
        <c:axId val="362268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8816"/>
        <c:crosses val="autoZero"/>
        <c:crossBetween val="midCat"/>
        <c:majorUnit val="5"/>
      </c:valAx>
      <c:valAx>
        <c:axId val="36226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268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(All)'!$CS$7:$CS$107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(All)'!$CS$7:$CS$107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88640"/>
        <c:axId val="236389200"/>
      </c:scatterChart>
      <c:valAx>
        <c:axId val="2363886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89200"/>
        <c:crosses val="autoZero"/>
        <c:crossBetween val="midCat"/>
        <c:majorUnit val="5"/>
      </c:valAx>
      <c:valAx>
        <c:axId val="23638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88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(All)'!$S$7:$S$107</c:f>
              <c:numCache>
                <c:formatCode>0.0000</c:formatCode>
                <c:ptCount val="101"/>
                <c:pt idx="18">
                  <c:v>151.19763647854657</c:v>
                </c:pt>
                <c:pt idx="40">
                  <c:v>68.726198399339268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(All)'!$S$7:$S$107</c:f>
              <c:numCache>
                <c:formatCode>0.0000</c:formatCode>
                <c:ptCount val="101"/>
                <c:pt idx="18">
                  <c:v>151.19763647854657</c:v>
                </c:pt>
                <c:pt idx="40">
                  <c:v>68.726198399339268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27392"/>
        <c:axId val="180927952"/>
      </c:scatterChart>
      <c:valAx>
        <c:axId val="180927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927952"/>
        <c:crosses val="autoZero"/>
        <c:crossBetween val="midCat"/>
        <c:majorUnit val="5"/>
      </c:valAx>
      <c:valAx>
        <c:axId val="18092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927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(All)'!$CT$7:$CT$107</c:f>
              <c:numCache>
                <c:formatCode>0.0000</c:formatCode>
                <c:ptCount val="101"/>
                <c:pt idx="57">
                  <c:v>31.071428571428562</c:v>
                </c:pt>
                <c:pt idx="58">
                  <c:v>38.666666666666686</c:v>
                </c:pt>
                <c:pt idx="59">
                  <c:v>53.451327433628407</c:v>
                </c:pt>
                <c:pt idx="60">
                  <c:v>53.226666666666802</c:v>
                </c:pt>
                <c:pt idx="61">
                  <c:v>53.333333333333201</c:v>
                </c:pt>
                <c:pt idx="62">
                  <c:v>69.97690531177841</c:v>
                </c:pt>
                <c:pt idx="63">
                  <c:v>84</c:v>
                </c:pt>
                <c:pt idx="64">
                  <c:v>84.552845528455194</c:v>
                </c:pt>
                <c:pt idx="65">
                  <c:v>78.705281090289603</c:v>
                </c:pt>
                <c:pt idx="66">
                  <c:v>64.625131995776002</c:v>
                </c:pt>
                <c:pt idx="67">
                  <c:v>87.635625181317195</c:v>
                </c:pt>
                <c:pt idx="68">
                  <c:v>117.66200762388802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(All)'!$CT$7:$CT$107</c:f>
              <c:numCache>
                <c:formatCode>0.0000</c:formatCode>
                <c:ptCount val="101"/>
                <c:pt idx="57">
                  <c:v>31.071428571428562</c:v>
                </c:pt>
                <c:pt idx="58">
                  <c:v>38.666666666666686</c:v>
                </c:pt>
                <c:pt idx="59">
                  <c:v>53.451327433628407</c:v>
                </c:pt>
                <c:pt idx="60">
                  <c:v>53.226666666666802</c:v>
                </c:pt>
                <c:pt idx="61">
                  <c:v>53.333333333333201</c:v>
                </c:pt>
                <c:pt idx="62">
                  <c:v>69.97690531177841</c:v>
                </c:pt>
                <c:pt idx="63">
                  <c:v>84</c:v>
                </c:pt>
                <c:pt idx="64">
                  <c:v>84.552845528455194</c:v>
                </c:pt>
                <c:pt idx="65">
                  <c:v>78.705281090289603</c:v>
                </c:pt>
                <c:pt idx="66">
                  <c:v>64.625131995776002</c:v>
                </c:pt>
                <c:pt idx="67">
                  <c:v>87.635625181317195</c:v>
                </c:pt>
                <c:pt idx="68">
                  <c:v>117.66200762388802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92000"/>
        <c:axId val="236392560"/>
      </c:scatterChart>
      <c:valAx>
        <c:axId val="2363920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2560"/>
        <c:crosses val="autoZero"/>
        <c:crossBetween val="midCat"/>
        <c:majorUnit val="5"/>
      </c:valAx>
      <c:valAx>
        <c:axId val="23639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2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(All)'!$CU$7:$CU$107</c:f>
              <c:numCache>
                <c:formatCode>0.0000</c:formatCode>
                <c:ptCount val="101"/>
                <c:pt idx="66">
                  <c:v>85.207100591715999</c:v>
                </c:pt>
                <c:pt idx="67">
                  <c:v>67.632850241546009</c:v>
                </c:pt>
                <c:pt idx="68">
                  <c:v>153.46534653465361</c:v>
                </c:pt>
                <c:pt idx="69">
                  <c:v>102.57477243172961</c:v>
                </c:pt>
                <c:pt idx="70">
                  <c:v>57.711442786069597</c:v>
                </c:pt>
                <c:pt idx="71">
                  <c:v>99.587345254470407</c:v>
                </c:pt>
                <c:pt idx="72">
                  <c:v>89.072847682119203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(All)'!$CU$7:$CU$107</c:f>
              <c:numCache>
                <c:formatCode>0.0000</c:formatCode>
                <c:ptCount val="101"/>
                <c:pt idx="66">
                  <c:v>85.207100591715999</c:v>
                </c:pt>
                <c:pt idx="67">
                  <c:v>67.632850241546009</c:v>
                </c:pt>
                <c:pt idx="68">
                  <c:v>153.46534653465361</c:v>
                </c:pt>
                <c:pt idx="69">
                  <c:v>102.57477243172961</c:v>
                </c:pt>
                <c:pt idx="70">
                  <c:v>57.711442786069597</c:v>
                </c:pt>
                <c:pt idx="71">
                  <c:v>99.587345254470407</c:v>
                </c:pt>
                <c:pt idx="72">
                  <c:v>89.072847682119203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95360"/>
        <c:axId val="236395920"/>
      </c:scatterChart>
      <c:valAx>
        <c:axId val="236395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5920"/>
        <c:crosses val="autoZero"/>
        <c:crossBetween val="midCat"/>
        <c:majorUnit val="5"/>
      </c:valAx>
      <c:valAx>
        <c:axId val="23639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5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(All)'!$CV$7:$CV$107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(All)'!$CV$7:$CV$107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98720"/>
        <c:axId val="236399280"/>
      </c:scatterChart>
      <c:valAx>
        <c:axId val="236398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9280"/>
        <c:crosses val="autoZero"/>
        <c:crossBetween val="midCat"/>
        <c:majorUnit val="5"/>
      </c:valAx>
      <c:valAx>
        <c:axId val="23639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98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(All)'!$CW$7:$CW$107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(All)'!$CW$7:$CW$107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02080"/>
        <c:axId val="236402640"/>
      </c:scatterChart>
      <c:valAx>
        <c:axId val="236402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2640"/>
        <c:crosses val="autoZero"/>
        <c:crossBetween val="midCat"/>
        <c:majorUnit val="5"/>
      </c:valAx>
      <c:valAx>
        <c:axId val="23640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2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(All)'!$CX$7:$CX$107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(All)'!$CX$7:$CX$107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05440"/>
        <c:axId val="236406000"/>
      </c:scatterChart>
      <c:valAx>
        <c:axId val="2364054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6000"/>
        <c:crosses val="autoZero"/>
        <c:crossBetween val="midCat"/>
        <c:majorUnit val="5"/>
      </c:valAx>
      <c:valAx>
        <c:axId val="23640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54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 (via Bombay), Imports, in s/ton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(All)'!$CY$7:$CY$107</c:f>
              <c:numCache>
                <c:formatCode>General</c:formatCode>
                <c:ptCount val="101"/>
                <c:pt idx="25" formatCode="0.0000">
                  <c:v>41.473361323542186</c:v>
                </c:pt>
                <c:pt idx="26" formatCode="0.0000">
                  <c:v>38.652651646823671</c:v>
                </c:pt>
                <c:pt idx="27" formatCode="0.0000">
                  <c:v>41.606565568784212</c:v>
                </c:pt>
                <c:pt idx="28" formatCode="0.0000">
                  <c:v>44.869825613394738</c:v>
                </c:pt>
                <c:pt idx="29" formatCode="0.0000">
                  <c:v>34.915125937834937</c:v>
                </c:pt>
                <c:pt idx="30" formatCode="0.0000">
                  <c:v>28.368112887807417</c:v>
                </c:pt>
                <c:pt idx="31" formatCode="0.0000">
                  <c:v>36.368174444540998</c:v>
                </c:pt>
                <c:pt idx="32" formatCode="0.0000">
                  <c:v>34.842912647374064</c:v>
                </c:pt>
                <c:pt idx="33" formatCode="0.0000">
                  <c:v>49.496314496314447</c:v>
                </c:pt>
                <c:pt idx="34" formatCode="0.0000">
                  <c:v>53.488943488943491</c:v>
                </c:pt>
                <c:pt idx="35" formatCode="0.0000">
                  <c:v>34.469696969696969</c:v>
                </c:pt>
                <c:pt idx="36" formatCode="0.0000">
                  <c:v>36.289926289926292</c:v>
                </c:pt>
                <c:pt idx="37" formatCode="0.0000">
                  <c:v>30.750665438165441</c:v>
                </c:pt>
                <c:pt idx="38" formatCode="0.0000">
                  <c:v>30.134111384111382</c:v>
                </c:pt>
                <c:pt idx="39" formatCode="0.0000">
                  <c:v>34.208640458640467</c:v>
                </c:pt>
                <c:pt idx="40" formatCode="0.0000">
                  <c:v>32.522522522522529</c:v>
                </c:pt>
                <c:pt idx="41" formatCode="0.0000">
                  <c:v>25.716753685503694</c:v>
                </c:pt>
                <c:pt idx="42" formatCode="0.0000">
                  <c:v>21.563267813267814</c:v>
                </c:pt>
                <c:pt idx="43" formatCode="0.0000">
                  <c:v>24.225276412776413</c:v>
                </c:pt>
                <c:pt idx="44" formatCode="0.0000">
                  <c:v>27.157555282555286</c:v>
                </c:pt>
                <c:pt idx="45" formatCode="0.0000">
                  <c:v>24.26136363636364</c:v>
                </c:pt>
                <c:pt idx="46" formatCode="0.0000">
                  <c:v>20.810810810810814</c:v>
                </c:pt>
                <c:pt idx="47" formatCode="0.0000">
                  <c:v>21.776463963963966</c:v>
                </c:pt>
                <c:pt idx="48" formatCode="0.0000">
                  <c:v>27.038288288288296</c:v>
                </c:pt>
                <c:pt idx="49" formatCode="0.0000">
                  <c:v>24.123157248157248</c:v>
                </c:pt>
                <c:pt idx="50" formatCode="0.0000">
                  <c:v>26.592956592956593</c:v>
                </c:pt>
                <c:pt idx="51" formatCode="0.0000">
                  <c:v>18.453112203112205</c:v>
                </c:pt>
                <c:pt idx="52" formatCode="0.0000">
                  <c:v>19.207616707616708</c:v>
                </c:pt>
                <c:pt idx="53" formatCode="0.0000">
                  <c:v>18.153443766712989</c:v>
                </c:pt>
                <c:pt idx="54" formatCode="0.0000">
                  <c:v>15.89216216184432</c:v>
                </c:pt>
                <c:pt idx="55" formatCode="0.0000">
                  <c:v>16.366659628346415</c:v>
                </c:pt>
                <c:pt idx="56" formatCode="0.0000">
                  <c:v>22.972972972923461</c:v>
                </c:pt>
                <c:pt idx="57" formatCode="0.0000">
                  <c:v>23.039147395411291</c:v>
                </c:pt>
                <c:pt idx="58" formatCode="0.0000">
                  <c:v>20.021114864864863</c:v>
                </c:pt>
                <c:pt idx="59" formatCode="0.0000">
                  <c:v>22.363096080432108</c:v>
                </c:pt>
                <c:pt idx="60" formatCode="0.0000">
                  <c:v>28.15945946016345</c:v>
                </c:pt>
                <c:pt idx="61" formatCode="0.0000">
                  <c:v>30.669800235009294</c:v>
                </c:pt>
                <c:pt idx="62" formatCode="0.0000">
                  <c:v>22.916666666666664</c:v>
                </c:pt>
                <c:pt idx="63" formatCode="0.0000">
                  <c:v>19.195064629842022</c:v>
                </c:pt>
                <c:pt idx="64" formatCode="0.0000">
                  <c:v>22.017862277229348</c:v>
                </c:pt>
                <c:pt idx="65" formatCode="0.0000">
                  <c:v>19.415371621670154</c:v>
                </c:pt>
                <c:pt idx="66" formatCode="0.0000">
                  <c:v>22.757985257933541</c:v>
                </c:pt>
                <c:pt idx="67" formatCode="0.0000">
                  <c:v>26.434459460120323</c:v>
                </c:pt>
                <c:pt idx="68" formatCode="0.0000">
                  <c:v>26.998742928897002</c:v>
                </c:pt>
                <c:pt idx="69" formatCode="0.0000">
                  <c:v>21.978764478764479</c:v>
                </c:pt>
                <c:pt idx="70" formatCode="0.0000">
                  <c:v>20.127550969062369</c:v>
                </c:pt>
                <c:pt idx="71" formatCode="0.0000">
                  <c:v>22.062248418690075</c:v>
                </c:pt>
                <c:pt idx="72" formatCode="0.0000">
                  <c:v>24.186386847621439</c:v>
                </c:pt>
                <c:pt idx="73" formatCode="0.0000">
                  <c:v>27.791709979203294</c:v>
                </c:pt>
                <c:pt idx="74" formatCode="0.0000">
                  <c:v>17.625000000000004</c:v>
                </c:pt>
                <c:pt idx="75" formatCode="0.0000">
                  <c:v>24.562500000000004</c:v>
                </c:pt>
                <c:pt idx="76" formatCode="0.0000">
                  <c:v>30.000000000000004</c:v>
                </c:pt>
                <c:pt idx="77" formatCode="0.0000">
                  <c:v>33.750000000000007</c:v>
                </c:pt>
                <c:pt idx="78" formatCode="0.0000">
                  <c:v>50.378906250000007</c:v>
                </c:pt>
                <c:pt idx="79" formatCode="0.0000">
                  <c:v>31.816406250000004</c:v>
                </c:pt>
                <c:pt idx="80" formatCode="0.0000">
                  <c:v>37.957031250000007</c:v>
                </c:pt>
                <c:pt idx="81" formatCode="0.0000">
                  <c:v>32.0234375</c:v>
                </c:pt>
                <c:pt idx="82" formatCode="0.0000">
                  <c:v>29.250000000000004</c:v>
                </c:pt>
                <c:pt idx="83" formatCode="0.0000">
                  <c:v>27.000000000000004</c:v>
                </c:pt>
                <c:pt idx="84" formatCode="0.0000">
                  <c:v>25.875000000000004</c:v>
                </c:pt>
                <c:pt idx="85" formatCode="0.0000">
                  <c:v>22.406250000000004</c:v>
                </c:pt>
                <c:pt idx="86" formatCode="0.0000">
                  <c:v>17.410156250000004</c:v>
                </c:pt>
                <c:pt idx="87" formatCode="0.0000">
                  <c:v>14.386718750000004</c:v>
                </c:pt>
                <c:pt idx="88" formatCode="0.0000">
                  <c:v>12.642578125000002</c:v>
                </c:pt>
                <c:pt idx="89" formatCode="0.0000">
                  <c:v>12.945312500000004</c:v>
                </c:pt>
                <c:pt idx="90" formatCode="0.0000">
                  <c:v>10.661764705882351</c:v>
                </c:pt>
                <c:pt idx="91" formatCode="0.0000">
                  <c:v>10.022058823529411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(All)'!$CY$7:$CY$107</c:f>
              <c:numCache>
                <c:formatCode>General</c:formatCode>
                <c:ptCount val="101"/>
                <c:pt idx="25" formatCode="0.0000">
                  <c:v>41.473361323542186</c:v>
                </c:pt>
                <c:pt idx="26" formatCode="0.0000">
                  <c:v>38.652651646823671</c:v>
                </c:pt>
                <c:pt idx="27" formatCode="0.0000">
                  <c:v>41.606565568784212</c:v>
                </c:pt>
                <c:pt idx="28" formatCode="0.0000">
                  <c:v>44.869825613394738</c:v>
                </c:pt>
                <c:pt idx="29" formatCode="0.0000">
                  <c:v>34.915125937834937</c:v>
                </c:pt>
                <c:pt idx="30" formatCode="0.0000">
                  <c:v>28.368112887807417</c:v>
                </c:pt>
                <c:pt idx="31" formatCode="0.0000">
                  <c:v>36.368174444540998</c:v>
                </c:pt>
                <c:pt idx="32" formatCode="0.0000">
                  <c:v>34.842912647374064</c:v>
                </c:pt>
                <c:pt idx="33" formatCode="0.0000">
                  <c:v>49.496314496314447</c:v>
                </c:pt>
                <c:pt idx="34" formatCode="0.0000">
                  <c:v>53.488943488943491</c:v>
                </c:pt>
                <c:pt idx="35" formatCode="0.0000">
                  <c:v>34.469696969696969</c:v>
                </c:pt>
                <c:pt idx="36" formatCode="0.0000">
                  <c:v>36.289926289926292</c:v>
                </c:pt>
                <c:pt idx="37" formatCode="0.0000">
                  <c:v>30.750665438165441</c:v>
                </c:pt>
                <c:pt idx="38" formatCode="0.0000">
                  <c:v>30.134111384111382</c:v>
                </c:pt>
                <c:pt idx="39" formatCode="0.0000">
                  <c:v>34.208640458640467</c:v>
                </c:pt>
                <c:pt idx="40" formatCode="0.0000">
                  <c:v>32.522522522522529</c:v>
                </c:pt>
                <c:pt idx="41" formatCode="0.0000">
                  <c:v>25.716753685503694</c:v>
                </c:pt>
                <c:pt idx="42" formatCode="0.0000">
                  <c:v>21.563267813267814</c:v>
                </c:pt>
                <c:pt idx="43" formatCode="0.0000">
                  <c:v>24.225276412776413</c:v>
                </c:pt>
                <c:pt idx="44" formatCode="0.0000">
                  <c:v>27.157555282555286</c:v>
                </c:pt>
                <c:pt idx="45" formatCode="0.0000">
                  <c:v>24.26136363636364</c:v>
                </c:pt>
                <c:pt idx="46" formatCode="0.0000">
                  <c:v>20.810810810810814</c:v>
                </c:pt>
                <c:pt idx="47" formatCode="0.0000">
                  <c:v>21.776463963963966</c:v>
                </c:pt>
                <c:pt idx="48" formatCode="0.0000">
                  <c:v>27.038288288288296</c:v>
                </c:pt>
                <c:pt idx="49" formatCode="0.0000">
                  <c:v>24.123157248157248</c:v>
                </c:pt>
                <c:pt idx="50" formatCode="0.0000">
                  <c:v>26.592956592956593</c:v>
                </c:pt>
                <c:pt idx="51" formatCode="0.0000">
                  <c:v>18.453112203112205</c:v>
                </c:pt>
                <c:pt idx="52" formatCode="0.0000">
                  <c:v>19.207616707616708</c:v>
                </c:pt>
                <c:pt idx="53" formatCode="0.0000">
                  <c:v>18.153443766712989</c:v>
                </c:pt>
                <c:pt idx="54" formatCode="0.0000">
                  <c:v>15.89216216184432</c:v>
                </c:pt>
                <c:pt idx="55" formatCode="0.0000">
                  <c:v>16.366659628346415</c:v>
                </c:pt>
                <c:pt idx="56" formatCode="0.0000">
                  <c:v>22.972972972923461</c:v>
                </c:pt>
                <c:pt idx="57" formatCode="0.0000">
                  <c:v>23.039147395411291</c:v>
                </c:pt>
                <c:pt idx="58" formatCode="0.0000">
                  <c:v>20.021114864864863</c:v>
                </c:pt>
                <c:pt idx="59" formatCode="0.0000">
                  <c:v>22.363096080432108</c:v>
                </c:pt>
                <c:pt idx="60" formatCode="0.0000">
                  <c:v>28.15945946016345</c:v>
                </c:pt>
                <c:pt idx="61" formatCode="0.0000">
                  <c:v>30.669800235009294</c:v>
                </c:pt>
                <c:pt idx="62" formatCode="0.0000">
                  <c:v>22.916666666666664</c:v>
                </c:pt>
                <c:pt idx="63" formatCode="0.0000">
                  <c:v>19.195064629842022</c:v>
                </c:pt>
                <c:pt idx="64" formatCode="0.0000">
                  <c:v>22.017862277229348</c:v>
                </c:pt>
                <c:pt idx="65" formatCode="0.0000">
                  <c:v>19.415371621670154</c:v>
                </c:pt>
                <c:pt idx="66" formatCode="0.0000">
                  <c:v>22.757985257933541</c:v>
                </c:pt>
                <c:pt idx="67" formatCode="0.0000">
                  <c:v>26.434459460120323</c:v>
                </c:pt>
                <c:pt idx="68" formatCode="0.0000">
                  <c:v>26.998742928897002</c:v>
                </c:pt>
                <c:pt idx="69" formatCode="0.0000">
                  <c:v>21.978764478764479</c:v>
                </c:pt>
                <c:pt idx="70" formatCode="0.0000">
                  <c:v>20.127550969062369</c:v>
                </c:pt>
                <c:pt idx="71" formatCode="0.0000">
                  <c:v>22.062248418690075</c:v>
                </c:pt>
                <c:pt idx="72" formatCode="0.0000">
                  <c:v>24.186386847621439</c:v>
                </c:pt>
                <c:pt idx="73" formatCode="0.0000">
                  <c:v>27.791709979203294</c:v>
                </c:pt>
                <c:pt idx="74" formatCode="0.0000">
                  <c:v>17.625000000000004</c:v>
                </c:pt>
                <c:pt idx="75" formatCode="0.0000">
                  <c:v>24.562500000000004</c:v>
                </c:pt>
                <c:pt idx="76" formatCode="0.0000">
                  <c:v>30.000000000000004</c:v>
                </c:pt>
                <c:pt idx="77" formatCode="0.0000">
                  <c:v>33.750000000000007</c:v>
                </c:pt>
                <c:pt idx="78" formatCode="0.0000">
                  <c:v>50.378906250000007</c:v>
                </c:pt>
                <c:pt idx="79" formatCode="0.0000">
                  <c:v>31.816406250000004</c:v>
                </c:pt>
                <c:pt idx="80" formatCode="0.0000">
                  <c:v>37.957031250000007</c:v>
                </c:pt>
                <c:pt idx="81" formatCode="0.0000">
                  <c:v>32.0234375</c:v>
                </c:pt>
                <c:pt idx="82" formatCode="0.0000">
                  <c:v>29.250000000000004</c:v>
                </c:pt>
                <c:pt idx="83" formatCode="0.0000">
                  <c:v>27.000000000000004</c:v>
                </c:pt>
                <c:pt idx="84" formatCode="0.0000">
                  <c:v>25.875000000000004</c:v>
                </c:pt>
                <c:pt idx="85" formatCode="0.0000">
                  <c:v>22.406250000000004</c:v>
                </c:pt>
                <c:pt idx="86" formatCode="0.0000">
                  <c:v>17.410156250000004</c:v>
                </c:pt>
                <c:pt idx="87" formatCode="0.0000">
                  <c:v>14.386718750000004</c:v>
                </c:pt>
                <c:pt idx="88" formatCode="0.0000">
                  <c:v>12.642578125000002</c:v>
                </c:pt>
                <c:pt idx="89" formatCode="0.0000">
                  <c:v>12.945312500000004</c:v>
                </c:pt>
                <c:pt idx="90" formatCode="0.0000">
                  <c:v>10.661764705882351</c:v>
                </c:pt>
                <c:pt idx="91" formatCode="0.0000">
                  <c:v>10.022058823529411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08800"/>
        <c:axId val="236409360"/>
      </c:scatterChart>
      <c:valAx>
        <c:axId val="236408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9360"/>
        <c:crosses val="autoZero"/>
        <c:crossBetween val="midCat"/>
        <c:majorUnit val="5"/>
      </c:valAx>
      <c:valAx>
        <c:axId val="23640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08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(All)'!$N$7:$N$107</c:f>
              <c:numCache>
                <c:formatCode>0.0000</c:formatCode>
                <c:ptCount val="101"/>
                <c:pt idx="49">
                  <c:v>19.205938827162207</c:v>
                </c:pt>
                <c:pt idx="50">
                  <c:v>20.674813425262524</c:v>
                </c:pt>
                <c:pt idx="51">
                  <c:v>20.689657054454468</c:v>
                </c:pt>
                <c:pt idx="52">
                  <c:v>20.571323483112266</c:v>
                </c:pt>
                <c:pt idx="53">
                  <c:v>15.906455908984222</c:v>
                </c:pt>
                <c:pt idx="54">
                  <c:v>12.449537333317233</c:v>
                </c:pt>
                <c:pt idx="55">
                  <c:v>13.560604803684825</c:v>
                </c:pt>
                <c:pt idx="56">
                  <c:v>12.557838517302814</c:v>
                </c:pt>
                <c:pt idx="57">
                  <c:v>13.378438823527622</c:v>
                </c:pt>
                <c:pt idx="58">
                  <c:v>15.294756008576861</c:v>
                </c:pt>
                <c:pt idx="59">
                  <c:v>18.74760295357563</c:v>
                </c:pt>
                <c:pt idx="60">
                  <c:v>27.453336810025814</c:v>
                </c:pt>
                <c:pt idx="61">
                  <c:v>23.197603609782423</c:v>
                </c:pt>
                <c:pt idx="62">
                  <c:v>18.603971537594557</c:v>
                </c:pt>
                <c:pt idx="63">
                  <c:v>17.576736639523446</c:v>
                </c:pt>
                <c:pt idx="64">
                  <c:v>15.93995147984389</c:v>
                </c:pt>
                <c:pt idx="65">
                  <c:v>15.442764336803457</c:v>
                </c:pt>
                <c:pt idx="66">
                  <c:v>15.730956952191296</c:v>
                </c:pt>
                <c:pt idx="67">
                  <c:v>18.086288038721978</c:v>
                </c:pt>
                <c:pt idx="68">
                  <c:v>20.40980318655248</c:v>
                </c:pt>
                <c:pt idx="69">
                  <c:v>16.604547998401003</c:v>
                </c:pt>
                <c:pt idx="70">
                  <c:v>17.715655741369183</c:v>
                </c:pt>
                <c:pt idx="71">
                  <c:v>17.018614535209874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(All)'!$N$7:$N$107</c:f>
              <c:numCache>
                <c:formatCode>0.0000</c:formatCode>
                <c:ptCount val="101"/>
                <c:pt idx="49">
                  <c:v>19.205938827162207</c:v>
                </c:pt>
                <c:pt idx="50">
                  <c:v>20.674813425262524</c:v>
                </c:pt>
                <c:pt idx="51">
                  <c:v>20.689657054454468</c:v>
                </c:pt>
                <c:pt idx="52">
                  <c:v>20.571323483112266</c:v>
                </c:pt>
                <c:pt idx="53">
                  <c:v>15.906455908984222</c:v>
                </c:pt>
                <c:pt idx="54">
                  <c:v>12.449537333317233</c:v>
                </c:pt>
                <c:pt idx="55">
                  <c:v>13.560604803684825</c:v>
                </c:pt>
                <c:pt idx="56">
                  <c:v>12.557838517302814</c:v>
                </c:pt>
                <c:pt idx="57">
                  <c:v>13.378438823527622</c:v>
                </c:pt>
                <c:pt idx="58">
                  <c:v>15.294756008576861</c:v>
                </c:pt>
                <c:pt idx="59">
                  <c:v>18.74760295357563</c:v>
                </c:pt>
                <c:pt idx="60">
                  <c:v>27.453336810025814</c:v>
                </c:pt>
                <c:pt idx="61">
                  <c:v>23.197603609782423</c:v>
                </c:pt>
                <c:pt idx="62">
                  <c:v>18.603971537594557</c:v>
                </c:pt>
                <c:pt idx="63">
                  <c:v>17.576736639523446</c:v>
                </c:pt>
                <c:pt idx="64">
                  <c:v>15.93995147984389</c:v>
                </c:pt>
                <c:pt idx="65">
                  <c:v>15.442764336803457</c:v>
                </c:pt>
                <c:pt idx="66">
                  <c:v>15.730956952191296</c:v>
                </c:pt>
                <c:pt idx="67">
                  <c:v>18.086288038721978</c:v>
                </c:pt>
                <c:pt idx="68">
                  <c:v>20.40980318655248</c:v>
                </c:pt>
                <c:pt idx="69">
                  <c:v>16.604547998401003</c:v>
                </c:pt>
                <c:pt idx="70">
                  <c:v>17.715655741369183</c:v>
                </c:pt>
                <c:pt idx="71">
                  <c:v>17.018614535209874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12160"/>
        <c:axId val="236412720"/>
      </c:scatterChart>
      <c:valAx>
        <c:axId val="236412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2720"/>
        <c:crosses val="autoZero"/>
        <c:crossBetween val="midCat"/>
        <c:majorUnit val="5"/>
      </c:valAx>
      <c:valAx>
        <c:axId val="23641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2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(All)'!$P$7:$P$107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(All)'!$P$7:$P$107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15520"/>
        <c:axId val="236416080"/>
      </c:scatterChart>
      <c:valAx>
        <c:axId val="2364155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6080"/>
        <c:crosses val="autoZero"/>
        <c:crossBetween val="midCat"/>
        <c:majorUnit val="5"/>
      </c:valAx>
      <c:valAx>
        <c:axId val="236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55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(All)'!$O$7:$O$107</c:f>
              <c:numCache>
                <c:formatCode>0.0000</c:formatCode>
                <c:ptCount val="101"/>
                <c:pt idx="45">
                  <c:v>20.361173814898418</c:v>
                </c:pt>
                <c:pt idx="46">
                  <c:v>19.413333333333334</c:v>
                </c:pt>
                <c:pt idx="47">
                  <c:v>18.584474885844749</c:v>
                </c:pt>
                <c:pt idx="48">
                  <c:v>18.455114822546971</c:v>
                </c:pt>
                <c:pt idx="49">
                  <c:v>18.726114649681527</c:v>
                </c:pt>
                <c:pt idx="50">
                  <c:v>20.163934426229506</c:v>
                </c:pt>
                <c:pt idx="51">
                  <c:v>20.170212765957448</c:v>
                </c:pt>
                <c:pt idx="52">
                  <c:v>20.032467532467532</c:v>
                </c:pt>
                <c:pt idx="53">
                  <c:v>15.517241379310345</c:v>
                </c:pt>
                <c:pt idx="54">
                  <c:v>14.841628959276019</c:v>
                </c:pt>
                <c:pt idx="55">
                  <c:v>13.235294117647058</c:v>
                </c:pt>
                <c:pt idx="56">
                  <c:v>12.241379310344826</c:v>
                </c:pt>
                <c:pt idx="57">
                  <c:v>13.038674033149171</c:v>
                </c:pt>
                <c:pt idx="58">
                  <c:v>14.907749077490775</c:v>
                </c:pt>
                <c:pt idx="59">
                  <c:v>18.268215417106653</c:v>
                </c:pt>
                <c:pt idx="60">
                  <c:v>26.759906759906759</c:v>
                </c:pt>
                <c:pt idx="61">
                  <c:v>22.615219721329044</c:v>
                </c:pt>
                <c:pt idx="62">
                  <c:v>18.153200419727177</c:v>
                </c:pt>
                <c:pt idx="63">
                  <c:v>17.134445534838076</c:v>
                </c:pt>
                <c:pt idx="64">
                  <c:v>15.538592027141645</c:v>
                </c:pt>
                <c:pt idx="65">
                  <c:v>15.05736981465137</c:v>
                </c:pt>
                <c:pt idx="66">
                  <c:v>15.333333333333334</c:v>
                </c:pt>
                <c:pt idx="67">
                  <c:v>17.63959390862944</c:v>
                </c:pt>
                <c:pt idx="68">
                  <c:v>19.892183288409704</c:v>
                </c:pt>
                <c:pt idx="69">
                  <c:v>16.193870277975766</c:v>
                </c:pt>
                <c:pt idx="70">
                  <c:v>17.276037873270212</c:v>
                </c:pt>
                <c:pt idx="71">
                  <c:v>16.586599241466498</c:v>
                </c:pt>
                <c:pt idx="72">
                  <c:v>19.23076923076923</c:v>
                </c:pt>
                <c:pt idx="73">
                  <c:v>23.381754793724578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(All)'!$O$7:$O$107</c:f>
              <c:numCache>
                <c:formatCode>0.0000</c:formatCode>
                <c:ptCount val="101"/>
                <c:pt idx="45">
                  <c:v>20.361173814898418</c:v>
                </c:pt>
                <c:pt idx="46">
                  <c:v>19.413333333333334</c:v>
                </c:pt>
                <c:pt idx="47">
                  <c:v>18.584474885844749</c:v>
                </c:pt>
                <c:pt idx="48">
                  <c:v>18.455114822546971</c:v>
                </c:pt>
                <c:pt idx="49">
                  <c:v>18.726114649681527</c:v>
                </c:pt>
                <c:pt idx="50">
                  <c:v>20.163934426229506</c:v>
                </c:pt>
                <c:pt idx="51">
                  <c:v>20.170212765957448</c:v>
                </c:pt>
                <c:pt idx="52">
                  <c:v>20.032467532467532</c:v>
                </c:pt>
                <c:pt idx="53">
                  <c:v>15.517241379310345</c:v>
                </c:pt>
                <c:pt idx="54">
                  <c:v>14.841628959276019</c:v>
                </c:pt>
                <c:pt idx="55">
                  <c:v>13.235294117647058</c:v>
                </c:pt>
                <c:pt idx="56">
                  <c:v>12.241379310344826</c:v>
                </c:pt>
                <c:pt idx="57">
                  <c:v>13.038674033149171</c:v>
                </c:pt>
                <c:pt idx="58">
                  <c:v>14.907749077490775</c:v>
                </c:pt>
                <c:pt idx="59">
                  <c:v>18.268215417106653</c:v>
                </c:pt>
                <c:pt idx="60">
                  <c:v>26.759906759906759</c:v>
                </c:pt>
                <c:pt idx="61">
                  <c:v>22.615219721329044</c:v>
                </c:pt>
                <c:pt idx="62">
                  <c:v>18.153200419727177</c:v>
                </c:pt>
                <c:pt idx="63">
                  <c:v>17.134445534838076</c:v>
                </c:pt>
                <c:pt idx="64">
                  <c:v>15.538592027141645</c:v>
                </c:pt>
                <c:pt idx="65">
                  <c:v>15.05736981465137</c:v>
                </c:pt>
                <c:pt idx="66">
                  <c:v>15.333333333333334</c:v>
                </c:pt>
                <c:pt idx="67">
                  <c:v>17.63959390862944</c:v>
                </c:pt>
                <c:pt idx="68">
                  <c:v>19.892183288409704</c:v>
                </c:pt>
                <c:pt idx="69">
                  <c:v>16.193870277975766</c:v>
                </c:pt>
                <c:pt idx="70">
                  <c:v>17.276037873270212</c:v>
                </c:pt>
                <c:pt idx="71">
                  <c:v>16.586599241466498</c:v>
                </c:pt>
                <c:pt idx="72">
                  <c:v>19.23076923076923</c:v>
                </c:pt>
                <c:pt idx="73">
                  <c:v>23.381754793724578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18880"/>
        <c:axId val="236419440"/>
      </c:scatterChart>
      <c:valAx>
        <c:axId val="236418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9440"/>
        <c:crosses val="autoZero"/>
        <c:crossBetween val="midCat"/>
        <c:majorUnit val="5"/>
      </c:valAx>
      <c:valAx>
        <c:axId val="23641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8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s/ton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(All)'!$CZ$7:$CZ$107</c:f>
              <c:numCache>
                <c:formatCode>General</c:formatCode>
                <c:ptCount val="101"/>
                <c:pt idx="28" formatCode="_(* #,##0.0000_);_(* \(#,##0.0000\);_(* &quot;-&quot;??_);_(@_)">
                  <c:v>44.324697467891241</c:v>
                </c:pt>
                <c:pt idx="29" formatCode="_(* #,##0.0000_);_(* \(#,##0.0000\);_(* &quot;-&quot;??_);_(@_)">
                  <c:v>40.914990840946828</c:v>
                </c:pt>
                <c:pt idx="30" formatCode="_(* #,##0.0000_);_(* \(#,##0.0000\);_(* &quot;-&quot;??_);_(@_)">
                  <c:v>32.310969874459602</c:v>
                </c:pt>
                <c:pt idx="31" formatCode="_(* #,##0.0000_);_(* \(#,##0.0000\);_(* &quot;-&quot;??_);_(@_)">
                  <c:v>32.643511076944584</c:v>
                </c:pt>
                <c:pt idx="32" formatCode="_(* #,##0.0000_);_(* \(#,##0.0000\);_(* &quot;-&quot;??_);_(@_)">
                  <c:v>27.516803993938534</c:v>
                </c:pt>
                <c:pt idx="33" formatCode="_(* #,##0.0000_);_(* \(#,##0.0000\);_(* &quot;-&quot;??_);_(@_)">
                  <c:v>30.676753799616804</c:v>
                </c:pt>
                <c:pt idx="34" formatCode="_(* #,##0.0000_);_(* \(#,##0.0000\);_(* &quot;-&quot;??_);_(@_)">
                  <c:v>41.123636090835589</c:v>
                </c:pt>
                <c:pt idx="35" formatCode="_(* #,##0.0000_);_(* \(#,##0.0000\);_(* &quot;-&quot;??_);_(@_)">
                  <c:v>38.121496819301001</c:v>
                </c:pt>
                <c:pt idx="36" formatCode="_(* #,##0.0000_);_(* \(#,##0.0000\);_(* &quot;-&quot;??_);_(@_)">
                  <c:v>35.107241575760135</c:v>
                </c:pt>
                <c:pt idx="37" formatCode="_(* #,##0.0000_);_(* \(#,##0.0000\);_(* &quot;-&quot;??_);_(@_)">
                  <c:v>35.864036075361014</c:v>
                </c:pt>
                <c:pt idx="38" formatCode="_(* #,##0.0000_);_(* \(#,##0.0000\);_(* &quot;-&quot;??_);_(@_)">
                  <c:v>28.872706976454619</c:v>
                </c:pt>
                <c:pt idx="39" formatCode="_(* #,##0.0000_);_(* \(#,##0.0000\);_(* &quot;-&quot;??_);_(@_)">
                  <c:v>31.376353108221334</c:v>
                </c:pt>
                <c:pt idx="40" formatCode="_(* #,##0.0000_);_(* \(#,##0.0000\);_(* &quot;-&quot;??_);_(@_)">
                  <c:v>33.138138751070954</c:v>
                </c:pt>
                <c:pt idx="41" formatCode="_(* #,##0.0000_);_(* \(#,##0.0000\);_(* &quot;-&quot;??_);_(@_)">
                  <c:v>30.703789493868886</c:v>
                </c:pt>
                <c:pt idx="42" formatCode="_(* #,##0.0000_);_(* \(#,##0.0000\);_(* &quot;-&quot;??_);_(@_)">
                  <c:v>27.076924420926531</c:v>
                </c:pt>
                <c:pt idx="43" formatCode="_(* #,##0.0000_);_(* \(#,##0.0000\);_(* &quot;-&quot;??_);_(@_)">
                  <c:v>26.86544943173984</c:v>
                </c:pt>
                <c:pt idx="44" formatCode="_(* #,##0.0000_);_(* \(#,##0.0000\);_(* &quot;-&quot;??_);_(@_)">
                  <c:v>27.247783611797285</c:v>
                </c:pt>
                <c:pt idx="45" formatCode="_(* #,##0.0000_);_(* \(#,##0.0000\);_(* &quot;-&quot;??_);_(@_)">
                  <c:v>27.202021265099351</c:v>
                </c:pt>
                <c:pt idx="46" formatCode="_(* #,##0.0000_);_(* \(#,##0.0000\);_(* &quot;-&quot;??_);_(@_)">
                  <c:v>24.590560684462801</c:v>
                </c:pt>
                <c:pt idx="47" formatCode="_(* #,##0.0000_);_(* \(#,##0.0000\);_(* &quot;-&quot;??_);_(@_)">
                  <c:v>25.17379483554771</c:v>
                </c:pt>
                <c:pt idx="48" formatCode="_(* #,##0.0000_);_(* \(#,##0.0000\);_(* &quot;-&quot;??_);_(@_)">
                  <c:v>27.531715618048409</c:v>
                </c:pt>
                <c:pt idx="49" formatCode="_(* #,##0.0000_);_(* \(#,##0.0000\);_(* &quot;-&quot;??_);_(@_)">
                  <c:v>32.000009392963982</c:v>
                </c:pt>
                <c:pt idx="50" formatCode="_(* #,##0.0000_);_(* \(#,##0.0000\);_(* &quot;-&quot;??_);_(@_)">
                  <c:v>34.03307741637655</c:v>
                </c:pt>
                <c:pt idx="51" formatCode="_(* #,##0.0000_);_(* \(#,##0.0000\);_(* &quot;-&quot;??_);_(@_)">
                  <c:v>29.03796621738314</c:v>
                </c:pt>
                <c:pt idx="52" formatCode="_(* #,##0.0000_);_(* \(#,##0.0000\);_(* &quot;-&quot;??_);_(@_)">
                  <c:v>22.095932105009805</c:v>
                </c:pt>
                <c:pt idx="53" formatCode="_(* #,##0.0000_);_(* \(#,##0.0000\);_(* &quot;-&quot;??_);_(@_)">
                  <c:v>22.046971357437112</c:v>
                </c:pt>
                <c:pt idx="54" formatCode="_(* #,##0.0000_);_(* \(#,##0.0000\);_(* &quot;-&quot;??_);_(@_)">
                  <c:v>17.534207003079775</c:v>
                </c:pt>
                <c:pt idx="55" formatCode="_(* #,##0.0000_);_(* \(#,##0.0000\);_(* &quot;-&quot;??_);_(@_)">
                  <c:v>18.031342443184862</c:v>
                </c:pt>
                <c:pt idx="56" formatCode="_(* #,##0.0000_);_(* \(#,##0.0000\);_(* &quot;-&quot;??_);_(@_)">
                  <c:v>21.145948769210928</c:v>
                </c:pt>
                <c:pt idx="57" formatCode="_(* #,##0.0000_);_(* \(#,##0.0000\);_(* &quot;-&quot;??_);_(@_)">
                  <c:v>24.304544110069884</c:v>
                </c:pt>
                <c:pt idx="58" formatCode="_(* #,##0.0000_);_(* \(#,##0.0000\);_(* &quot;-&quot;??_);_(@_)">
                  <c:v>24.819692423464691</c:v>
                </c:pt>
                <c:pt idx="59" formatCode="_(* #,##0.0000_);_(* \(#,##0.0000\);_(* &quot;-&quot;??_);_(@_)">
                  <c:v>25.872325011145783</c:v>
                </c:pt>
                <c:pt idx="60" formatCode="_(* #,##0.0000_);_(* \(#,##0.0000\);_(* &quot;-&quot;??_);_(@_)">
                  <c:v>25.576405856393354</c:v>
                </c:pt>
                <c:pt idx="61" formatCode="_(* #,##0.0000_);_(* \(#,##0.0000\);_(* &quot;-&quot;??_);_(@_)">
                  <c:v>32.123187608979094</c:v>
                </c:pt>
                <c:pt idx="62" formatCode="_(* #,##0.0000_);_(* \(#,##0.0000\);_(* &quot;-&quot;??_);_(@_)">
                  <c:v>26.13685075450945</c:v>
                </c:pt>
                <c:pt idx="63" formatCode="_(* #,##0.0000_);_(* \(#,##0.0000\);_(* &quot;-&quot;??_);_(@_)">
                  <c:v>25.072018961954541</c:v>
                </c:pt>
                <c:pt idx="64" formatCode="_(* #,##0.0000_);_(* \(#,##0.0000\);_(* &quot;-&quot;??_);_(@_)">
                  <c:v>25.01455232170629</c:v>
                </c:pt>
                <c:pt idx="65" formatCode="_(* #,##0.0000_);_(* \(#,##0.0000\);_(* &quot;-&quot;??_);_(@_)">
                  <c:v>23.489557951290251</c:v>
                </c:pt>
                <c:pt idx="66" formatCode="_(* #,##0.0000_);_(* \(#,##0.0000\);_(* &quot;-&quot;??_);_(@_)">
                  <c:v>23.799594297940921</c:v>
                </c:pt>
                <c:pt idx="67" formatCode="_(* #,##0.0000_);_(* \(#,##0.0000\);_(* &quot;-&quot;??_);_(@_)">
                  <c:v>25.193874099446742</c:v>
                </c:pt>
                <c:pt idx="68" formatCode="_(* #,##0.0000_);_(* \(#,##0.0000\);_(* &quot;-&quot;??_);_(@_)">
                  <c:v>25.662952248757897</c:v>
                </c:pt>
                <c:pt idx="69" formatCode="_(* #,##0.0000_);_(* \(#,##0.0000\);_(* &quot;-&quot;??_);_(@_)">
                  <c:v>24.059270830133876</c:v>
                </c:pt>
                <c:pt idx="70" formatCode="_(* #,##0.0000_);_(* \(#,##0.0000\);_(* &quot;-&quot;??_);_(@_)">
                  <c:v>22.591573617090788</c:v>
                </c:pt>
                <c:pt idx="71" formatCode="_(* #,##0.0000_);_(* \(#,##0.0000\);_(* &quot;-&quot;??_);_(@_)">
                  <c:v>22.826851317100612</c:v>
                </c:pt>
                <c:pt idx="72" formatCode="_(* #,##0.0000_);_(* \(#,##0.0000\);_(* &quot;-&quot;??_);_(@_)">
                  <c:v>22.957181986626924</c:v>
                </c:pt>
                <c:pt idx="73" formatCode="_(* #,##0.0000_);_(* \(#,##0.0000\);_(* &quot;-&quot;??_);_(@_)">
                  <c:v>23.804562991246669</c:v>
                </c:pt>
                <c:pt idx="74" formatCode="_(* #,##0.0000_);_(* \(#,##0.0000\);_(* &quot;-&quot;??_);_(@_)">
                  <c:v>25.426778018204903</c:v>
                </c:pt>
                <c:pt idx="75" formatCode="_(* #,##0.0000_);_(* \(#,##0.0000\);_(* &quot;-&quot;??_);_(@_)">
                  <c:v>26.678853145284243</c:v>
                </c:pt>
                <c:pt idx="76" formatCode="_(* #,##0.0000_);_(* \(#,##0.0000\);_(* &quot;-&quot;??_);_(@_)">
                  <c:v>27.49455304611881</c:v>
                </c:pt>
                <c:pt idx="77" formatCode="_(* #,##0.0000_);_(* \(#,##0.0000\);_(* &quot;-&quot;??_);_(@_)">
                  <c:v>41.928981553121304</c:v>
                </c:pt>
                <c:pt idx="78" formatCode="_(* #,##0.0000_);_(* \(#,##0.0000\);_(* &quot;-&quot;??_);_(@_)">
                  <c:v>39.975795715841699</c:v>
                </c:pt>
                <c:pt idx="79" formatCode="_(* #,##0.0000_);_(* \(#,##0.0000\);_(* &quot;-&quot;??_);_(@_)">
                  <c:v>46.287458706937237</c:v>
                </c:pt>
                <c:pt idx="80" formatCode="_(* #,##0.0000_);_(* \(#,##0.0000\);_(* &quot;-&quot;??_);_(@_)">
                  <c:v>65.023519295938499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'Coal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'Coal (All)'!$CZ$7:$CZ$107</c:f>
              <c:numCache>
                <c:formatCode>General</c:formatCode>
                <c:ptCount val="101"/>
                <c:pt idx="28" formatCode="_(* #,##0.0000_);_(* \(#,##0.0000\);_(* &quot;-&quot;??_);_(@_)">
                  <c:v>44.324697467891241</c:v>
                </c:pt>
                <c:pt idx="29" formatCode="_(* #,##0.0000_);_(* \(#,##0.0000\);_(* &quot;-&quot;??_);_(@_)">
                  <c:v>40.914990840946828</c:v>
                </c:pt>
                <c:pt idx="30" formatCode="_(* #,##0.0000_);_(* \(#,##0.0000\);_(* &quot;-&quot;??_);_(@_)">
                  <c:v>32.310969874459602</c:v>
                </c:pt>
                <c:pt idx="31" formatCode="_(* #,##0.0000_);_(* \(#,##0.0000\);_(* &quot;-&quot;??_);_(@_)">
                  <c:v>32.643511076944584</c:v>
                </c:pt>
                <c:pt idx="32" formatCode="_(* #,##0.0000_);_(* \(#,##0.0000\);_(* &quot;-&quot;??_);_(@_)">
                  <c:v>27.516803993938534</c:v>
                </c:pt>
                <c:pt idx="33" formatCode="_(* #,##0.0000_);_(* \(#,##0.0000\);_(* &quot;-&quot;??_);_(@_)">
                  <c:v>30.676753799616804</c:v>
                </c:pt>
                <c:pt idx="34" formatCode="_(* #,##0.0000_);_(* \(#,##0.0000\);_(* &quot;-&quot;??_);_(@_)">
                  <c:v>41.123636090835589</c:v>
                </c:pt>
                <c:pt idx="35" formatCode="_(* #,##0.0000_);_(* \(#,##0.0000\);_(* &quot;-&quot;??_);_(@_)">
                  <c:v>38.121496819301001</c:v>
                </c:pt>
                <c:pt idx="36" formatCode="_(* #,##0.0000_);_(* \(#,##0.0000\);_(* &quot;-&quot;??_);_(@_)">
                  <c:v>35.107241575760135</c:v>
                </c:pt>
                <c:pt idx="37" formatCode="_(* #,##0.0000_);_(* \(#,##0.0000\);_(* &quot;-&quot;??_);_(@_)">
                  <c:v>35.864036075361014</c:v>
                </c:pt>
                <c:pt idx="38" formatCode="_(* #,##0.0000_);_(* \(#,##0.0000\);_(* &quot;-&quot;??_);_(@_)">
                  <c:v>28.872706976454619</c:v>
                </c:pt>
                <c:pt idx="39" formatCode="_(* #,##0.0000_);_(* \(#,##0.0000\);_(* &quot;-&quot;??_);_(@_)">
                  <c:v>31.376353108221334</c:v>
                </c:pt>
                <c:pt idx="40" formatCode="_(* #,##0.0000_);_(* \(#,##0.0000\);_(* &quot;-&quot;??_);_(@_)">
                  <c:v>33.138138751070954</c:v>
                </c:pt>
                <c:pt idx="41" formatCode="_(* #,##0.0000_);_(* \(#,##0.0000\);_(* &quot;-&quot;??_);_(@_)">
                  <c:v>30.703789493868886</c:v>
                </c:pt>
                <c:pt idx="42" formatCode="_(* #,##0.0000_);_(* \(#,##0.0000\);_(* &quot;-&quot;??_);_(@_)">
                  <c:v>27.076924420926531</c:v>
                </c:pt>
                <c:pt idx="43" formatCode="_(* #,##0.0000_);_(* \(#,##0.0000\);_(* &quot;-&quot;??_);_(@_)">
                  <c:v>26.86544943173984</c:v>
                </c:pt>
                <c:pt idx="44" formatCode="_(* #,##0.0000_);_(* \(#,##0.0000\);_(* &quot;-&quot;??_);_(@_)">
                  <c:v>27.247783611797285</c:v>
                </c:pt>
                <c:pt idx="45" formatCode="_(* #,##0.0000_);_(* \(#,##0.0000\);_(* &quot;-&quot;??_);_(@_)">
                  <c:v>27.202021265099351</c:v>
                </c:pt>
                <c:pt idx="46" formatCode="_(* #,##0.0000_);_(* \(#,##0.0000\);_(* &quot;-&quot;??_);_(@_)">
                  <c:v>24.590560684462801</c:v>
                </c:pt>
                <c:pt idx="47" formatCode="_(* #,##0.0000_);_(* \(#,##0.0000\);_(* &quot;-&quot;??_);_(@_)">
                  <c:v>25.17379483554771</c:v>
                </c:pt>
                <c:pt idx="48" formatCode="_(* #,##0.0000_);_(* \(#,##0.0000\);_(* &quot;-&quot;??_);_(@_)">
                  <c:v>27.531715618048409</c:v>
                </c:pt>
                <c:pt idx="49" formatCode="_(* #,##0.0000_);_(* \(#,##0.0000\);_(* &quot;-&quot;??_);_(@_)">
                  <c:v>32.000009392963982</c:v>
                </c:pt>
                <c:pt idx="50" formatCode="_(* #,##0.0000_);_(* \(#,##0.0000\);_(* &quot;-&quot;??_);_(@_)">
                  <c:v>34.03307741637655</c:v>
                </c:pt>
                <c:pt idx="51" formatCode="_(* #,##0.0000_);_(* \(#,##0.0000\);_(* &quot;-&quot;??_);_(@_)">
                  <c:v>29.03796621738314</c:v>
                </c:pt>
                <c:pt idx="52" formatCode="_(* #,##0.0000_);_(* \(#,##0.0000\);_(* &quot;-&quot;??_);_(@_)">
                  <c:v>22.095932105009805</c:v>
                </c:pt>
                <c:pt idx="53" formatCode="_(* #,##0.0000_);_(* \(#,##0.0000\);_(* &quot;-&quot;??_);_(@_)">
                  <c:v>22.046971357437112</c:v>
                </c:pt>
                <c:pt idx="54" formatCode="_(* #,##0.0000_);_(* \(#,##0.0000\);_(* &quot;-&quot;??_);_(@_)">
                  <c:v>17.534207003079775</c:v>
                </c:pt>
                <c:pt idx="55" formatCode="_(* #,##0.0000_);_(* \(#,##0.0000\);_(* &quot;-&quot;??_);_(@_)">
                  <c:v>18.031342443184862</c:v>
                </c:pt>
                <c:pt idx="56" formatCode="_(* #,##0.0000_);_(* \(#,##0.0000\);_(* &quot;-&quot;??_);_(@_)">
                  <c:v>21.145948769210928</c:v>
                </c:pt>
                <c:pt idx="57" formatCode="_(* #,##0.0000_);_(* \(#,##0.0000\);_(* &quot;-&quot;??_);_(@_)">
                  <c:v>24.304544110069884</c:v>
                </c:pt>
                <c:pt idx="58" formatCode="_(* #,##0.0000_);_(* \(#,##0.0000\);_(* &quot;-&quot;??_);_(@_)">
                  <c:v>24.819692423464691</c:v>
                </c:pt>
                <c:pt idx="59" formatCode="_(* #,##0.0000_);_(* \(#,##0.0000\);_(* &quot;-&quot;??_);_(@_)">
                  <c:v>25.872325011145783</c:v>
                </c:pt>
                <c:pt idx="60" formatCode="_(* #,##0.0000_);_(* \(#,##0.0000\);_(* &quot;-&quot;??_);_(@_)">
                  <c:v>25.576405856393354</c:v>
                </c:pt>
                <c:pt idx="61" formatCode="_(* #,##0.0000_);_(* \(#,##0.0000\);_(* &quot;-&quot;??_);_(@_)">
                  <c:v>32.123187608979094</c:v>
                </c:pt>
                <c:pt idx="62" formatCode="_(* #,##0.0000_);_(* \(#,##0.0000\);_(* &quot;-&quot;??_);_(@_)">
                  <c:v>26.13685075450945</c:v>
                </c:pt>
                <c:pt idx="63" formatCode="_(* #,##0.0000_);_(* \(#,##0.0000\);_(* &quot;-&quot;??_);_(@_)">
                  <c:v>25.072018961954541</c:v>
                </c:pt>
                <c:pt idx="64" formatCode="_(* #,##0.0000_);_(* \(#,##0.0000\);_(* &quot;-&quot;??_);_(@_)">
                  <c:v>25.01455232170629</c:v>
                </c:pt>
                <c:pt idx="65" formatCode="_(* #,##0.0000_);_(* \(#,##0.0000\);_(* &quot;-&quot;??_);_(@_)">
                  <c:v>23.489557951290251</c:v>
                </c:pt>
                <c:pt idx="66" formatCode="_(* #,##0.0000_);_(* \(#,##0.0000\);_(* &quot;-&quot;??_);_(@_)">
                  <c:v>23.799594297940921</c:v>
                </c:pt>
                <c:pt idx="67" formatCode="_(* #,##0.0000_);_(* \(#,##0.0000\);_(* &quot;-&quot;??_);_(@_)">
                  <c:v>25.193874099446742</c:v>
                </c:pt>
                <c:pt idx="68" formatCode="_(* #,##0.0000_);_(* \(#,##0.0000\);_(* &quot;-&quot;??_);_(@_)">
                  <c:v>25.662952248757897</c:v>
                </c:pt>
                <c:pt idx="69" formatCode="_(* #,##0.0000_);_(* \(#,##0.0000\);_(* &quot;-&quot;??_);_(@_)">
                  <c:v>24.059270830133876</c:v>
                </c:pt>
                <c:pt idx="70" formatCode="_(* #,##0.0000_);_(* \(#,##0.0000\);_(* &quot;-&quot;??_);_(@_)">
                  <c:v>22.591573617090788</c:v>
                </c:pt>
                <c:pt idx="71" formatCode="_(* #,##0.0000_);_(* \(#,##0.0000\);_(* &quot;-&quot;??_);_(@_)">
                  <c:v>22.826851317100612</c:v>
                </c:pt>
                <c:pt idx="72" formatCode="_(* #,##0.0000_);_(* \(#,##0.0000\);_(* &quot;-&quot;??_);_(@_)">
                  <c:v>22.957181986626924</c:v>
                </c:pt>
                <c:pt idx="73" formatCode="_(* #,##0.0000_);_(* \(#,##0.0000\);_(* &quot;-&quot;??_);_(@_)">
                  <c:v>23.804562991246669</c:v>
                </c:pt>
                <c:pt idx="74" formatCode="_(* #,##0.0000_);_(* \(#,##0.0000\);_(* &quot;-&quot;??_);_(@_)">
                  <c:v>25.426778018204903</c:v>
                </c:pt>
                <c:pt idx="75" formatCode="_(* #,##0.0000_);_(* \(#,##0.0000\);_(* &quot;-&quot;??_);_(@_)">
                  <c:v>26.678853145284243</c:v>
                </c:pt>
                <c:pt idx="76" formatCode="_(* #,##0.0000_);_(* \(#,##0.0000\);_(* &quot;-&quot;??_);_(@_)">
                  <c:v>27.49455304611881</c:v>
                </c:pt>
                <c:pt idx="77" formatCode="_(* #,##0.0000_);_(* \(#,##0.0000\);_(* &quot;-&quot;??_);_(@_)">
                  <c:v>41.928981553121304</c:v>
                </c:pt>
                <c:pt idx="78" formatCode="_(* #,##0.0000_);_(* \(#,##0.0000\);_(* &quot;-&quot;??_);_(@_)">
                  <c:v>39.975795715841699</c:v>
                </c:pt>
                <c:pt idx="79" formatCode="_(* #,##0.0000_);_(* \(#,##0.0000\);_(* &quot;-&quot;??_);_(@_)">
                  <c:v>46.287458706937237</c:v>
                </c:pt>
                <c:pt idx="80" formatCode="_(* #,##0.0000_);_(* \(#,##0.0000\);_(* &quot;-&quot;??_);_(@_)">
                  <c:v>65.023519295938499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046880"/>
        <c:axId val="360047440"/>
      </c:scatterChart>
      <c:valAx>
        <c:axId val="360046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47440"/>
        <c:crosses val="autoZero"/>
        <c:crossBetween val="midCat"/>
        <c:majorUnit val="5"/>
      </c:valAx>
      <c:valAx>
        <c:axId val="3600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0046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57150</xdr:colOff>
      <xdr:row>958</xdr:row>
      <xdr:rowOff>25400</xdr:rowOff>
    </xdr:from>
    <xdr:to>
      <xdr:col>10</xdr:col>
      <xdr:colOff>590550</xdr:colOff>
      <xdr:row>984</xdr:row>
      <xdr:rowOff>107950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11</xdr:col>
      <xdr:colOff>495300</xdr:colOff>
      <xdr:row>958</xdr:row>
      <xdr:rowOff>38100</xdr:rowOff>
    </xdr:from>
    <xdr:to>
      <xdr:col>22</xdr:col>
      <xdr:colOff>419100</xdr:colOff>
      <xdr:row>984</xdr:row>
      <xdr:rowOff>114300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23</xdr:col>
      <xdr:colOff>381000</xdr:colOff>
      <xdr:row>958</xdr:row>
      <xdr:rowOff>38100</xdr:rowOff>
    </xdr:from>
    <xdr:to>
      <xdr:col>34</xdr:col>
      <xdr:colOff>304800</xdr:colOff>
      <xdr:row>984</xdr:row>
      <xdr:rowOff>114300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35</xdr:col>
      <xdr:colOff>57150</xdr:colOff>
      <xdr:row>958</xdr:row>
      <xdr:rowOff>57150</xdr:rowOff>
    </xdr:from>
    <xdr:to>
      <xdr:col>45</xdr:col>
      <xdr:colOff>590550</xdr:colOff>
      <xdr:row>984</xdr:row>
      <xdr:rowOff>133350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83820</xdr:rowOff>
    </xdr:from>
    <xdr:to>
      <xdr:col>19</xdr:col>
      <xdr:colOff>236220</xdr:colOff>
      <xdr:row>30</xdr:row>
      <xdr:rowOff>129540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D14" sqref="D14"/>
    </sheetView>
  </sheetViews>
  <sheetFormatPr defaultRowHeight="13.2" x14ac:dyDescent="0.25"/>
  <cols>
    <col min="1" max="16384" width="8.88671875" style="10"/>
  </cols>
  <sheetData>
    <row r="1" spans="1:1" x14ac:dyDescent="0.25">
      <c r="A1" s="10" t="s">
        <v>38</v>
      </c>
    </row>
    <row r="2" spans="1:1" x14ac:dyDescent="0.25">
      <c r="A2" s="10" t="s">
        <v>40</v>
      </c>
    </row>
    <row r="4" spans="1:1" x14ac:dyDescent="0.25">
      <c r="A4" s="10" t="s">
        <v>55</v>
      </c>
    </row>
    <row r="5" spans="1:1" x14ac:dyDescent="0.25">
      <c r="A5" s="10" t="s">
        <v>45</v>
      </c>
    </row>
    <row r="7" spans="1:1" x14ac:dyDescent="0.25">
      <c r="A7" s="10" t="s">
        <v>46</v>
      </c>
    </row>
    <row r="9" spans="1:1" x14ac:dyDescent="0.25">
      <c r="A9" s="10" t="s">
        <v>39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B255"/>
  <sheetViews>
    <sheetView zoomScale="70" zoomScaleNormal="7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H23" sqref="H23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8" width="12" customWidth="1"/>
    <col min="19" max="19" width="11.33203125" customWidth="1"/>
    <col min="20" max="33" width="12" customWidth="1"/>
    <col min="34" max="34" width="14.44140625" customWidth="1"/>
    <col min="35" max="37" width="12" customWidth="1"/>
    <col min="38" max="40" width="13.77734375" customWidth="1"/>
    <col min="41" max="41" width="13.44140625" customWidth="1"/>
    <col min="42" max="94" width="12" customWidth="1"/>
    <col min="95" max="95" width="12.88671875" customWidth="1"/>
    <col min="96" max="96" width="13.33203125" customWidth="1"/>
    <col min="97" max="97" width="14" customWidth="1"/>
    <col min="98" max="100" width="12" customWidth="1"/>
    <col min="101" max="103" width="13.5546875" customWidth="1"/>
    <col min="104" max="104" width="10.33203125" customWidth="1"/>
    <col min="105" max="105" width="11.109375" customWidth="1"/>
    <col min="106" max="106" width="11.33203125" customWidth="1"/>
  </cols>
  <sheetData>
    <row r="1" spans="1:106" s="12" customFormat="1" x14ac:dyDescent="0.25"/>
    <row r="2" spans="1:10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24</v>
      </c>
      <c r="K2" s="7" t="s">
        <v>25</v>
      </c>
      <c r="L2" s="7" t="s">
        <v>25</v>
      </c>
      <c r="M2" s="7" t="s">
        <v>25</v>
      </c>
      <c r="N2" s="7" t="s">
        <v>41</v>
      </c>
      <c r="O2" s="7" t="s">
        <v>41</v>
      </c>
      <c r="P2" s="7" t="s">
        <v>41</v>
      </c>
      <c r="Q2" s="7" t="s">
        <v>26</v>
      </c>
      <c r="R2" s="7" t="s">
        <v>26</v>
      </c>
      <c r="S2" s="7" t="s">
        <v>26</v>
      </c>
      <c r="T2" s="7" t="s">
        <v>2</v>
      </c>
      <c r="U2" s="7" t="s">
        <v>2</v>
      </c>
      <c r="V2" s="7" t="s">
        <v>2</v>
      </c>
      <c r="W2" s="7" t="s">
        <v>4</v>
      </c>
      <c r="X2" s="7" t="s">
        <v>4</v>
      </c>
      <c r="Y2" s="7" t="s">
        <v>4</v>
      </c>
      <c r="Z2" s="7" t="s">
        <v>42</v>
      </c>
      <c r="AA2" s="7" t="s">
        <v>42</v>
      </c>
      <c r="AB2" s="7" t="s">
        <v>42</v>
      </c>
      <c r="AC2" s="7" t="s">
        <v>43</v>
      </c>
      <c r="AD2" s="7" t="s">
        <v>43</v>
      </c>
      <c r="AE2" s="7" t="s">
        <v>43</v>
      </c>
      <c r="AF2" s="7" t="s">
        <v>44</v>
      </c>
      <c r="AG2" s="7" t="s">
        <v>44</v>
      </c>
      <c r="AH2" s="7" t="s">
        <v>44</v>
      </c>
      <c r="AI2" s="7" t="s">
        <v>11</v>
      </c>
      <c r="AJ2" s="7" t="s">
        <v>11</v>
      </c>
      <c r="AK2" s="7" t="s">
        <v>11</v>
      </c>
      <c r="AL2" s="7" t="s">
        <v>12</v>
      </c>
      <c r="AM2" s="7" t="s">
        <v>12</v>
      </c>
      <c r="AN2" s="7" t="s">
        <v>12</v>
      </c>
      <c r="AO2" s="7" t="s">
        <v>28</v>
      </c>
      <c r="AP2" s="7" t="s">
        <v>28</v>
      </c>
      <c r="AQ2" s="7" t="s">
        <v>28</v>
      </c>
      <c r="AR2" s="7" t="s">
        <v>37</v>
      </c>
      <c r="AS2" s="7" t="s">
        <v>37</v>
      </c>
      <c r="AT2" s="7" t="s">
        <v>47</v>
      </c>
      <c r="AU2" s="7" t="s">
        <v>3</v>
      </c>
      <c r="AV2" s="7" t="s">
        <v>3</v>
      </c>
      <c r="AW2" s="7" t="s">
        <v>3</v>
      </c>
      <c r="AX2" s="7" t="s">
        <v>9</v>
      </c>
      <c r="AY2" s="7" t="s">
        <v>9</v>
      </c>
      <c r="AZ2" s="7" t="s">
        <v>9</v>
      </c>
      <c r="BA2" s="7" t="s">
        <v>20</v>
      </c>
      <c r="BB2" s="7" t="s">
        <v>20</v>
      </c>
      <c r="BC2" s="7" t="s">
        <v>20</v>
      </c>
      <c r="BD2" s="7" t="s">
        <v>34</v>
      </c>
      <c r="BE2" s="7" t="s">
        <v>34</v>
      </c>
      <c r="BF2" s="7" t="s">
        <v>34</v>
      </c>
      <c r="BG2" s="7" t="s">
        <v>15</v>
      </c>
      <c r="BH2" s="7" t="s">
        <v>15</v>
      </c>
      <c r="BI2" s="7" t="s">
        <v>15</v>
      </c>
      <c r="BJ2" s="7" t="s">
        <v>16</v>
      </c>
      <c r="BK2" s="7" t="s">
        <v>16</v>
      </c>
      <c r="BL2" s="7" t="s">
        <v>16</v>
      </c>
      <c r="BM2" s="7" t="s">
        <v>17</v>
      </c>
      <c r="BN2" s="7" t="s">
        <v>17</v>
      </c>
      <c r="BO2" s="7" t="s">
        <v>17</v>
      </c>
      <c r="BP2" s="7" t="s">
        <v>6</v>
      </c>
      <c r="BQ2" s="7" t="s">
        <v>6</v>
      </c>
      <c r="BR2" s="7" t="s">
        <v>6</v>
      </c>
      <c r="BS2" s="7" t="s">
        <v>19</v>
      </c>
      <c r="BT2" s="7" t="s">
        <v>19</v>
      </c>
      <c r="BU2" s="7" t="s">
        <v>19</v>
      </c>
      <c r="BV2" s="7" t="s">
        <v>35</v>
      </c>
      <c r="BW2" s="7" t="s">
        <v>35</v>
      </c>
      <c r="BX2" s="7" t="s">
        <v>35</v>
      </c>
      <c r="BY2" s="7" t="s">
        <v>21</v>
      </c>
      <c r="BZ2" s="7" t="s">
        <v>21</v>
      </c>
      <c r="CA2" s="7" t="s">
        <v>21</v>
      </c>
      <c r="CB2" s="7" t="s">
        <v>22</v>
      </c>
      <c r="CC2" s="7" t="s">
        <v>22</v>
      </c>
      <c r="CD2" s="7" t="s">
        <v>22</v>
      </c>
      <c r="CE2" s="7" t="s">
        <v>23</v>
      </c>
      <c r="CF2" s="7" t="s">
        <v>23</v>
      </c>
      <c r="CG2" s="7" t="s">
        <v>23</v>
      </c>
      <c r="CH2" s="7" t="s">
        <v>18</v>
      </c>
      <c r="CI2" s="7" t="s">
        <v>18</v>
      </c>
      <c r="CJ2" s="7" t="s">
        <v>18</v>
      </c>
      <c r="CK2" s="7" t="s">
        <v>5</v>
      </c>
      <c r="CL2" s="7" t="s">
        <v>5</v>
      </c>
      <c r="CM2" s="7" t="s">
        <v>5</v>
      </c>
      <c r="CN2" s="7" t="s">
        <v>27</v>
      </c>
      <c r="CO2" s="7" t="s">
        <v>27</v>
      </c>
      <c r="CP2" s="7" t="s">
        <v>27</v>
      </c>
      <c r="CQ2" s="7" t="s">
        <v>13</v>
      </c>
      <c r="CR2" s="7" t="s">
        <v>13</v>
      </c>
      <c r="CS2" s="7" t="s">
        <v>13</v>
      </c>
      <c r="CT2" s="7" t="s">
        <v>14</v>
      </c>
      <c r="CU2" s="7" t="s">
        <v>14</v>
      </c>
      <c r="CV2" s="7" t="s">
        <v>14</v>
      </c>
      <c r="CW2" s="7" t="s">
        <v>36</v>
      </c>
      <c r="CX2" s="7" t="s">
        <v>36</v>
      </c>
      <c r="CY2" s="7" t="s">
        <v>52</v>
      </c>
      <c r="CZ2" s="7" t="s">
        <v>52</v>
      </c>
      <c r="DA2" s="7" t="s">
        <v>52</v>
      </c>
      <c r="DB2" s="7" t="s">
        <v>52</v>
      </c>
    </row>
    <row r="3" spans="1:106" ht="26.4" x14ac:dyDescent="0.25">
      <c r="B3" s="5" t="s">
        <v>31</v>
      </c>
      <c r="C3" s="7" t="s">
        <v>48</v>
      </c>
      <c r="D3" s="7" t="s">
        <v>48</v>
      </c>
      <c r="E3" s="7" t="s">
        <v>50</v>
      </c>
      <c r="F3" s="7" t="s">
        <v>48</v>
      </c>
      <c r="G3" s="7" t="s">
        <v>48</v>
      </c>
      <c r="H3" s="7" t="s">
        <v>48</v>
      </c>
      <c r="I3" s="7" t="s">
        <v>48</v>
      </c>
      <c r="J3" s="7" t="s">
        <v>51</v>
      </c>
      <c r="K3" s="7" t="s">
        <v>48</v>
      </c>
      <c r="L3" s="7" t="s">
        <v>48</v>
      </c>
      <c r="M3" s="7" t="s">
        <v>48</v>
      </c>
      <c r="N3" s="7" t="s">
        <v>48</v>
      </c>
      <c r="O3" s="7" t="s">
        <v>48</v>
      </c>
      <c r="P3" s="7" t="s">
        <v>48</v>
      </c>
      <c r="Q3" s="7" t="s">
        <v>48</v>
      </c>
      <c r="R3" s="7" t="s">
        <v>48</v>
      </c>
      <c r="S3" s="7" t="s">
        <v>48</v>
      </c>
      <c r="T3" s="7" t="s">
        <v>48</v>
      </c>
      <c r="U3" s="7" t="s">
        <v>48</v>
      </c>
      <c r="V3" s="7" t="s">
        <v>48</v>
      </c>
      <c r="W3" s="7" t="s">
        <v>48</v>
      </c>
      <c r="X3" s="7" t="s">
        <v>48</v>
      </c>
      <c r="Y3" s="7" t="s">
        <v>48</v>
      </c>
      <c r="Z3" s="7" t="s">
        <v>48</v>
      </c>
      <c r="AA3" s="7" t="s">
        <v>48</v>
      </c>
      <c r="AB3" s="7" t="s">
        <v>48</v>
      </c>
      <c r="AC3" s="7" t="s">
        <v>48</v>
      </c>
      <c r="AD3" s="7" t="s">
        <v>48</v>
      </c>
      <c r="AE3" s="7" t="s">
        <v>48</v>
      </c>
      <c r="AF3" s="7" t="s">
        <v>48</v>
      </c>
      <c r="AG3" s="7" t="s">
        <v>48</v>
      </c>
      <c r="AH3" s="7" t="s">
        <v>48</v>
      </c>
      <c r="AI3" s="7" t="s">
        <v>48</v>
      </c>
      <c r="AJ3" s="7" t="s">
        <v>48</v>
      </c>
      <c r="AK3" s="7" t="s">
        <v>48</v>
      </c>
      <c r="AL3" s="7" t="s">
        <v>48</v>
      </c>
      <c r="AM3" s="7" t="s">
        <v>48</v>
      </c>
      <c r="AN3" s="7" t="s">
        <v>48</v>
      </c>
      <c r="AO3" s="7" t="s">
        <v>48</v>
      </c>
      <c r="AP3" s="7" t="s">
        <v>48</v>
      </c>
      <c r="AQ3" s="7" t="s">
        <v>48</v>
      </c>
      <c r="AR3" s="7" t="s">
        <v>48</v>
      </c>
      <c r="AS3" s="7" t="s">
        <v>48</v>
      </c>
      <c r="AT3" s="7" t="s">
        <v>48</v>
      </c>
      <c r="AU3" s="7" t="s">
        <v>48</v>
      </c>
      <c r="AV3" s="7" t="s">
        <v>48</v>
      </c>
      <c r="AW3" s="7" t="s">
        <v>48</v>
      </c>
      <c r="AX3" s="7" t="s">
        <v>48</v>
      </c>
      <c r="AY3" s="7" t="s">
        <v>48</v>
      </c>
      <c r="AZ3" s="7" t="s">
        <v>48</v>
      </c>
      <c r="BA3" s="7" t="s">
        <v>48</v>
      </c>
      <c r="BB3" s="7" t="s">
        <v>48</v>
      </c>
      <c r="BC3" s="7" t="s">
        <v>50</v>
      </c>
      <c r="BD3" s="7" t="s">
        <v>48</v>
      </c>
      <c r="BE3" s="7" t="s">
        <v>48</v>
      </c>
      <c r="BF3" s="7" t="s">
        <v>48</v>
      </c>
      <c r="BG3" s="7" t="s">
        <v>48</v>
      </c>
      <c r="BH3" s="7" t="s">
        <v>50</v>
      </c>
      <c r="BI3" s="7" t="s">
        <v>48</v>
      </c>
      <c r="BJ3" s="7" t="s">
        <v>48</v>
      </c>
      <c r="BK3" s="7" t="s">
        <v>48</v>
      </c>
      <c r="BL3" s="7" t="s">
        <v>48</v>
      </c>
      <c r="BM3" s="7" t="s">
        <v>48</v>
      </c>
      <c r="BN3" s="7" t="s">
        <v>48</v>
      </c>
      <c r="BO3" s="7" t="s">
        <v>50</v>
      </c>
      <c r="BP3" s="7" t="s">
        <v>48</v>
      </c>
      <c r="BQ3" s="7" t="s">
        <v>48</v>
      </c>
      <c r="BR3" s="7" t="s">
        <v>48</v>
      </c>
      <c r="BS3" s="7" t="s">
        <v>48</v>
      </c>
      <c r="BT3" s="7" t="s">
        <v>48</v>
      </c>
      <c r="BU3" s="7" t="s">
        <v>48</v>
      </c>
      <c r="BV3" s="7" t="s">
        <v>48</v>
      </c>
      <c r="BW3" s="7" t="s">
        <v>48</v>
      </c>
      <c r="BX3" s="7" t="s">
        <v>48</v>
      </c>
      <c r="BY3" s="7" t="s">
        <v>48</v>
      </c>
      <c r="BZ3" s="7" t="s">
        <v>50</v>
      </c>
      <c r="CA3" s="7" t="s">
        <v>48</v>
      </c>
      <c r="CB3" s="7" t="s">
        <v>48</v>
      </c>
      <c r="CC3" s="7" t="s">
        <v>48</v>
      </c>
      <c r="CD3" s="7" t="s">
        <v>48</v>
      </c>
      <c r="CE3" s="7" t="s">
        <v>48</v>
      </c>
      <c r="CF3" s="7" t="s">
        <v>48</v>
      </c>
      <c r="CG3" s="7" t="s">
        <v>48</v>
      </c>
      <c r="CH3" s="7" t="s">
        <v>48</v>
      </c>
      <c r="CI3" s="7" t="s">
        <v>48</v>
      </c>
      <c r="CJ3" s="7" t="s">
        <v>48</v>
      </c>
      <c r="CK3" s="7" t="s">
        <v>48</v>
      </c>
      <c r="CL3" s="7" t="s">
        <v>48</v>
      </c>
      <c r="CM3" s="7" t="s">
        <v>48</v>
      </c>
      <c r="CN3" s="7" t="s">
        <v>48</v>
      </c>
      <c r="CO3" s="7" t="s">
        <v>48</v>
      </c>
      <c r="CP3" s="7" t="s">
        <v>48</v>
      </c>
      <c r="CQ3" s="7" t="s">
        <v>48</v>
      </c>
      <c r="CR3" s="7" t="s">
        <v>48</v>
      </c>
      <c r="CS3" s="7" t="s">
        <v>48</v>
      </c>
      <c r="CT3" s="7" t="s">
        <v>51</v>
      </c>
      <c r="CU3" s="7" t="s">
        <v>48</v>
      </c>
      <c r="CV3" s="7" t="s">
        <v>48</v>
      </c>
      <c r="CW3" s="7" t="s">
        <v>48</v>
      </c>
      <c r="CX3" s="7" t="s">
        <v>48</v>
      </c>
      <c r="CY3" s="7" t="s">
        <v>48</v>
      </c>
      <c r="CZ3" s="7" t="s">
        <v>54</v>
      </c>
      <c r="DA3" s="7" t="s">
        <v>48</v>
      </c>
      <c r="DB3" s="7" t="s">
        <v>48</v>
      </c>
    </row>
    <row r="4" spans="1:106" s="2" customFormat="1" ht="27" customHeight="1" x14ac:dyDescent="0.25">
      <c r="B4" s="5" t="s">
        <v>30</v>
      </c>
      <c r="C4" s="5" t="s">
        <v>7</v>
      </c>
      <c r="D4" s="5" t="s">
        <v>7</v>
      </c>
      <c r="E4" s="5" t="s">
        <v>8</v>
      </c>
      <c r="F4" s="5" t="s">
        <v>8</v>
      </c>
      <c r="G4" s="5" t="s">
        <v>10</v>
      </c>
      <c r="H4" s="5" t="s">
        <v>8</v>
      </c>
      <c r="I4" s="5" t="s">
        <v>7</v>
      </c>
      <c r="J4" s="5" t="s">
        <v>10</v>
      </c>
      <c r="K4" s="5" t="s">
        <v>8</v>
      </c>
      <c r="L4" s="5" t="s">
        <v>7</v>
      </c>
      <c r="M4" s="5" t="s">
        <v>10</v>
      </c>
      <c r="N4" s="5" t="s">
        <v>8</v>
      </c>
      <c r="O4" s="5" t="s">
        <v>7</v>
      </c>
      <c r="P4" s="5" t="s">
        <v>10</v>
      </c>
      <c r="Q4" s="5" t="s">
        <v>8</v>
      </c>
      <c r="R4" s="5" t="s">
        <v>7</v>
      </c>
      <c r="S4" s="5" t="s">
        <v>10</v>
      </c>
      <c r="T4" s="5" t="s">
        <v>8</v>
      </c>
      <c r="U4" s="5" t="s">
        <v>7</v>
      </c>
      <c r="V4" s="5" t="s">
        <v>10</v>
      </c>
      <c r="W4" s="5" t="s">
        <v>8</v>
      </c>
      <c r="X4" s="5" t="s">
        <v>7</v>
      </c>
      <c r="Y4" s="5" t="s">
        <v>10</v>
      </c>
      <c r="Z4" s="5" t="s">
        <v>8</v>
      </c>
      <c r="AA4" s="5" t="s">
        <v>7</v>
      </c>
      <c r="AB4" s="5" t="s">
        <v>10</v>
      </c>
      <c r="AC4" s="5" t="s">
        <v>8</v>
      </c>
      <c r="AD4" s="5" t="s">
        <v>7</v>
      </c>
      <c r="AE4" s="5" t="s">
        <v>10</v>
      </c>
      <c r="AF4" s="5" t="s">
        <v>8</v>
      </c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/>
      <c r="AU4" s="5"/>
      <c r="AV4" s="5" t="s">
        <v>7</v>
      </c>
      <c r="AW4" s="5"/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8</v>
      </c>
      <c r="CZ4" s="5" t="s">
        <v>8</v>
      </c>
      <c r="DA4" s="5" t="s">
        <v>7</v>
      </c>
      <c r="DB4" s="5" t="s">
        <v>53</v>
      </c>
    </row>
    <row r="5" spans="1:106" s="9" customFormat="1" x14ac:dyDescent="0.25">
      <c r="A5" s="4" t="s">
        <v>33</v>
      </c>
      <c r="B5" s="4" t="s">
        <v>32</v>
      </c>
      <c r="C5" s="6" t="s">
        <v>49</v>
      </c>
      <c r="D5" s="6" t="s">
        <v>49</v>
      </c>
      <c r="E5" s="6" t="s">
        <v>49</v>
      </c>
      <c r="F5" s="6" t="s">
        <v>49</v>
      </c>
      <c r="G5" s="6" t="s">
        <v>49</v>
      </c>
      <c r="H5" s="6" t="s">
        <v>49</v>
      </c>
      <c r="I5" s="6" t="s">
        <v>49</v>
      </c>
      <c r="J5" s="6" t="s">
        <v>49</v>
      </c>
      <c r="K5" s="6" t="s">
        <v>49</v>
      </c>
      <c r="L5" s="6" t="s">
        <v>49</v>
      </c>
      <c r="M5" s="6" t="s">
        <v>49</v>
      </c>
      <c r="N5" s="6" t="s">
        <v>49</v>
      </c>
      <c r="O5" s="6" t="s">
        <v>49</v>
      </c>
      <c r="P5" s="6" t="s">
        <v>49</v>
      </c>
      <c r="Q5" s="6" t="s">
        <v>49</v>
      </c>
      <c r="R5" s="6" t="s">
        <v>49</v>
      </c>
      <c r="S5" s="6" t="s">
        <v>49</v>
      </c>
      <c r="T5" s="6" t="s">
        <v>49</v>
      </c>
      <c r="U5" s="6" t="s">
        <v>49</v>
      </c>
      <c r="V5" s="6" t="s">
        <v>49</v>
      </c>
      <c r="W5" s="6" t="s">
        <v>49</v>
      </c>
      <c r="X5" s="6" t="s">
        <v>49</v>
      </c>
      <c r="Y5" s="6" t="s">
        <v>49</v>
      </c>
      <c r="Z5" s="6" t="s">
        <v>49</v>
      </c>
      <c r="AA5" s="6" t="s">
        <v>49</v>
      </c>
      <c r="AB5" s="6" t="s">
        <v>49</v>
      </c>
      <c r="AC5" s="6" t="s">
        <v>49</v>
      </c>
      <c r="AD5" s="6" t="s">
        <v>49</v>
      </c>
      <c r="AE5" s="6" t="s">
        <v>49</v>
      </c>
      <c r="AF5" s="6" t="s">
        <v>49</v>
      </c>
      <c r="AG5" s="6" t="s">
        <v>49</v>
      </c>
      <c r="AH5" s="6" t="s">
        <v>49</v>
      </c>
      <c r="AI5" s="6" t="s">
        <v>49</v>
      </c>
      <c r="AJ5" s="6" t="s">
        <v>49</v>
      </c>
      <c r="AK5" s="6" t="s">
        <v>49</v>
      </c>
      <c r="AL5" s="6" t="s">
        <v>49</v>
      </c>
      <c r="AM5" s="6" t="s">
        <v>49</v>
      </c>
      <c r="AN5" s="6" t="s">
        <v>49</v>
      </c>
      <c r="AO5" s="6" t="s">
        <v>49</v>
      </c>
      <c r="AP5" s="6" t="s">
        <v>49</v>
      </c>
      <c r="AQ5" s="6" t="s">
        <v>49</v>
      </c>
      <c r="AR5" s="6" t="s">
        <v>49</v>
      </c>
      <c r="AS5" s="6" t="s">
        <v>49</v>
      </c>
      <c r="AT5" s="6" t="s">
        <v>49</v>
      </c>
      <c r="AU5" s="6" t="s">
        <v>49</v>
      </c>
      <c r="AV5" s="6" t="s">
        <v>49</v>
      </c>
      <c r="AW5" s="6" t="s">
        <v>49</v>
      </c>
      <c r="AX5" s="6" t="s">
        <v>49</v>
      </c>
      <c r="AY5" s="6" t="s">
        <v>49</v>
      </c>
      <c r="AZ5" s="6" t="s">
        <v>49</v>
      </c>
      <c r="BA5" s="6" t="s">
        <v>49</v>
      </c>
      <c r="BB5" s="6" t="s">
        <v>49</v>
      </c>
      <c r="BC5" s="6" t="s">
        <v>49</v>
      </c>
      <c r="BD5" s="6" t="s">
        <v>49</v>
      </c>
      <c r="BE5" s="6" t="s">
        <v>49</v>
      </c>
      <c r="BF5" s="6" t="s">
        <v>49</v>
      </c>
      <c r="BG5" s="6" t="s">
        <v>49</v>
      </c>
      <c r="BH5" s="6" t="s">
        <v>49</v>
      </c>
      <c r="BI5" s="6" t="s">
        <v>49</v>
      </c>
      <c r="BJ5" s="6" t="s">
        <v>49</v>
      </c>
      <c r="BK5" s="6" t="s">
        <v>49</v>
      </c>
      <c r="BL5" s="6" t="s">
        <v>49</v>
      </c>
      <c r="BM5" s="6" t="s">
        <v>49</v>
      </c>
      <c r="BN5" s="6" t="s">
        <v>49</v>
      </c>
      <c r="BO5" s="6" t="s">
        <v>49</v>
      </c>
      <c r="BP5" s="6" t="s">
        <v>49</v>
      </c>
      <c r="BQ5" s="6" t="s">
        <v>49</v>
      </c>
      <c r="BR5" s="6" t="s">
        <v>49</v>
      </c>
      <c r="BS5" s="6" t="s">
        <v>49</v>
      </c>
      <c r="BT5" s="6" t="s">
        <v>49</v>
      </c>
      <c r="BU5" s="6" t="s">
        <v>49</v>
      </c>
      <c r="BV5" s="6" t="s">
        <v>49</v>
      </c>
      <c r="BW5" s="6" t="s">
        <v>49</v>
      </c>
      <c r="BX5" s="6" t="s">
        <v>49</v>
      </c>
      <c r="BY5" s="6" t="s">
        <v>49</v>
      </c>
      <c r="BZ5" s="6" t="s">
        <v>49</v>
      </c>
      <c r="CA5" s="6" t="s">
        <v>49</v>
      </c>
      <c r="CB5" s="6" t="s">
        <v>49</v>
      </c>
      <c r="CC5" s="6" t="s">
        <v>49</v>
      </c>
      <c r="CD5" s="6" t="s">
        <v>49</v>
      </c>
      <c r="CE5" s="6" t="s">
        <v>49</v>
      </c>
      <c r="CF5" s="6" t="s">
        <v>49</v>
      </c>
      <c r="CG5" s="6" t="s">
        <v>49</v>
      </c>
      <c r="CH5" s="6" t="s">
        <v>49</v>
      </c>
      <c r="CI5" s="6" t="s">
        <v>49</v>
      </c>
      <c r="CJ5" s="6" t="s">
        <v>49</v>
      </c>
      <c r="CK5" s="6" t="s">
        <v>49</v>
      </c>
      <c r="CL5" s="6" t="s">
        <v>49</v>
      </c>
      <c r="CM5" s="6" t="s">
        <v>49</v>
      </c>
      <c r="CN5" s="6" t="s">
        <v>49</v>
      </c>
      <c r="CO5" s="6" t="s">
        <v>49</v>
      </c>
      <c r="CP5" s="6" t="s">
        <v>49</v>
      </c>
      <c r="CQ5" s="6" t="s">
        <v>49</v>
      </c>
      <c r="CR5" s="6" t="s">
        <v>49</v>
      </c>
      <c r="CS5" s="6" t="s">
        <v>49</v>
      </c>
      <c r="CT5" s="6" t="s">
        <v>49</v>
      </c>
      <c r="CU5" s="6" t="s">
        <v>49</v>
      </c>
      <c r="CV5" s="6" t="s">
        <v>49</v>
      </c>
      <c r="CW5" s="6" t="s">
        <v>49</v>
      </c>
      <c r="CX5" s="6" t="s">
        <v>49</v>
      </c>
      <c r="CY5" s="6" t="s">
        <v>49</v>
      </c>
      <c r="CZ5" s="6" t="s">
        <v>49</v>
      </c>
      <c r="DA5" s="6" t="s">
        <v>49</v>
      </c>
      <c r="DB5" s="6" t="s">
        <v>49</v>
      </c>
    </row>
    <row r="6" spans="1:106" s="2" customFormat="1" ht="54.6" hidden="1" customHeight="1" x14ac:dyDescent="0.25">
      <c r="A6" s="4" t="s">
        <v>33</v>
      </c>
      <c r="B6" s="5" t="s">
        <v>29</v>
      </c>
      <c r="C6" s="7" t="str">
        <f t="shared" ref="C6:AQ6" si="0">CONCATENATE(C2,", ",C4,", ","in ",C5)</f>
        <v>UK, Exports, in s/ton</v>
      </c>
      <c r="D6" s="7" t="str">
        <f t="shared" si="0"/>
        <v>UK, Exports, in s/ton</v>
      </c>
      <c r="E6" s="7" t="str">
        <f t="shared" si="0"/>
        <v>Baghdad, Imports, in s/ton</v>
      </c>
      <c r="F6" s="7" t="str">
        <f t="shared" si="0"/>
        <v>Baghdad, Imports, in s/ton</v>
      </c>
      <c r="G6" s="7" t="str">
        <f t="shared" si="0"/>
        <v>Baghdad, Bazaar (Local), in s/ton</v>
      </c>
      <c r="H6" s="7" t="str">
        <f t="shared" si="0"/>
        <v>Basrah, Imports, in s/ton</v>
      </c>
      <c r="I6" s="7" t="str">
        <f t="shared" si="0"/>
        <v>Basrah, Exports, in s/ton</v>
      </c>
      <c r="J6" s="7" t="str">
        <f t="shared" si="0"/>
        <v>Basrah, Bazaar (Local), in s/ton</v>
      </c>
      <c r="K6" s="7" t="str">
        <f t="shared" si="0"/>
        <v>Mosul, Imports, in s/ton</v>
      </c>
      <c r="L6" s="7" t="str">
        <f t="shared" si="0"/>
        <v>Mosul, Exports, in s/ton</v>
      </c>
      <c r="M6" s="7" t="str">
        <f t="shared" si="0"/>
        <v>Mosul, Bazaar (Local), in s/ton</v>
      </c>
      <c r="N6" s="7" t="str">
        <f>CONCATENATE(N2,", ",N4,", ","in ",N5)</f>
        <v>Egypt, Imports, in s/ton</v>
      </c>
      <c r="O6" s="7" t="e">
        <f>CONCATENATE(#REF!,", ",O4,", ","in ",O5)</f>
        <v>#REF!</v>
      </c>
      <c r="P6" s="7" t="str">
        <f t="shared" si="0"/>
        <v>Egypt, Bazaar (Local), in s/ton</v>
      </c>
      <c r="Q6" s="7" t="str">
        <f t="shared" si="0"/>
        <v>Palestine, Imports, in s/ton</v>
      </c>
      <c r="R6" s="7" t="str">
        <f t="shared" si="0"/>
        <v>Palestine, Exports, in s/ton</v>
      </c>
      <c r="S6" s="7" t="str">
        <f t="shared" si="0"/>
        <v>Palestine, Bazaar (Local), in s/ton</v>
      </c>
      <c r="T6" s="7" t="str">
        <f t="shared" si="0"/>
        <v>Damascus, Imports, in s/ton</v>
      </c>
      <c r="U6" s="7" t="str">
        <f t="shared" si="0"/>
        <v>Damascus, Exports, in s/ton</v>
      </c>
      <c r="V6" s="7" t="str">
        <f t="shared" si="0"/>
        <v>Damascus, Bazaar (Local), in s/ton</v>
      </c>
      <c r="W6" s="7" t="str">
        <f t="shared" si="0"/>
        <v>Beirut, Imports, in s/ton</v>
      </c>
      <c r="X6" s="7" t="str">
        <f t="shared" si="0"/>
        <v>Beirut, Exports, in s/ton</v>
      </c>
      <c r="Y6" s="7" t="str">
        <f t="shared" si="0"/>
        <v>Beirut, Bazaar (Local), in s/ton</v>
      </c>
      <c r="Z6" s="7" t="str">
        <f t="shared" si="0"/>
        <v>Istanbul (Malatya), Imports, in s/ton</v>
      </c>
      <c r="AA6" s="7" t="str">
        <f t="shared" si="0"/>
        <v>Istanbul (Malatya), Exports, in s/ton</v>
      </c>
      <c r="AB6" s="7" t="str">
        <f t="shared" si="0"/>
        <v>Istanbul (Malatya), Bazaar (Local), in s/ton</v>
      </c>
      <c r="AC6" s="7" t="str">
        <f t="shared" si="0"/>
        <v>Istanbul (Geyve), Imports, in s/ton</v>
      </c>
      <c r="AD6" s="7" t="str">
        <f t="shared" si="0"/>
        <v>Istanbul (Geyve), Exports, in s/ton</v>
      </c>
      <c r="AE6" s="7" t="str">
        <f t="shared" si="0"/>
        <v>Istanbul (Geyve), Bazaar (Local), in s/ton</v>
      </c>
      <c r="AF6" s="7" t="str">
        <f t="shared" si="0"/>
        <v>Istanbul (Nallrihan), Imports, in s/ton</v>
      </c>
      <c r="AG6" s="7" t="str">
        <f t="shared" si="0"/>
        <v>Istanbul (Nallrihan), Exports, in s/ton</v>
      </c>
      <c r="AH6" s="7" t="str">
        <f t="shared" si="0"/>
        <v>Istanbul (Nallrihan), Bazaar (Local), in s/ton</v>
      </c>
      <c r="AI6" s="7" t="str">
        <f t="shared" si="0"/>
        <v>Turkey, Imports, in s/ton</v>
      </c>
      <c r="AJ6" s="7" t="str">
        <f t="shared" si="0"/>
        <v>Turkey, Exports, in s/ton</v>
      </c>
      <c r="AK6" s="7" t="str">
        <f t="shared" si="0"/>
        <v>Turkey, Bazaar (Local), in s/ton</v>
      </c>
      <c r="AL6" s="7" t="str">
        <f t="shared" si="0"/>
        <v>Constantinople, Imports, in s/ton</v>
      </c>
      <c r="AM6" s="7" t="str">
        <f t="shared" si="0"/>
        <v>Constantinople, Exports, in s/ton</v>
      </c>
      <c r="AN6" s="7" t="str">
        <f t="shared" si="0"/>
        <v>Constantinople, Bazaar (Local), in s/ton</v>
      </c>
      <c r="AO6" s="7" t="str">
        <f t="shared" si="0"/>
        <v>Trebizond (Anatolia), Imports, in s/ton</v>
      </c>
      <c r="AP6" s="7" t="str">
        <f t="shared" si="0"/>
        <v>Trebizond (Anatolia), Exports, in s/ton</v>
      </c>
      <c r="AQ6" s="7" t="str">
        <f t="shared" si="0"/>
        <v>Trebizond (Anatolia), Bazaar (Local), in s/ton</v>
      </c>
      <c r="AR6" s="7" t="str">
        <f t="shared" ref="AR6:BW6" si="1">CONCATENATE(AR2,", ",AR4,", ","in ",AR5)</f>
        <v>Trebizond (Persia), Imports, in s/ton</v>
      </c>
      <c r="AS6" s="7" t="str">
        <f t="shared" si="1"/>
        <v>Trebizond (Persia), Exports, in s/ton</v>
      </c>
      <c r="AT6" s="7" t="str">
        <f t="shared" si="1"/>
        <v>Adana, , in s/ton</v>
      </c>
      <c r="AU6" s="7" t="str">
        <f t="shared" si="1"/>
        <v>Izmir, , in s/ton</v>
      </c>
      <c r="AV6" s="7" t="str">
        <f t="shared" si="1"/>
        <v>Izmir, Exports, in s/ton</v>
      </c>
      <c r="AW6" s="7" t="str">
        <f t="shared" si="1"/>
        <v>Izmir, , in s/ton</v>
      </c>
      <c r="AX6" s="7" t="str">
        <f t="shared" si="1"/>
        <v>Alexandretta, Imports, in s/ton</v>
      </c>
      <c r="AY6" s="7" t="str">
        <f t="shared" si="1"/>
        <v>Alexandretta, Exports, in s/ton</v>
      </c>
      <c r="AZ6" s="7" t="str">
        <f t="shared" si="1"/>
        <v>Alexandretta, Bazaar (Local), in s/ton</v>
      </c>
      <c r="BA6" s="7" t="str">
        <f t="shared" si="1"/>
        <v>Ispahan, Imports, in s/ton</v>
      </c>
      <c r="BB6" s="7" t="str">
        <f t="shared" si="1"/>
        <v>Ispahan, Exports, in s/ton</v>
      </c>
      <c r="BC6" s="7" t="str">
        <f t="shared" si="1"/>
        <v>Ispahan, Bazaar (Local), in s/ton</v>
      </c>
      <c r="BD6" s="7" t="str">
        <f t="shared" si="1"/>
        <v>Yezd, Imports, in s/ton</v>
      </c>
      <c r="BE6" s="7" t="str">
        <f t="shared" si="1"/>
        <v>Yezd, Exports, in s/ton</v>
      </c>
      <c r="BF6" s="7" t="str">
        <f t="shared" si="1"/>
        <v>Yezd, Bazaar (Local), in s/ton</v>
      </c>
      <c r="BG6" s="7" t="str">
        <f t="shared" si="1"/>
        <v>Khorasan, Imports, in s/ton</v>
      </c>
      <c r="BH6" s="7" t="str">
        <f t="shared" si="1"/>
        <v>Khorasan, Exports, in s/ton</v>
      </c>
      <c r="BI6" s="7" t="str">
        <f t="shared" si="1"/>
        <v>Khorasan, Bazaar (Local), in s/ton</v>
      </c>
      <c r="BJ6" s="7" t="str">
        <f t="shared" si="1"/>
        <v>Kermanshah, Imports, in s/ton</v>
      </c>
      <c r="BK6" s="7" t="str">
        <f t="shared" si="1"/>
        <v>Kermanshah, Exports, in s/ton</v>
      </c>
      <c r="BL6" s="7" t="str">
        <f t="shared" si="1"/>
        <v>Kermanshah, Bazaar (Local), in s/ton</v>
      </c>
      <c r="BM6" s="7" t="str">
        <f t="shared" si="1"/>
        <v>Kerman, Imports, in s/ton</v>
      </c>
      <c r="BN6" s="7" t="str">
        <f t="shared" si="1"/>
        <v>Kerman, Exports, in s/ton</v>
      </c>
      <c r="BO6" s="7" t="str">
        <f t="shared" si="1"/>
        <v>Kerman, Bazaar (Local), in s/ton</v>
      </c>
      <c r="BP6" s="7" t="str">
        <f t="shared" si="1"/>
        <v>Bam, Imports, in s/ton</v>
      </c>
      <c r="BQ6" s="7" t="str">
        <f t="shared" si="1"/>
        <v>Bam, Exports, in s/ton</v>
      </c>
      <c r="BR6" s="7" t="str">
        <f t="shared" si="1"/>
        <v>Bam, Bazaar (Local), in s/ton</v>
      </c>
      <c r="BS6" s="7" t="str">
        <f t="shared" si="1"/>
        <v>Resht, Imports, in s/ton</v>
      </c>
      <c r="BT6" s="7" t="str">
        <f t="shared" si="1"/>
        <v>Resht, Exports, in s/ton</v>
      </c>
      <c r="BU6" s="7" t="str">
        <f t="shared" si="1"/>
        <v>Resht, Bazaar (Local), in s/ton</v>
      </c>
      <c r="BV6" s="7" t="str">
        <f t="shared" si="1"/>
        <v>Mazandaran, Imports, in s/ton</v>
      </c>
      <c r="BW6" s="7" t="str">
        <f t="shared" si="1"/>
        <v>Mazandaran, Exports, in s/ton</v>
      </c>
      <c r="BX6" s="7" t="str">
        <f t="shared" ref="BX6:DB6" si="2">CONCATENATE(BX2,", ",BX4,", ","in ",BX5)</f>
        <v>Mazandaran, Bazaar (Local), in s/ton</v>
      </c>
      <c r="BY6" s="7" t="str">
        <f t="shared" si="2"/>
        <v>Ghilan &amp; Tunekabun, Imports, in s/ton</v>
      </c>
      <c r="BZ6" s="7" t="str">
        <f t="shared" si="2"/>
        <v>Ghilan &amp; Tunekabun, Exports, in s/ton</v>
      </c>
      <c r="CA6" s="7" t="str">
        <f t="shared" si="2"/>
        <v>Ghilan &amp; Tunekabun, Bazaar (Local), in s/ton</v>
      </c>
      <c r="CB6" s="7" t="str">
        <f t="shared" si="2"/>
        <v>Bender Gez &amp; Astarabad, Imports, in s/ton</v>
      </c>
      <c r="CC6" s="7" t="str">
        <f t="shared" si="2"/>
        <v>Bender Gez &amp; Astarabad, Exports, in s/ton</v>
      </c>
      <c r="CD6" s="7" t="str">
        <f t="shared" si="2"/>
        <v>Bender Gez &amp; Astarabad, Bazaar (Local), in s/ton</v>
      </c>
      <c r="CE6" s="7" t="str">
        <f t="shared" si="2"/>
        <v>Astara, Imports, in s/ton</v>
      </c>
      <c r="CF6" s="7" t="str">
        <f t="shared" si="2"/>
        <v>Astara, Exports, in s/ton</v>
      </c>
      <c r="CG6" s="7" t="str">
        <f t="shared" si="2"/>
        <v>Astara, Bazaar (Local), in s/ton</v>
      </c>
      <c r="CH6" s="7" t="str">
        <f t="shared" si="2"/>
        <v>Sultanabad, Imports, in s/ton</v>
      </c>
      <c r="CI6" s="7" t="str">
        <f t="shared" si="2"/>
        <v>Sultanabad, Exports, in s/ton</v>
      </c>
      <c r="CJ6" s="7" t="str">
        <f t="shared" si="2"/>
        <v>Sultanabad, Bazaar (Local), in s/ton</v>
      </c>
      <c r="CK6" s="7" t="str">
        <f t="shared" si="2"/>
        <v>Bahrain, Imports, in s/ton</v>
      </c>
      <c r="CL6" s="7" t="str">
        <f t="shared" si="2"/>
        <v>Bahrain, Exports, in s/ton</v>
      </c>
      <c r="CM6" s="7" t="str">
        <f t="shared" si="2"/>
        <v>Bahrain, Bazaar (Local), in s/ton</v>
      </c>
      <c r="CN6" s="7" t="str">
        <f t="shared" si="2"/>
        <v>Muscat, Imports, in s/ton</v>
      </c>
      <c r="CO6" s="7" t="str">
        <f t="shared" si="2"/>
        <v>Muscat, Exports, in s/ton</v>
      </c>
      <c r="CP6" s="7" t="str">
        <f t="shared" si="2"/>
        <v>Muscat, Bazaar (Local), in s/ton</v>
      </c>
      <c r="CQ6" s="7" t="str">
        <f t="shared" si="2"/>
        <v>Mohammerah, Imports, in s/ton</v>
      </c>
      <c r="CR6" s="7" t="str">
        <f t="shared" si="2"/>
        <v>Mohammerah, Exports, in s/ton</v>
      </c>
      <c r="CS6" s="7" t="str">
        <f t="shared" si="2"/>
        <v>Mohammerah, Bazaar (Local), in s/ton</v>
      </c>
      <c r="CT6" s="7" t="str">
        <f t="shared" si="2"/>
        <v>Lingah, Imports, in s/ton</v>
      </c>
      <c r="CU6" s="7" t="str">
        <f t="shared" si="2"/>
        <v>Lingah, Exports, in s/ton</v>
      </c>
      <c r="CV6" s="7" t="str">
        <f t="shared" si="2"/>
        <v>Lingah, Bazaar (Local), in s/ton</v>
      </c>
      <c r="CW6" s="7" t="str">
        <f t="shared" si="2"/>
        <v>Shiraz, Imports, in s/ton</v>
      </c>
      <c r="CX6" s="7" t="str">
        <f t="shared" si="2"/>
        <v>Shiraz, Exports, in s/ton</v>
      </c>
      <c r="CY6" s="7" t="str">
        <f t="shared" si="2"/>
        <v>India, Imports, in s/ton</v>
      </c>
      <c r="CZ6" s="7" t="str">
        <f t="shared" si="2"/>
        <v>India, Imports, in s/ton</v>
      </c>
      <c r="DA6" s="7" t="str">
        <f t="shared" si="2"/>
        <v>India, Exports, in s/ton</v>
      </c>
      <c r="DB6" s="7" t="str">
        <f t="shared" si="2"/>
        <v>India, Production, in s/ton</v>
      </c>
    </row>
    <row r="7" spans="1:106" x14ac:dyDescent="0.25">
      <c r="A7" s="8">
        <v>1840</v>
      </c>
      <c r="C7" s="1"/>
      <c r="D7" s="1">
        <v>7.09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6" x14ac:dyDescent="0.25">
      <c r="A8" s="8">
        <f t="shared" ref="A8:A39" si="3">A7+1</f>
        <v>1841</v>
      </c>
      <c r="C8" s="1"/>
      <c r="D8" s="1">
        <v>7.23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6" x14ac:dyDescent="0.25">
      <c r="A9" s="8">
        <f t="shared" si="3"/>
        <v>1842</v>
      </c>
      <c r="C9" s="1"/>
      <c r="D9" s="1">
        <v>7.24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6" x14ac:dyDescent="0.25">
      <c r="A10" s="8">
        <f t="shared" si="3"/>
        <v>1843</v>
      </c>
      <c r="C10" s="1"/>
      <c r="D10" s="1">
        <v>7.18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6" x14ac:dyDescent="0.25">
      <c r="A11" s="8">
        <f t="shared" si="3"/>
        <v>1844</v>
      </c>
      <c r="C11" s="1"/>
      <c r="D11" s="1">
        <v>7.44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6" x14ac:dyDescent="0.25">
      <c r="A12" s="8">
        <f t="shared" si="3"/>
        <v>1845</v>
      </c>
      <c r="C12" s="1"/>
      <c r="D12" s="1">
        <v>7.48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6" x14ac:dyDescent="0.25">
      <c r="A13" s="8">
        <f t="shared" si="3"/>
        <v>1846</v>
      </c>
      <c r="C13" s="1"/>
      <c r="D13" s="1">
        <v>7.45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6" x14ac:dyDescent="0.25">
      <c r="A14" s="8">
        <f t="shared" si="3"/>
        <v>1847</v>
      </c>
      <c r="C14" s="1">
        <v>7.8005574346568753</v>
      </c>
      <c r="D14" s="1">
        <v>7.61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6" x14ac:dyDescent="0.25">
      <c r="A15" s="8">
        <f t="shared" si="3"/>
        <v>1848</v>
      </c>
      <c r="C15" s="1">
        <v>7.8140279991282817</v>
      </c>
      <c r="D15" s="1">
        <v>7.65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6" x14ac:dyDescent="0.25">
      <c r="A16" s="8">
        <f t="shared" si="3"/>
        <v>1849</v>
      </c>
      <c r="C16" s="1">
        <v>7.6881683739156355</v>
      </c>
      <c r="D16" s="1">
        <v>7.53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3" x14ac:dyDescent="0.25">
      <c r="A17" s="8">
        <f t="shared" si="3"/>
        <v>1850</v>
      </c>
      <c r="C17" s="1">
        <v>7.6627086888552096</v>
      </c>
      <c r="D17" s="1">
        <v>7.51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3" x14ac:dyDescent="0.25">
      <c r="A18" s="8">
        <f t="shared" si="3"/>
        <v>1851</v>
      </c>
      <c r="C18" s="1">
        <v>7.5101980801748276</v>
      </c>
      <c r="D18" s="1">
        <v>7.36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3" x14ac:dyDescent="0.25">
      <c r="A19" s="8">
        <f t="shared" si="3"/>
        <v>1852</v>
      </c>
      <c r="C19" s="1">
        <v>7.5386861249702628</v>
      </c>
      <c r="D19" s="1">
        <v>7.4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3" x14ac:dyDescent="0.25">
      <c r="A20" s="8">
        <f t="shared" si="3"/>
        <v>1853</v>
      </c>
      <c r="C20" s="1">
        <v>8.1553530795702827</v>
      </c>
      <c r="D20" s="1">
        <v>8.0299999999999994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3" x14ac:dyDescent="0.25">
      <c r="A21" s="8">
        <f t="shared" si="3"/>
        <v>1854</v>
      </c>
      <c r="C21" s="1">
        <v>9.8725000029007344</v>
      </c>
      <c r="D21" s="1">
        <v>9.59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3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3" x14ac:dyDescent="0.25">
      <c r="A22" s="8">
        <f t="shared" si="3"/>
        <v>1855</v>
      </c>
      <c r="C22" s="1">
        <v>9.8307782632649783</v>
      </c>
      <c r="D22" s="1">
        <v>9.51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3" x14ac:dyDescent="0.25">
      <c r="A23" s="8">
        <f t="shared" si="3"/>
        <v>1856</v>
      </c>
      <c r="C23" s="1">
        <v>9.6145858543322795</v>
      </c>
      <c r="D23" s="1">
        <v>9.35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3" x14ac:dyDescent="0.25">
      <c r="A24" s="8">
        <f t="shared" si="3"/>
        <v>1857</v>
      </c>
      <c r="C24" s="1">
        <v>9.530410741440944</v>
      </c>
      <c r="D24" s="1">
        <v>9.31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3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3" x14ac:dyDescent="0.25">
      <c r="A25" s="8">
        <f t="shared" si="3"/>
        <v>1858</v>
      </c>
      <c r="C25" s="1">
        <v>9.3282546259788095</v>
      </c>
      <c r="D25" s="1">
        <v>9.1300000000000008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>
        <f>20*2240*0.0033749472428247</f>
        <v>151.19763647854657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3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3" x14ac:dyDescent="0.25">
      <c r="A26" s="8">
        <f t="shared" si="3"/>
        <v>1859</v>
      </c>
      <c r="C26" s="1">
        <v>9.3336286592067381</v>
      </c>
      <c r="D26" s="1">
        <v>9.18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3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3" x14ac:dyDescent="0.25">
      <c r="A27" s="8">
        <f t="shared" si="3"/>
        <v>1860</v>
      </c>
      <c r="C27" s="1">
        <v>9.058609921669877</v>
      </c>
      <c r="D27" s="1">
        <v>8.89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3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3" x14ac:dyDescent="0.25">
      <c r="A28" s="8">
        <f t="shared" si="3"/>
        <v>1861</v>
      </c>
      <c r="C28" s="1">
        <v>9.2053971653086037</v>
      </c>
      <c r="D28" s="1">
        <v>9.01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3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3" x14ac:dyDescent="0.25">
      <c r="A29" s="8">
        <f t="shared" si="3"/>
        <v>1862</v>
      </c>
      <c r="C29" s="1">
        <v>9.0654461759813323</v>
      </c>
      <c r="D29" s="1">
        <v>8.89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  <c r="S29" s="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3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3" x14ac:dyDescent="0.25">
      <c r="A30" s="8">
        <f t="shared" si="3"/>
        <v>1863</v>
      </c>
      <c r="C30" s="1">
        <v>8.9956439916092297</v>
      </c>
      <c r="D30" s="1">
        <v>8.84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3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3" x14ac:dyDescent="0.25">
      <c r="A31" s="8">
        <f t="shared" si="3"/>
        <v>1864</v>
      </c>
      <c r="C31" s="1">
        <v>9.4842010984991134</v>
      </c>
      <c r="D31" s="1">
        <v>9.31</v>
      </c>
      <c r="E31" s="1"/>
      <c r="F31" s="1"/>
      <c r="G31" s="1"/>
      <c r="H31" s="1"/>
      <c r="I31" s="1"/>
      <c r="J31" s="1">
        <f>20*2240*0.00487938596491228</f>
        <v>218.59649122807016</v>
      </c>
      <c r="K31" s="1"/>
      <c r="L31" s="1"/>
      <c r="M31" s="1"/>
      <c r="N31" s="1"/>
      <c r="O31" s="1"/>
      <c r="P31" s="1"/>
      <c r="Q31" s="1"/>
      <c r="R31" s="1"/>
      <c r="S31" s="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>
        <v>42</v>
      </c>
      <c r="AV31" s="3"/>
      <c r="AW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3" x14ac:dyDescent="0.25">
      <c r="A32" s="8">
        <f t="shared" si="3"/>
        <v>1865</v>
      </c>
      <c r="C32" s="1">
        <v>9.69</v>
      </c>
      <c r="D32" s="1">
        <v>9.49</v>
      </c>
      <c r="E32" s="1"/>
      <c r="F32" s="1"/>
      <c r="G32" s="1"/>
      <c r="H32" s="1"/>
      <c r="I32" s="1"/>
      <c r="J32" s="1">
        <f>20*2240*0.00315241228070176</f>
        <v>141.22807017543883</v>
      </c>
      <c r="K32" s="1"/>
      <c r="L32" s="1"/>
      <c r="M32" s="1"/>
      <c r="N32" s="1"/>
      <c r="O32" s="1"/>
      <c r="P32" s="1"/>
      <c r="Q32" s="1"/>
      <c r="R32" s="1"/>
      <c r="S32" s="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>
        <v>35</v>
      </c>
      <c r="AV32" s="3"/>
      <c r="AW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Y32" s="1">
        <v>41.473361323542186</v>
      </c>
    </row>
    <row r="33" spans="1:104" x14ac:dyDescent="0.25">
      <c r="A33" s="8">
        <f t="shared" si="3"/>
        <v>1866</v>
      </c>
      <c r="C33" s="1">
        <v>10.29</v>
      </c>
      <c r="D33" s="1">
        <v>10.1</v>
      </c>
      <c r="E33" s="1"/>
      <c r="F33" s="1"/>
      <c r="G33" s="1">
        <f>20*2240*0.0018262959</f>
        <v>81.818056319999997</v>
      </c>
      <c r="H33" s="1"/>
      <c r="I33" s="1"/>
      <c r="J33" s="3">
        <f>20*2240*0.0025219298245614</f>
        <v>112.98245614035072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>
        <v>30</v>
      </c>
      <c r="AV33" s="3"/>
      <c r="AW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Y33" s="1">
        <v>38.652651646823671</v>
      </c>
    </row>
    <row r="34" spans="1:104" x14ac:dyDescent="0.25">
      <c r="A34" s="8">
        <f t="shared" si="3"/>
        <v>1867</v>
      </c>
      <c r="C34" s="1">
        <v>10.39</v>
      </c>
      <c r="D34" s="1">
        <v>10.18</v>
      </c>
      <c r="E34" s="1"/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3"/>
      <c r="AW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Y34" s="1">
        <v>41.606565568784212</v>
      </c>
    </row>
    <row r="35" spans="1:104" x14ac:dyDescent="0.25">
      <c r="A35" s="8">
        <f t="shared" si="3"/>
        <v>1868</v>
      </c>
      <c r="C35" s="1">
        <v>9.92</v>
      </c>
      <c r="D35" s="1">
        <v>9.75</v>
      </c>
      <c r="E35" s="1"/>
      <c r="F35" s="1"/>
      <c r="G35" s="1"/>
      <c r="H35" s="1"/>
      <c r="I35" s="1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>
        <v>35</v>
      </c>
      <c r="AV35" s="3"/>
      <c r="AW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Y35" s="1">
        <v>44.869825613394738</v>
      </c>
      <c r="CZ35" s="15">
        <v>44.324697467891241</v>
      </c>
    </row>
    <row r="36" spans="1:104" x14ac:dyDescent="0.25">
      <c r="A36" s="8">
        <f t="shared" si="3"/>
        <v>1869</v>
      </c>
      <c r="C36" s="1">
        <v>9.6199999999999992</v>
      </c>
      <c r="D36" s="1">
        <v>9.48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>
        <v>35</v>
      </c>
      <c r="AV36" s="3"/>
      <c r="AW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Y36" s="1">
        <v>34.915125937834937</v>
      </c>
      <c r="CZ36" s="15">
        <v>40.914990840946828</v>
      </c>
    </row>
    <row r="37" spans="1:104" x14ac:dyDescent="0.25">
      <c r="A37" s="8">
        <f t="shared" si="3"/>
        <v>1870</v>
      </c>
      <c r="C37" s="1">
        <v>9.64</v>
      </c>
      <c r="D37" s="1">
        <v>9.4700000000000006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2"/>
      <c r="AW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Y37" s="1">
        <v>28.368112887807417</v>
      </c>
      <c r="CZ37" s="15">
        <v>32.310969874459602</v>
      </c>
    </row>
    <row r="38" spans="1:104" x14ac:dyDescent="0.25">
      <c r="A38" s="8">
        <f t="shared" si="3"/>
        <v>1871</v>
      </c>
      <c r="C38" s="1">
        <v>9.8000000000000007</v>
      </c>
      <c r="D38" s="1">
        <v>9.6300000000000008</v>
      </c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>
        <f>20*1.55</f>
        <v>31</v>
      </c>
      <c r="AM38" s="1"/>
      <c r="AN38" s="1"/>
      <c r="AO38" s="1"/>
      <c r="AP38" s="1"/>
      <c r="AQ38" s="1"/>
      <c r="AR38" s="1"/>
      <c r="AS38" s="1"/>
      <c r="AT38" s="1"/>
      <c r="AU38" s="1">
        <v>34</v>
      </c>
      <c r="AV38" s="3"/>
      <c r="AW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Y38" s="1">
        <v>36.368174444540998</v>
      </c>
      <c r="CZ38" s="15">
        <v>32.643511076944584</v>
      </c>
    </row>
    <row r="39" spans="1:104" x14ac:dyDescent="0.25">
      <c r="A39" s="8">
        <f t="shared" si="3"/>
        <v>1872</v>
      </c>
      <c r="C39" s="1">
        <v>15.83</v>
      </c>
      <c r="D39" s="1">
        <v>15.51</v>
      </c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>
        <f>20*2.125</f>
        <v>42.5</v>
      </c>
      <c r="AM39" s="1"/>
      <c r="AN39" s="1"/>
      <c r="AO39" s="1"/>
      <c r="AP39" s="1"/>
      <c r="AQ39" s="1"/>
      <c r="AR39" s="1"/>
      <c r="AS39" s="1"/>
      <c r="AT39" s="1"/>
      <c r="AU39" s="1">
        <v>52</v>
      </c>
      <c r="AV39" s="3"/>
      <c r="AW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Y39" s="1">
        <v>34.842912647374064</v>
      </c>
      <c r="CZ39" s="15">
        <v>27.516803993938534</v>
      </c>
    </row>
    <row r="40" spans="1:104" x14ac:dyDescent="0.25">
      <c r="A40" s="8">
        <f t="shared" ref="A40:A71" si="4">A39+1</f>
        <v>1873</v>
      </c>
      <c r="C40" s="1">
        <v>20.9</v>
      </c>
      <c r="D40" s="1">
        <v>20.49</v>
      </c>
      <c r="E40" s="1"/>
      <c r="F40" s="1"/>
      <c r="G40" s="1"/>
      <c r="H40" s="3"/>
      <c r="I40" s="1"/>
      <c r="K40" s="1"/>
      <c r="L40" s="1"/>
      <c r="M40" s="1"/>
      <c r="N40" s="1"/>
      <c r="O40" s="1"/>
      <c r="P40" s="1"/>
      <c r="Q40" s="1"/>
      <c r="R40" s="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>
        <f>20*2.05</f>
        <v>41</v>
      </c>
      <c r="AM40" s="1"/>
      <c r="AN40" s="1"/>
      <c r="AO40" s="1"/>
      <c r="AP40" s="1"/>
      <c r="AQ40" s="1"/>
      <c r="AR40" s="1"/>
      <c r="AS40" s="1"/>
      <c r="AT40" s="1"/>
      <c r="AU40" s="1"/>
      <c r="AV40" s="12"/>
      <c r="AW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Y40" s="1">
        <v>49.496314496314447</v>
      </c>
      <c r="CZ40" s="15">
        <v>30.676753799616804</v>
      </c>
    </row>
    <row r="41" spans="1:104" x14ac:dyDescent="0.25">
      <c r="A41" s="8">
        <f t="shared" si="4"/>
        <v>1874</v>
      </c>
      <c r="C41" s="1">
        <v>17.21</v>
      </c>
      <c r="D41" s="1">
        <v>16.98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>
        <f>20*1.55</f>
        <v>31</v>
      </c>
      <c r="AM41" s="1"/>
      <c r="AN41" s="1"/>
      <c r="AO41" s="1"/>
      <c r="AP41" s="1"/>
      <c r="AQ41" s="1"/>
      <c r="AR41" s="1"/>
      <c r="AS41" s="1"/>
      <c r="AT41" s="1"/>
      <c r="AU41" s="1">
        <v>50</v>
      </c>
      <c r="AV41" s="3"/>
      <c r="AW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T41" s="1"/>
      <c r="BU41" s="3"/>
      <c r="BV41" s="3"/>
      <c r="BW41" s="3"/>
      <c r="BX41" s="3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Y41" s="1">
        <v>53.488943488943491</v>
      </c>
      <c r="CZ41" s="15">
        <v>41.123636090835589</v>
      </c>
    </row>
    <row r="42" spans="1:104" x14ac:dyDescent="0.25">
      <c r="A42" s="8">
        <f t="shared" si="4"/>
        <v>1875</v>
      </c>
      <c r="C42" s="1">
        <v>13.28</v>
      </c>
      <c r="D42" s="1">
        <v>13.1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>
        <f>20*1.4</f>
        <v>28</v>
      </c>
      <c r="AM42" s="1"/>
      <c r="AN42" s="1"/>
      <c r="AO42" s="1"/>
      <c r="AP42" s="1"/>
      <c r="AQ42" s="1"/>
      <c r="AR42" s="1"/>
      <c r="AS42" s="1"/>
      <c r="AT42" s="1"/>
      <c r="AU42" s="1">
        <v>34</v>
      </c>
      <c r="AV42" s="3"/>
      <c r="AW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3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Y42" s="1">
        <v>34.469696969696969</v>
      </c>
      <c r="CZ42" s="15">
        <v>38.121496819301001</v>
      </c>
    </row>
    <row r="43" spans="1:104" x14ac:dyDescent="0.25">
      <c r="A43" s="8">
        <f t="shared" si="4"/>
        <v>1876</v>
      </c>
      <c r="C43" s="1">
        <v>10.93</v>
      </c>
      <c r="D43" s="1">
        <v>10.8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f>20*2240*0.000726744186046512</f>
        <v>32.558139534883743</v>
      </c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M43" s="1"/>
      <c r="AN43" s="1"/>
      <c r="AO43" s="1"/>
      <c r="AP43" s="1"/>
      <c r="AQ43" s="1"/>
      <c r="AR43" s="1"/>
      <c r="AS43" s="1"/>
      <c r="AT43" s="3"/>
      <c r="AU43" s="3">
        <v>42</v>
      </c>
      <c r="AV43" s="3"/>
      <c r="AW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T43" s="1"/>
      <c r="BV43" s="1"/>
      <c r="BW43" s="1"/>
      <c r="BX43" s="1"/>
      <c r="BY43" s="1"/>
      <c r="BZ43" s="1"/>
      <c r="CA43" s="3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Y43" s="1">
        <v>36.289926289926292</v>
      </c>
      <c r="CZ43" s="15">
        <v>35.107241575760135</v>
      </c>
    </row>
    <row r="44" spans="1:104" x14ac:dyDescent="0.25">
      <c r="A44" s="8">
        <f t="shared" si="4"/>
        <v>1877</v>
      </c>
      <c r="C44" s="1">
        <v>10.17</v>
      </c>
      <c r="D44" s="1">
        <v>10.050000000000001</v>
      </c>
      <c r="E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3">
        <f>20*2240*0.000666880862193362</f>
        <v>29.876262626262616</v>
      </c>
      <c r="R44" s="3"/>
      <c r="S44" s="1"/>
      <c r="T44" s="1"/>
      <c r="U44" s="1"/>
      <c r="V44" s="1"/>
      <c r="W44" s="1">
        <v>33.333333333333336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M44" s="1"/>
      <c r="AN44" s="1"/>
      <c r="AO44" s="1"/>
      <c r="AP44" s="1"/>
      <c r="AQ44" s="1"/>
      <c r="AR44" s="1"/>
      <c r="AS44" s="1"/>
      <c r="AT44" s="3"/>
      <c r="AU44" s="3">
        <v>39.952867242733696</v>
      </c>
      <c r="AV44" s="3"/>
      <c r="AW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T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Y44" s="1">
        <v>30.750665438165441</v>
      </c>
      <c r="CZ44" s="15">
        <v>35.864036075361014</v>
      </c>
    </row>
    <row r="45" spans="1:104" x14ac:dyDescent="0.25">
      <c r="A45" s="8">
        <f t="shared" si="4"/>
        <v>1878</v>
      </c>
      <c r="C45" s="1">
        <v>9.4600000000000009</v>
      </c>
      <c r="D45" s="1">
        <v>9.35</v>
      </c>
      <c r="E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>
        <v>31.25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>
        <f>20*1.125</f>
        <v>22.5</v>
      </c>
      <c r="AM45" s="1"/>
      <c r="AN45" s="1"/>
      <c r="AO45" s="1"/>
      <c r="AP45" s="1"/>
      <c r="AQ45" s="1"/>
      <c r="AR45" s="1"/>
      <c r="AS45" s="1"/>
      <c r="AT45" s="3"/>
      <c r="AU45" s="3">
        <v>40</v>
      </c>
      <c r="AV45" s="3"/>
      <c r="AW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Y45" s="1">
        <v>30.134111384111382</v>
      </c>
      <c r="CZ45" s="15">
        <v>28.872706976454619</v>
      </c>
    </row>
    <row r="46" spans="1:104" x14ac:dyDescent="0.25">
      <c r="A46" s="8">
        <f t="shared" si="4"/>
        <v>1879</v>
      </c>
      <c r="C46" s="1">
        <v>8.77</v>
      </c>
      <c r="D46" s="1">
        <v>8.6300000000000008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">
        <f>20*2240*0.000694444444444444</f>
        <v>31.111111111111093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M46" s="1"/>
      <c r="AN46" s="1"/>
      <c r="AO46" s="1"/>
      <c r="AP46" s="1"/>
      <c r="AQ46" s="1"/>
      <c r="AR46" s="1"/>
      <c r="AS46" s="1"/>
      <c r="AT46" s="3"/>
      <c r="AU46" s="3">
        <v>40</v>
      </c>
      <c r="AV46" s="3"/>
      <c r="AW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Y46" s="1">
        <v>34.208640458640467</v>
      </c>
      <c r="CZ46" s="15">
        <v>31.376353108221334</v>
      </c>
    </row>
    <row r="47" spans="1:104" x14ac:dyDescent="0.25">
      <c r="A47" s="8">
        <f t="shared" si="4"/>
        <v>1880</v>
      </c>
      <c r="C47" s="1">
        <v>8.9499999999999993</v>
      </c>
      <c r="D47" s="1">
        <v>8.76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f>20*2240*0.000744047619047619</f>
        <v>33.333333333333329</v>
      </c>
      <c r="R47" s="3"/>
      <c r="S47" s="3">
        <f>20*2240*0.00153406692855668</f>
        <v>68.726198399339268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M47" s="1"/>
      <c r="AN47" s="1"/>
      <c r="AO47" s="1"/>
      <c r="AP47" s="1"/>
      <c r="AQ47" s="1"/>
      <c r="AR47" s="1"/>
      <c r="AS47" s="1"/>
      <c r="AT47" s="3"/>
      <c r="AU47" s="3">
        <v>40</v>
      </c>
      <c r="AV47" s="3"/>
      <c r="AW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Y47" s="1">
        <v>32.522522522522529</v>
      </c>
      <c r="CZ47" s="15">
        <v>33.138138751070954</v>
      </c>
    </row>
    <row r="48" spans="1:104" x14ac:dyDescent="0.25">
      <c r="A48" s="8">
        <f t="shared" si="4"/>
        <v>1881</v>
      </c>
      <c r="C48" s="1">
        <v>8.9700000000000006</v>
      </c>
      <c r="D48" s="1">
        <v>8.83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f>20*2240*0.000793650793650794</f>
        <v>35.555555555555571</v>
      </c>
      <c r="R48" s="3"/>
      <c r="S48" s="1"/>
      <c r="T48" s="1"/>
      <c r="U48" s="1"/>
      <c r="V48" s="1"/>
      <c r="W48" s="1">
        <v>17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3"/>
      <c r="AU48" s="3">
        <v>32</v>
      </c>
      <c r="AV48" s="3"/>
      <c r="AW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Y48" s="1">
        <v>25.716753685503694</v>
      </c>
      <c r="CZ48" s="15">
        <v>30.703789493868886</v>
      </c>
    </row>
    <row r="49" spans="1:106" x14ac:dyDescent="0.25">
      <c r="A49" s="8">
        <f t="shared" si="4"/>
        <v>1882</v>
      </c>
      <c r="C49" s="1">
        <v>9.14</v>
      </c>
      <c r="D49" s="1">
        <v>8.99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f>20*2240*0.000892857142857143</f>
        <v>40.000000000000007</v>
      </c>
      <c r="R49" s="3"/>
      <c r="S49" s="1"/>
      <c r="T49" s="1"/>
      <c r="U49" s="1"/>
      <c r="V49" s="1"/>
      <c r="W49" s="1">
        <v>25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N49" s="1"/>
      <c r="AO49" s="1"/>
      <c r="AP49" s="1"/>
      <c r="AQ49" s="1"/>
      <c r="AR49" s="1"/>
      <c r="AS49" s="1"/>
      <c r="AT49" s="3"/>
      <c r="AU49" s="3">
        <v>30</v>
      </c>
      <c r="AV49" s="3"/>
      <c r="AW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Y49" s="1">
        <v>21.563267813267814</v>
      </c>
      <c r="CZ49" s="15">
        <v>27.076924420926531</v>
      </c>
    </row>
    <row r="50" spans="1:106" x14ac:dyDescent="0.25">
      <c r="A50" s="8">
        <f t="shared" si="4"/>
        <v>1883</v>
      </c>
      <c r="C50" s="1">
        <v>9.35</v>
      </c>
      <c r="D50" s="1">
        <v>9.1999999999999993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f>20*2240*0.000922509225092251</f>
        <v>41.328413284132843</v>
      </c>
      <c r="R50" s="1"/>
      <c r="S50" s="1"/>
      <c r="T50" s="1"/>
      <c r="U50" s="1"/>
      <c r="V50" s="1"/>
      <c r="W50" s="1">
        <v>30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N50" s="1"/>
      <c r="AO50" s="1"/>
      <c r="AP50" s="1"/>
      <c r="AQ50" s="1"/>
      <c r="AR50" s="1"/>
      <c r="AS50" s="1"/>
      <c r="AT50" s="3"/>
      <c r="AU50" s="3">
        <v>24.000950768042308</v>
      </c>
      <c r="AV50" s="3"/>
      <c r="AW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Y50" s="1">
        <v>24.225276412776413</v>
      </c>
      <c r="CZ50" s="15">
        <v>26.86544943173984</v>
      </c>
    </row>
    <row r="51" spans="1:106" x14ac:dyDescent="0.25">
      <c r="A51" s="8">
        <f t="shared" si="4"/>
        <v>1884</v>
      </c>
      <c r="C51" s="1">
        <v>9.2899999999999991</v>
      </c>
      <c r="D51" s="1">
        <v>9.18</v>
      </c>
      <c r="E51" s="1"/>
      <c r="F51" s="1"/>
      <c r="G51" s="1"/>
      <c r="H51" s="1"/>
      <c r="I51" s="1"/>
      <c r="J51" s="1"/>
      <c r="K51" s="3"/>
      <c r="L51" s="3"/>
      <c r="M51" s="3">
        <f>20*2.63636363636364</f>
        <v>52.727272727272798</v>
      </c>
      <c r="N51" s="3"/>
      <c r="O51" s="3"/>
      <c r="P51" s="3"/>
      <c r="Q51" s="1">
        <f>20*2240*0.000951943277310924</f>
        <v>42.647058823529399</v>
      </c>
      <c r="R51" s="1"/>
      <c r="S51" s="1"/>
      <c r="T51" s="1"/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3"/>
      <c r="AL51" s="1"/>
      <c r="AN51" s="1"/>
      <c r="AO51" s="1"/>
      <c r="AP51" s="1"/>
      <c r="AQ51" s="3"/>
      <c r="AR51" s="3"/>
      <c r="AS51" s="3"/>
      <c r="AT51" s="3"/>
      <c r="AU51" s="3">
        <v>23.999881379555767</v>
      </c>
      <c r="AV51" s="3"/>
      <c r="AW51" s="1"/>
      <c r="AY51" s="1"/>
      <c r="AZ51" s="3"/>
      <c r="BA51" s="3"/>
      <c r="BB51" s="3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3"/>
      <c r="BN51" s="3"/>
      <c r="BO51" s="1"/>
      <c r="BP51" s="3"/>
      <c r="BQ51" s="1"/>
      <c r="BR51" s="3"/>
      <c r="BU51" s="1"/>
      <c r="BV51" s="1"/>
      <c r="BW51" s="1"/>
      <c r="BX51" s="1"/>
      <c r="BY51" s="1"/>
      <c r="BZ51" s="3"/>
      <c r="CA51" s="1"/>
      <c r="CB51" s="3"/>
      <c r="CC51" s="1"/>
      <c r="CD51" s="3"/>
      <c r="CE51" s="3"/>
      <c r="CF51" s="1"/>
      <c r="CG51" s="3"/>
      <c r="CH51" s="3"/>
      <c r="CI51" s="1"/>
      <c r="CJ51" s="3"/>
      <c r="CK51" s="1"/>
      <c r="CL51" s="1"/>
      <c r="CM51" s="1"/>
      <c r="CN51" s="1"/>
      <c r="CO51" s="3"/>
      <c r="CP51" s="3"/>
      <c r="CQ51" s="3"/>
      <c r="CR51" s="1"/>
      <c r="CS51" s="3"/>
      <c r="CT51" s="1"/>
      <c r="CU51" s="3"/>
      <c r="CV51" s="3"/>
      <c r="CY51" s="1">
        <v>27.157555282555286</v>
      </c>
      <c r="CZ51" s="15">
        <v>27.247783611797285</v>
      </c>
    </row>
    <row r="52" spans="1:106" x14ac:dyDescent="0.25">
      <c r="A52" s="8">
        <f t="shared" si="4"/>
        <v>1885</v>
      </c>
      <c r="C52" s="1">
        <v>8.9499999999999993</v>
      </c>
      <c r="D52" s="1">
        <v>8.83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v>20.361173814898418</v>
      </c>
      <c r="P52" s="1"/>
      <c r="Q52" s="1">
        <f>20*2240*0.000669642857142857</f>
        <v>29.999999999999996</v>
      </c>
      <c r="R52" s="1"/>
      <c r="S52" s="1"/>
      <c r="T52" s="1"/>
      <c r="U52" s="1"/>
      <c r="V52" s="1"/>
      <c r="W52" s="1">
        <v>21.285714285714285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>
        <f>20*1.125</f>
        <v>22.5</v>
      </c>
      <c r="AM52" s="1"/>
      <c r="AN52" s="1"/>
      <c r="AO52" s="1"/>
      <c r="AP52" s="1"/>
      <c r="AQ52" s="1"/>
      <c r="AR52" s="1"/>
      <c r="AS52" s="1"/>
      <c r="AT52" s="3"/>
      <c r="AU52" s="3">
        <v>22.000058721630111</v>
      </c>
      <c r="AV52" s="3"/>
      <c r="AW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3"/>
      <c r="CP52" s="1"/>
      <c r="CQ52" s="1"/>
      <c r="CR52" s="1"/>
      <c r="CS52" s="1"/>
      <c r="CT52" s="1"/>
      <c r="CU52" s="1"/>
      <c r="CV52" s="1"/>
      <c r="CY52" s="1">
        <v>24.26136363636364</v>
      </c>
      <c r="CZ52" s="15">
        <v>27.202021265099351</v>
      </c>
    </row>
    <row r="53" spans="1:106" x14ac:dyDescent="0.25">
      <c r="A53" s="8">
        <f t="shared" si="4"/>
        <v>1886</v>
      </c>
      <c r="C53" s="1">
        <v>8.4499999999999993</v>
      </c>
      <c r="D53" s="1">
        <v>8.32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19.413333333333334</v>
      </c>
      <c r="P53" s="1"/>
      <c r="Q53" s="1">
        <f>20*2240*0.00078125</f>
        <v>35</v>
      </c>
      <c r="R53" s="3"/>
      <c r="S53" s="1"/>
      <c r="T53" s="1"/>
      <c r="U53" s="1"/>
      <c r="V53" s="1"/>
      <c r="W53" s="1">
        <v>21.333333333333332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M53" s="1"/>
      <c r="AN53" s="1"/>
      <c r="AO53" s="1"/>
      <c r="AP53" s="1"/>
      <c r="AQ53" s="1"/>
      <c r="AR53" s="1"/>
      <c r="AS53" s="1"/>
      <c r="AT53" s="3"/>
      <c r="AU53" s="3">
        <v>20.999797714170121</v>
      </c>
      <c r="AV53" s="3"/>
      <c r="AW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Y53" s="1">
        <v>20.810810810810814</v>
      </c>
      <c r="CZ53" s="15">
        <v>24.590560684462801</v>
      </c>
    </row>
    <row r="54" spans="1:106" x14ac:dyDescent="0.25">
      <c r="A54" s="8">
        <f t="shared" si="4"/>
        <v>1887</v>
      </c>
      <c r="C54" s="1">
        <v>8.32</v>
      </c>
      <c r="D54" s="1">
        <v>8.19</v>
      </c>
      <c r="E54" s="1"/>
      <c r="F54" s="1"/>
      <c r="H54" s="1">
        <f>20*2240*0.000647600333966718</f>
        <v>29.012494961708967</v>
      </c>
      <c r="I54" s="1"/>
      <c r="J54" s="1"/>
      <c r="K54" s="1"/>
      <c r="L54" s="1"/>
      <c r="M54" s="1"/>
      <c r="N54" s="1"/>
      <c r="O54" s="1">
        <v>18.584474885844749</v>
      </c>
      <c r="P54" s="1"/>
      <c r="Q54" s="1">
        <f>20*2240*0.00078125</f>
        <v>35</v>
      </c>
      <c r="R54" s="3"/>
      <c r="S54" s="1"/>
      <c r="T54" s="1"/>
      <c r="U54" s="1"/>
      <c r="V54" s="1"/>
      <c r="W54" s="1">
        <v>22.400000000000002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3"/>
      <c r="AU54" s="3"/>
      <c r="AV54" s="12"/>
      <c r="AW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V54" s="1"/>
      <c r="CW54" s="1"/>
      <c r="CX54" s="1"/>
      <c r="CY54" s="1">
        <v>21.776463963963966</v>
      </c>
      <c r="CZ54" s="15">
        <v>25.17379483554771</v>
      </c>
    </row>
    <row r="55" spans="1:106" x14ac:dyDescent="0.25">
      <c r="A55" s="8">
        <f t="shared" si="4"/>
        <v>1888</v>
      </c>
      <c r="C55" s="1">
        <v>8.27</v>
      </c>
      <c r="D55" s="1">
        <v>8.27</v>
      </c>
      <c r="E55" s="1"/>
      <c r="F55" s="1"/>
      <c r="H55" s="1">
        <f>20*2240*0.000798573901574479</f>
        <v>35.776110790536663</v>
      </c>
      <c r="I55" s="3"/>
      <c r="J55" s="1"/>
      <c r="K55" s="1"/>
      <c r="L55" s="1"/>
      <c r="M55" s="1"/>
      <c r="N55" s="1"/>
      <c r="O55" s="1">
        <v>18.455114822546971</v>
      </c>
      <c r="P55" s="1"/>
      <c r="Q55" s="1">
        <f>20*2240*0.00078125</f>
        <v>35</v>
      </c>
      <c r="R55" s="1"/>
      <c r="S55" s="1"/>
      <c r="T55" s="1"/>
      <c r="U55" s="1"/>
      <c r="V55" s="1"/>
      <c r="W55" s="1">
        <v>25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N55" s="1"/>
      <c r="AO55" s="1"/>
      <c r="AP55" s="1"/>
      <c r="AQ55" s="1"/>
      <c r="AR55" s="1"/>
      <c r="AS55" s="1"/>
      <c r="AT55" s="3"/>
      <c r="AU55" s="3">
        <v>24</v>
      </c>
      <c r="AV55" s="3"/>
      <c r="AW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"/>
      <c r="BJ55" s="1"/>
      <c r="BK55" s="1"/>
      <c r="BL55" s="1"/>
      <c r="BM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>
        <f>20*20*0.0893137254901961</f>
        <v>35.725490196078439</v>
      </c>
      <c r="CL55" s="1"/>
      <c r="CM55" s="1"/>
      <c r="CN55" s="1"/>
      <c r="CO55" s="1"/>
      <c r="CP55" s="1"/>
      <c r="CQ55" s="1"/>
      <c r="CR55" s="1"/>
      <c r="CS55" s="1"/>
      <c r="CT55" s="1"/>
      <c r="CV55" s="1"/>
      <c r="CW55" s="1"/>
      <c r="CX55" s="1"/>
      <c r="CY55" s="1">
        <v>27.038288288288296</v>
      </c>
      <c r="CZ55" s="15">
        <v>27.531715618048409</v>
      </c>
    </row>
    <row r="56" spans="1:106" x14ac:dyDescent="0.25">
      <c r="A56" s="8">
        <f t="shared" si="4"/>
        <v>1889</v>
      </c>
      <c r="C56" s="1">
        <v>10.06</v>
      </c>
      <c r="D56" s="1">
        <v>10.06</v>
      </c>
      <c r="E56" s="1"/>
      <c r="F56" s="1"/>
      <c r="H56" s="1">
        <f>20*2240*0.000810489166119501</f>
        <v>36.309914642153643</v>
      </c>
      <c r="I56" s="3"/>
      <c r="J56" s="1"/>
      <c r="K56" s="1"/>
      <c r="L56" s="1"/>
      <c r="M56" s="1"/>
      <c r="N56" s="1">
        <v>19.205938827162207</v>
      </c>
      <c r="O56" s="1">
        <v>18.726114649681527</v>
      </c>
      <c r="P56" s="1"/>
      <c r="Q56" s="1">
        <f>20*2240*0.00078125</f>
        <v>35</v>
      </c>
      <c r="R56" s="3"/>
      <c r="S56" s="1"/>
      <c r="T56" s="1"/>
      <c r="U56" s="1"/>
      <c r="V56" s="1"/>
      <c r="W56" s="1">
        <v>30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>
        <f>20*0.825</f>
        <v>16.5</v>
      </c>
      <c r="AM56" s="1"/>
      <c r="AN56" s="1"/>
      <c r="AO56" s="1"/>
      <c r="AP56" s="1"/>
      <c r="AQ56" s="1"/>
      <c r="AR56" s="1"/>
      <c r="AS56" s="1"/>
      <c r="AT56" s="3"/>
      <c r="AU56" s="3">
        <v>23.999845982056911</v>
      </c>
      <c r="AV56" s="3"/>
      <c r="AW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K56" s="1"/>
      <c r="BL56" s="1"/>
      <c r="BM56" s="1"/>
      <c r="BN56" s="1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>
        <f>20*20*0.103518123667377</f>
        <v>41.407249466950802</v>
      </c>
      <c r="CL56" s="1"/>
      <c r="CM56" s="1"/>
      <c r="CN56" s="1"/>
      <c r="CO56" s="1"/>
      <c r="CP56" s="1"/>
      <c r="CQ56" s="1"/>
      <c r="CR56" s="1"/>
      <c r="CS56" s="1"/>
      <c r="CT56" s="1"/>
      <c r="CV56" s="1"/>
      <c r="CW56" s="1"/>
      <c r="CX56" s="1"/>
      <c r="CY56" s="1">
        <v>24.123157248157248</v>
      </c>
      <c r="CZ56" s="15">
        <v>32.000009392963982</v>
      </c>
      <c r="DA56" s="15">
        <v>4.8945536445536444</v>
      </c>
    </row>
    <row r="57" spans="1:106" x14ac:dyDescent="0.25">
      <c r="A57" s="8">
        <f t="shared" si="4"/>
        <v>1890</v>
      </c>
      <c r="C57" s="1">
        <v>12.39</v>
      </c>
      <c r="D57" s="1">
        <v>12.39</v>
      </c>
      <c r="E57" s="1"/>
      <c r="F57" s="1"/>
      <c r="H57" s="1">
        <f>20*2240*0.000823135198135198</f>
        <v>36.876456876456871</v>
      </c>
      <c r="I57" s="3"/>
      <c r="J57" s="1"/>
      <c r="K57" s="1"/>
      <c r="L57" s="1"/>
      <c r="M57" s="1"/>
      <c r="N57" s="1">
        <v>20.674813425262524</v>
      </c>
      <c r="O57" s="1">
        <v>20.163934426229506</v>
      </c>
      <c r="P57" s="1"/>
      <c r="Q57" s="1">
        <f>20*2240*0.000669642857142857</f>
        <v>29.999999999999996</v>
      </c>
      <c r="R57" s="1"/>
      <c r="S57" s="1"/>
      <c r="T57" s="1"/>
      <c r="U57" s="1"/>
      <c r="V57" s="1"/>
      <c r="W57" s="1">
        <v>30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N57" s="1"/>
      <c r="AO57" s="1"/>
      <c r="AP57" s="1"/>
      <c r="AQ57" s="1"/>
      <c r="AR57" s="1"/>
      <c r="AS57" s="1"/>
      <c r="AT57" s="3"/>
      <c r="AU57" s="3">
        <v>21.147707979626485</v>
      </c>
      <c r="AV57" s="3"/>
      <c r="AW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T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>
        <f>20*20*0.142857142857143</f>
        <v>57.142857142857196</v>
      </c>
      <c r="CM57" s="1"/>
      <c r="CN57" s="1"/>
      <c r="CO57" s="1"/>
      <c r="CP57" s="1"/>
      <c r="CQ57" s="1"/>
      <c r="CR57" s="1"/>
      <c r="CS57" s="1"/>
      <c r="CT57" s="1"/>
      <c r="CV57" s="1"/>
      <c r="CW57" s="1"/>
      <c r="CX57" s="1"/>
      <c r="CY57" s="1">
        <v>26.592956592956593</v>
      </c>
      <c r="CZ57" s="15">
        <v>34.03307741637655</v>
      </c>
      <c r="DA57" s="15">
        <v>5.621672809172809</v>
      </c>
    </row>
    <row r="58" spans="1:106" x14ac:dyDescent="0.25">
      <c r="A58" s="8">
        <f t="shared" si="4"/>
        <v>1891</v>
      </c>
      <c r="C58" s="1">
        <v>11.96</v>
      </c>
      <c r="D58" s="1">
        <v>11.96</v>
      </c>
      <c r="E58" s="1"/>
      <c r="F58" s="1"/>
      <c r="H58" s="1">
        <f>20*2240*0.000700766541640872</f>
        <v>31.394341065511068</v>
      </c>
      <c r="I58" s="3"/>
      <c r="J58" s="1"/>
      <c r="K58" s="1"/>
      <c r="L58" s="1"/>
      <c r="M58" s="1"/>
      <c r="N58" s="1">
        <v>20.689657054454468</v>
      </c>
      <c r="O58" s="1">
        <v>20.170212765957448</v>
      </c>
      <c r="P58" s="1"/>
      <c r="Q58" s="1">
        <f>20*2240*0.00170454545454545</f>
        <v>76.363636363636161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3"/>
      <c r="AU58" s="3">
        <v>24</v>
      </c>
      <c r="AV58" s="3"/>
      <c r="AW58" s="1"/>
      <c r="AY58" s="1"/>
      <c r="AZ58" s="1"/>
      <c r="BA58" s="1"/>
      <c r="BB58" s="1"/>
      <c r="BC58" s="1"/>
      <c r="BD58" s="1"/>
      <c r="BE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3"/>
      <c r="BW58" s="3"/>
      <c r="BX58" s="3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K58" s="1">
        <f>20*20*0.125052631578947</f>
        <v>50.021052631578797</v>
      </c>
      <c r="CL58" s="1"/>
      <c r="CM58" s="1"/>
      <c r="CN58" s="1"/>
      <c r="CO58" s="1"/>
      <c r="CP58" s="1"/>
      <c r="CQ58" s="1">
        <f>20*1.99115044247788</f>
        <v>39.823008849557603</v>
      </c>
      <c r="CR58" s="1"/>
      <c r="CS58" s="1"/>
      <c r="CT58" s="1"/>
      <c r="CV58" s="1"/>
      <c r="CW58" s="1"/>
      <c r="CX58" s="1"/>
      <c r="CY58" s="1">
        <v>18.453112203112205</v>
      </c>
      <c r="CZ58" s="15">
        <v>29.03796621738314</v>
      </c>
      <c r="DA58" s="15">
        <v>5.1207386363636367</v>
      </c>
    </row>
    <row r="59" spans="1:106" x14ac:dyDescent="0.25">
      <c r="A59" s="8">
        <f t="shared" si="4"/>
        <v>1892</v>
      </c>
      <c r="C59" s="1">
        <v>10.89</v>
      </c>
      <c r="D59" s="1">
        <v>10.89</v>
      </c>
      <c r="E59" s="1"/>
      <c r="F59" s="1"/>
      <c r="H59" s="1">
        <f>20*2240*0.000624979417769874</f>
        <v>27.999077916090357</v>
      </c>
      <c r="I59" s="3"/>
      <c r="J59" s="1"/>
      <c r="K59" s="1"/>
      <c r="L59" s="1"/>
      <c r="M59" s="1"/>
      <c r="N59" s="1">
        <v>20.571323483112266</v>
      </c>
      <c r="O59" s="1">
        <v>20.032467532467532</v>
      </c>
      <c r="P59" s="1"/>
      <c r="Q59" s="1">
        <f>20*2240*0.00068359375</f>
        <v>30.624999999999996</v>
      </c>
      <c r="R59" s="1"/>
      <c r="S59" s="1"/>
      <c r="T59" s="1"/>
      <c r="U59" s="1"/>
      <c r="V59" s="1"/>
      <c r="W59" s="1">
        <v>20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3"/>
      <c r="AU59" s="3">
        <v>28</v>
      </c>
      <c r="AV59" s="3"/>
      <c r="AW59" s="1"/>
      <c r="AY59" s="1"/>
      <c r="AZ59" s="1"/>
      <c r="BA59" s="1"/>
      <c r="BB59" s="1"/>
      <c r="BC59" s="3">
        <f>2240*20*0.00302029259084474</f>
        <v>135.30910806984434</v>
      </c>
      <c r="BD59" s="3"/>
      <c r="BE59" s="3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3"/>
      <c r="BW59" s="3"/>
      <c r="BX59" s="3"/>
      <c r="BY59" s="1"/>
      <c r="BZ59" s="1"/>
      <c r="CA59" s="1"/>
      <c r="CB59" s="3"/>
      <c r="CC59" s="1"/>
      <c r="CD59" s="1"/>
      <c r="CE59" s="1"/>
      <c r="CF59" s="1"/>
      <c r="CG59" s="1"/>
      <c r="CH59" s="1"/>
      <c r="CI59" s="1"/>
      <c r="CK59" s="1">
        <f>20*20*0.126875</f>
        <v>50.749999999999993</v>
      </c>
      <c r="CL59" s="1"/>
      <c r="CM59" s="1"/>
      <c r="CN59" s="1"/>
      <c r="CO59" s="1"/>
      <c r="CP59" s="1"/>
      <c r="CQ59" s="1">
        <f>20*1.75</f>
        <v>35</v>
      </c>
      <c r="CR59" s="1"/>
      <c r="CS59" s="1"/>
      <c r="CT59" s="1"/>
      <c r="CV59" s="1"/>
      <c r="CW59" s="1"/>
      <c r="CX59" s="1"/>
      <c r="CY59" s="1">
        <v>19.207616707616708</v>
      </c>
      <c r="CZ59" s="15">
        <v>22.095932105009805</v>
      </c>
      <c r="DA59" s="15">
        <v>4.5984336609336607</v>
      </c>
    </row>
    <row r="60" spans="1:106" x14ac:dyDescent="0.25">
      <c r="A60" s="8">
        <f t="shared" si="4"/>
        <v>1893</v>
      </c>
      <c r="C60" s="1">
        <v>9.77</v>
      </c>
      <c r="D60" s="1">
        <v>9.77</v>
      </c>
      <c r="E60" s="1"/>
      <c r="F60" s="1"/>
      <c r="H60" s="1">
        <f>20*2240*0.000669642857142857</f>
        <v>29.999999999999996</v>
      </c>
      <c r="I60" s="3"/>
      <c r="J60" s="1"/>
      <c r="K60" s="1"/>
      <c r="L60" s="1"/>
      <c r="M60" s="1"/>
      <c r="N60" s="1">
        <v>15.906455908984222</v>
      </c>
      <c r="O60" s="1">
        <v>15.517241379310345</v>
      </c>
      <c r="P60" s="1"/>
      <c r="Q60" s="1">
        <f>20*2240*0.000698234349919743</f>
        <v>31.280898876404486</v>
      </c>
      <c r="R60" s="1"/>
      <c r="S60" s="1"/>
      <c r="T60" s="1"/>
      <c r="U60" s="1"/>
      <c r="V60" s="1"/>
      <c r="W60" s="1">
        <v>20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3"/>
      <c r="AU60" s="3"/>
      <c r="AV60" s="12"/>
      <c r="AW60" s="1"/>
      <c r="AX60" s="1">
        <v>20.65573770491801</v>
      </c>
      <c r="AY60" s="1"/>
      <c r="AZ60" s="1"/>
      <c r="BA60" s="1"/>
      <c r="BB60" s="1"/>
      <c r="BC60" s="3">
        <f>2240*20*0.00261865793780687</f>
        <v>117.31587561374776</v>
      </c>
      <c r="BD60" s="3"/>
      <c r="BE60" s="3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3"/>
      <c r="BW60" s="3"/>
      <c r="BX60" s="3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K60" s="1">
        <f>20*20*0.125045045045045</f>
        <v>50.018018018017997</v>
      </c>
      <c r="CL60" s="1"/>
      <c r="CM60" s="1"/>
      <c r="CN60" s="1"/>
      <c r="CO60" s="1"/>
      <c r="CP60" s="1"/>
      <c r="CQ60" s="1">
        <f>20*1.592</f>
        <v>31.840000000000003</v>
      </c>
      <c r="CR60" s="1"/>
      <c r="CS60" s="1"/>
      <c r="CT60" s="1"/>
      <c r="CV60" s="1"/>
      <c r="CW60" s="1"/>
      <c r="CX60" s="1"/>
      <c r="CY60" s="1">
        <v>18.153443766712989</v>
      </c>
      <c r="CZ60" s="15">
        <v>22.046971357437112</v>
      </c>
      <c r="DA60" s="15">
        <v>4.0688753270218774</v>
      </c>
    </row>
    <row r="61" spans="1:106" x14ac:dyDescent="0.25">
      <c r="A61" s="8">
        <f t="shared" si="4"/>
        <v>1894</v>
      </c>
      <c r="C61" s="1">
        <v>10.41</v>
      </c>
      <c r="D61" s="1">
        <v>10.41</v>
      </c>
      <c r="E61" s="1"/>
      <c r="F61" s="1"/>
      <c r="H61" s="1">
        <f>20*2240*0.000669557779915422</f>
        <v>29.996188540210909</v>
      </c>
      <c r="I61" s="3"/>
      <c r="J61" s="1"/>
      <c r="K61" s="1"/>
      <c r="L61" s="1"/>
      <c r="M61" s="1"/>
      <c r="N61" s="1">
        <v>12.449537333317233</v>
      </c>
      <c r="O61" s="1">
        <v>14.841628959276019</v>
      </c>
      <c r="P61" s="1"/>
      <c r="Q61" s="1">
        <f>20*2240*0.000669642857142857</f>
        <v>29.999999999999996</v>
      </c>
      <c r="R61" s="1"/>
      <c r="S61" s="1"/>
      <c r="T61" s="1"/>
      <c r="U61" s="1"/>
      <c r="V61" s="1"/>
      <c r="W61" s="1">
        <v>28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3"/>
      <c r="AT61" s="3"/>
      <c r="AU61" s="3">
        <v>23.999897877120645</v>
      </c>
      <c r="AV61" s="3"/>
      <c r="AW61" s="1"/>
      <c r="AX61" s="1">
        <v>21.693693693693671</v>
      </c>
      <c r="AY61" s="1"/>
      <c r="AZ61" s="1"/>
      <c r="BA61" s="1"/>
      <c r="BB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K61" s="1"/>
      <c r="CL61" s="1"/>
      <c r="CM61" s="1"/>
      <c r="CN61" s="1"/>
      <c r="CO61" s="1"/>
      <c r="CP61" s="1"/>
      <c r="CQ61" s="1">
        <f>20*1.5</f>
        <v>30</v>
      </c>
      <c r="CR61" s="1"/>
      <c r="CS61" s="1"/>
      <c r="CT61" s="1"/>
      <c r="CV61" s="1"/>
      <c r="CW61" s="1"/>
      <c r="CX61" s="1"/>
      <c r="CY61" s="1">
        <v>15.89216216184432</v>
      </c>
      <c r="CZ61" s="15">
        <v>17.534207003079775</v>
      </c>
      <c r="DA61" s="15">
        <v>3.1909459458821274</v>
      </c>
    </row>
    <row r="62" spans="1:106" x14ac:dyDescent="0.25">
      <c r="A62" s="8">
        <f t="shared" si="4"/>
        <v>1895</v>
      </c>
      <c r="C62" s="1">
        <v>9.2100000000000009</v>
      </c>
      <c r="D62" s="1">
        <v>9.2100000000000009</v>
      </c>
      <c r="E62" s="1"/>
      <c r="F62" s="1"/>
      <c r="H62" s="1">
        <f>20*2240*0.000669642857142857</f>
        <v>29.999999999999996</v>
      </c>
      <c r="I62" s="3"/>
      <c r="J62" s="1"/>
      <c r="K62" s="1"/>
      <c r="L62" s="1"/>
      <c r="M62" s="1"/>
      <c r="N62" s="1">
        <v>13.560604803684825</v>
      </c>
      <c r="O62" s="1">
        <v>13.235294117647058</v>
      </c>
      <c r="P62" s="1"/>
      <c r="Q62" s="1">
        <f>20*2240*0.000676207983193277</f>
        <v>30.294117647058808</v>
      </c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3"/>
      <c r="AT62" s="3"/>
      <c r="AU62" s="3"/>
      <c r="AV62" s="12"/>
      <c r="AW62" s="1"/>
      <c r="AX62" s="1">
        <v>21.963636363636347</v>
      </c>
      <c r="AY62" s="1"/>
      <c r="AZ62" s="1"/>
      <c r="BA62" s="1"/>
      <c r="BB62" s="1"/>
      <c r="BC62" s="1">
        <f>2240*20*0.00307692307692308</f>
        <v>137.84615384615398</v>
      </c>
      <c r="BD62" s="3"/>
      <c r="BE62" s="3"/>
      <c r="BF62" s="3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K62" s="1"/>
      <c r="CL62" s="1"/>
      <c r="CM62" s="1"/>
      <c r="CN62" s="1"/>
      <c r="CO62" s="1"/>
      <c r="CP62" s="1"/>
      <c r="CQ62" s="1">
        <f>20*1.21428571428571</f>
        <v>24.285714285714199</v>
      </c>
      <c r="CR62" s="1"/>
      <c r="CS62" s="1"/>
      <c r="CT62" s="1"/>
      <c r="CV62" s="1"/>
      <c r="CW62" s="1"/>
      <c r="CX62" s="1"/>
      <c r="CY62" s="1">
        <v>16.366659628346415</v>
      </c>
      <c r="CZ62" s="15">
        <v>18.031342443184862</v>
      </c>
      <c r="DA62" s="15">
        <v>4.2175622888431148</v>
      </c>
      <c r="DB62" s="15">
        <v>3.6796833180194395</v>
      </c>
    </row>
    <row r="63" spans="1:106" x14ac:dyDescent="0.25">
      <c r="A63" s="8">
        <f t="shared" si="4"/>
        <v>1896</v>
      </c>
      <c r="C63" s="1">
        <v>8.73</v>
      </c>
      <c r="D63" s="1">
        <v>8.73</v>
      </c>
      <c r="E63" s="1"/>
      <c r="F63" s="1"/>
      <c r="H63" s="1">
        <f>20*2240*0.000781194721573622</f>
        <v>34.997523526498263</v>
      </c>
      <c r="I63" s="3"/>
      <c r="J63" s="1"/>
      <c r="K63" s="1"/>
      <c r="L63" s="1"/>
      <c r="M63" s="1"/>
      <c r="N63" s="1">
        <v>12.557838517302814</v>
      </c>
      <c r="O63" s="1">
        <v>12.241379310344826</v>
      </c>
      <c r="P63" s="1"/>
      <c r="Q63" s="1">
        <f>20*2240*0.000668098121601582</f>
        <v>29.930795847750872</v>
      </c>
      <c r="R63" s="3"/>
      <c r="S63" s="1"/>
      <c r="T63" s="1"/>
      <c r="U63" s="1"/>
      <c r="V63" s="1"/>
      <c r="W63" s="1">
        <v>26.400000000000002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3"/>
      <c r="AT63" s="3"/>
      <c r="AU63" s="3"/>
      <c r="AV63" s="12"/>
      <c r="AW63" s="1"/>
      <c r="AX63" s="1">
        <v>20.610687022900748</v>
      </c>
      <c r="AY63" s="1"/>
      <c r="AZ63" s="1"/>
      <c r="BA63" s="1"/>
      <c r="BC63" s="3">
        <f>2240*20*0.00380807311500381</f>
        <v>170.60167555217069</v>
      </c>
      <c r="BD63" s="3"/>
      <c r="BE63" s="3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K63" s="1">
        <f>20*20*0.0492282958199357</f>
        <v>19.69131832797428</v>
      </c>
      <c r="CL63" s="1"/>
      <c r="CM63" s="1"/>
      <c r="CN63" s="1"/>
      <c r="CO63" s="1"/>
      <c r="CP63" s="1"/>
      <c r="CQ63" s="1">
        <f>20*1.49542961608775</f>
        <v>29.908592321755002</v>
      </c>
      <c r="CR63" s="1"/>
      <c r="CS63" s="1"/>
      <c r="CT63" s="1"/>
      <c r="CV63" s="1"/>
      <c r="CW63" s="1"/>
      <c r="CX63" s="1"/>
      <c r="CY63" s="1">
        <v>22.972972972923461</v>
      </c>
      <c r="CZ63" s="15">
        <v>21.145948769210928</v>
      </c>
      <c r="DA63" s="15">
        <v>4.8817567567462357</v>
      </c>
      <c r="DB63" s="15">
        <v>3.7560238493352429</v>
      </c>
    </row>
    <row r="64" spans="1:106" x14ac:dyDescent="0.25">
      <c r="A64" s="8">
        <f t="shared" si="4"/>
        <v>1897</v>
      </c>
      <c r="C64" s="1">
        <v>8.82</v>
      </c>
      <c r="D64" s="1">
        <v>8.82</v>
      </c>
      <c r="E64" s="1"/>
      <c r="F64" s="1">
        <f>20*2240*0.00144300144300144</f>
        <v>64.646464646464509</v>
      </c>
      <c r="H64" s="1">
        <f>20*2240*0.000777925934905146</f>
        <v>34.851081883750538</v>
      </c>
      <c r="I64" s="3"/>
      <c r="J64" s="1"/>
      <c r="K64" s="1"/>
      <c r="L64" s="1"/>
      <c r="M64" s="1"/>
      <c r="N64" s="1">
        <v>13.378438823527622</v>
      </c>
      <c r="O64" s="1">
        <v>13.038674033149171</v>
      </c>
      <c r="P64" s="1"/>
      <c r="Q64" s="1">
        <f>20*2240*0.000622209821428571</f>
        <v>27.874999999999979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K64" s="1"/>
      <c r="AL64" s="1"/>
      <c r="AM64" s="1"/>
      <c r="AN64" s="1"/>
      <c r="AO64" s="1"/>
      <c r="AP64" s="1"/>
      <c r="AQ64" s="1"/>
      <c r="AR64" s="1"/>
      <c r="AS64" s="3"/>
      <c r="AT64" s="3"/>
      <c r="AU64" s="3"/>
      <c r="AV64" s="12"/>
      <c r="AW64" s="1"/>
      <c r="AX64" s="1">
        <v>22.344827586206879</v>
      </c>
      <c r="AY64" s="1"/>
      <c r="AZ64" s="1"/>
      <c r="BA64" s="1"/>
      <c r="BD64" s="1"/>
      <c r="BE64" s="1"/>
      <c r="BI64" s="1"/>
      <c r="BJ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3"/>
      <c r="BW64" s="3"/>
      <c r="BX64" s="3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K64" s="1">
        <f>20*20*0.0519021739130435</f>
        <v>20.760869565217398</v>
      </c>
      <c r="CL64" s="1"/>
      <c r="CM64" s="1"/>
      <c r="CN64" s="1"/>
      <c r="CO64" s="1"/>
      <c r="CP64" s="1"/>
      <c r="CQ64" s="1">
        <f>20*1.80232558139535</f>
        <v>36.046511627907002</v>
      </c>
      <c r="CR64" s="1"/>
      <c r="CS64" s="1"/>
      <c r="CT64" s="1">
        <f>20*20*0.0776785714285714</f>
        <v>31.071428571428562</v>
      </c>
      <c r="CU64" s="1"/>
      <c r="CV64" s="1"/>
      <c r="CW64" s="1"/>
      <c r="CX64" s="3"/>
      <c r="CY64" s="1">
        <v>23.039147395411291</v>
      </c>
      <c r="CZ64" s="15">
        <v>24.304544110069884</v>
      </c>
      <c r="DA64" s="15">
        <v>4.3006408471434412</v>
      </c>
      <c r="DB64" s="15">
        <v>3.7849218721789457</v>
      </c>
    </row>
    <row r="65" spans="1:106" x14ac:dyDescent="0.25">
      <c r="A65" s="8">
        <f t="shared" si="4"/>
        <v>1898</v>
      </c>
      <c r="C65" s="1">
        <v>9.7899999999999991</v>
      </c>
      <c r="D65" s="1">
        <v>9.7899999999999991</v>
      </c>
      <c r="E65" s="1"/>
      <c r="F65" s="1"/>
      <c r="H65" s="1">
        <f>20*2240*0.000892857142857143</f>
        <v>40.000000000000007</v>
      </c>
      <c r="I65" s="3"/>
      <c r="J65" s="1"/>
      <c r="K65" s="1"/>
      <c r="L65" s="1"/>
      <c r="M65" s="1"/>
      <c r="N65" s="1">
        <v>15.294756008576861</v>
      </c>
      <c r="O65" s="1">
        <v>14.907749077490775</v>
      </c>
      <c r="P65" s="1"/>
      <c r="Q65" s="1">
        <f>20*2240*0.000714285714285714</f>
        <v>31.999999999999986</v>
      </c>
      <c r="R65" s="1"/>
      <c r="S65" s="1"/>
      <c r="T65" s="1"/>
      <c r="U65" s="1"/>
      <c r="V65" s="1"/>
      <c r="W65" s="1">
        <v>37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K65" s="1"/>
      <c r="AL65" s="1"/>
      <c r="AM65" s="1"/>
      <c r="AN65" s="1"/>
      <c r="AO65" s="1"/>
      <c r="AP65" s="1"/>
      <c r="AQ65" s="1"/>
      <c r="AR65" s="1"/>
      <c r="AS65" s="3"/>
      <c r="AT65" s="3"/>
      <c r="AU65" s="3"/>
      <c r="AV65" s="3"/>
      <c r="AW65" s="1"/>
      <c r="AX65" s="1">
        <v>22.153846153846132</v>
      </c>
      <c r="AY65" s="1"/>
      <c r="AZ65" s="1"/>
      <c r="BA65" s="1"/>
      <c r="BB65" s="1"/>
      <c r="BC65" s="3">
        <f>2240*20*0.00293040293040293</f>
        <v>131.28205128205127</v>
      </c>
      <c r="BD65" s="3"/>
      <c r="BE65" s="3"/>
      <c r="BF65" s="3"/>
      <c r="BG65" s="1"/>
      <c r="BH65" s="1"/>
      <c r="BI65" s="1"/>
      <c r="BJ65" s="1"/>
      <c r="BL65" s="1"/>
      <c r="BM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K65" s="1"/>
      <c r="CL65" s="1"/>
      <c r="CM65" s="1"/>
      <c r="CN65" s="1"/>
      <c r="CO65" s="1"/>
      <c r="CP65" s="1"/>
      <c r="CQ65" s="1">
        <f>20*1.5</f>
        <v>30</v>
      </c>
      <c r="CR65" s="1"/>
      <c r="CS65" s="1"/>
      <c r="CT65" s="1">
        <f>20*20*0.0966666666666667</f>
        <v>38.666666666666686</v>
      </c>
      <c r="CU65" s="1"/>
      <c r="CV65" s="1"/>
      <c r="CW65" s="1"/>
      <c r="CX65" s="1"/>
      <c r="CY65" s="1">
        <v>20.021114864864863</v>
      </c>
      <c r="CZ65" s="15">
        <v>24.819692423464691</v>
      </c>
      <c r="DA65" s="15">
        <v>4.0952280405405403</v>
      </c>
      <c r="DB65" s="15">
        <v>3.7805099068335268</v>
      </c>
    </row>
    <row r="66" spans="1:106" x14ac:dyDescent="0.25">
      <c r="A66" s="8">
        <f t="shared" si="4"/>
        <v>1899</v>
      </c>
      <c r="C66" s="1">
        <v>10.53</v>
      </c>
      <c r="D66" s="1">
        <v>10.53</v>
      </c>
      <c r="E66" s="1"/>
      <c r="F66" s="1"/>
      <c r="H66" s="1">
        <f>20*2240*0.000892857142857143</f>
        <v>40.000000000000007</v>
      </c>
      <c r="I66" s="3"/>
      <c r="J66" s="1"/>
      <c r="K66" s="1"/>
      <c r="L66" s="1"/>
      <c r="M66" s="1"/>
      <c r="N66" s="1">
        <v>18.74760295357563</v>
      </c>
      <c r="O66" s="1">
        <v>18.268215417106653</v>
      </c>
      <c r="P66" s="1"/>
      <c r="Q66" s="1">
        <f>20*2240*0.000841565349544073</f>
        <v>37.702127659574472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>
        <f>20*0.959168624231228</f>
        <v>19.183372484624559</v>
      </c>
      <c r="AK66" s="1"/>
      <c r="AM66" s="1">
        <f>20*0.508333333333333</f>
        <v>10.166666666666659</v>
      </c>
      <c r="AN66" s="1"/>
      <c r="AO66" s="1"/>
      <c r="AP66" s="1"/>
      <c r="AQ66" s="1"/>
      <c r="AR66" s="1"/>
      <c r="AS66" s="3"/>
      <c r="AT66" s="3"/>
      <c r="AU66" s="3"/>
      <c r="AV66" s="3"/>
      <c r="AW66" s="1"/>
      <c r="AX66" s="1">
        <v>29.999999999999972</v>
      </c>
      <c r="AY66" s="1"/>
      <c r="AZ66" s="1"/>
      <c r="BA66" s="1"/>
      <c r="BC66" s="1"/>
      <c r="BD66" s="1"/>
      <c r="BE66" s="1"/>
      <c r="BF66" s="1"/>
      <c r="BG66" s="1"/>
      <c r="BH66" s="1"/>
      <c r="BI66" s="1"/>
      <c r="BJ66" s="1"/>
      <c r="BL66" s="1"/>
      <c r="BM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K66" s="1"/>
      <c r="CL66" s="1"/>
      <c r="CM66" s="1"/>
      <c r="CN66" s="1"/>
      <c r="CO66" s="1"/>
      <c r="CP66" s="1"/>
      <c r="CQ66" s="1">
        <f>20*1.83333333333333</f>
        <v>36.6666666666666</v>
      </c>
      <c r="CR66" s="1"/>
      <c r="CS66" s="1"/>
      <c r="CT66" s="1">
        <f>20*20*0.133628318584071</f>
        <v>53.451327433628407</v>
      </c>
      <c r="CU66" s="1"/>
      <c r="CV66" s="1"/>
      <c r="CW66" s="1"/>
      <c r="CX66" s="1"/>
      <c r="CY66" s="1">
        <v>22.363096080432108</v>
      </c>
      <c r="CZ66" s="15">
        <v>25.872325011145783</v>
      </c>
      <c r="DA66" s="15">
        <v>4.6589783500900221</v>
      </c>
      <c r="DB66" s="15">
        <v>4.1773638102119275</v>
      </c>
    </row>
    <row r="67" spans="1:106" x14ac:dyDescent="0.25">
      <c r="A67" s="8">
        <f t="shared" si="4"/>
        <v>1900</v>
      </c>
      <c r="C67" s="1">
        <v>16.52</v>
      </c>
      <c r="D67" s="1">
        <v>16.52</v>
      </c>
      <c r="E67" s="1"/>
      <c r="F67" s="1"/>
      <c r="H67" s="1">
        <f>20*2240*0.00100441693435966</f>
        <v>44.997878659312761</v>
      </c>
      <c r="I67" s="3"/>
      <c r="J67" s="1"/>
      <c r="K67" s="1"/>
      <c r="L67" s="1"/>
      <c r="M67" s="1"/>
      <c r="N67" s="1">
        <v>27.453336810025814</v>
      </c>
      <c r="O67" s="1">
        <v>26.759906759906759</v>
      </c>
      <c r="P67" s="1"/>
      <c r="Q67" s="1">
        <f>20*2240*0.000871519930759244</f>
        <v>39.044092898014135</v>
      </c>
      <c r="R67" s="1"/>
      <c r="S67" s="1"/>
      <c r="T67" s="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>
        <f>20*0.809810870871919</f>
        <v>16.19621741743838</v>
      </c>
      <c r="AK67" s="1"/>
      <c r="AL67" s="1"/>
      <c r="AM67" s="1"/>
      <c r="AN67" s="1"/>
      <c r="AO67" s="1"/>
      <c r="AP67" s="1"/>
      <c r="AQ67" s="1"/>
      <c r="AR67" s="1"/>
      <c r="AS67" s="3"/>
      <c r="AT67" s="3"/>
      <c r="AU67" s="3"/>
      <c r="AV67" s="3"/>
      <c r="AW67" s="1"/>
      <c r="AX67" s="1">
        <v>29.999999999999968</v>
      </c>
      <c r="AY67" s="1"/>
      <c r="AZ67" s="1"/>
      <c r="BA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O67" s="1"/>
      <c r="BP67" s="1"/>
      <c r="BQ67" s="1"/>
      <c r="BR67" s="1"/>
      <c r="BS67" s="1"/>
      <c r="BT67" s="3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K67" s="1">
        <f>20*20*0.194827586206897</f>
        <v>77.931034482758804</v>
      </c>
      <c r="CL67" s="1"/>
      <c r="CM67" s="1"/>
      <c r="CN67" s="1"/>
      <c r="CO67" s="1"/>
      <c r="CP67" s="1"/>
      <c r="CQ67" s="1">
        <f>20*2.5</f>
        <v>50</v>
      </c>
      <c r="CR67" s="1"/>
      <c r="CS67" s="1"/>
      <c r="CT67" s="1">
        <f>20*20*0.133066666666667</f>
        <v>53.226666666666802</v>
      </c>
      <c r="CU67" s="1"/>
      <c r="CV67" s="1"/>
      <c r="CW67" s="1"/>
      <c r="CX67" s="1"/>
      <c r="CY67" s="1">
        <v>28.15945946016345</v>
      </c>
      <c r="CZ67" s="15">
        <v>25.576405856393354</v>
      </c>
      <c r="DA67" s="15">
        <v>4.7442567568753642</v>
      </c>
      <c r="DB67" s="15">
        <v>4.3900918693080158</v>
      </c>
    </row>
    <row r="68" spans="1:106" x14ac:dyDescent="0.25">
      <c r="A68" s="8">
        <f t="shared" si="4"/>
        <v>1901</v>
      </c>
      <c r="C68" s="1">
        <v>13.73</v>
      </c>
      <c r="D68" s="1">
        <v>13.73</v>
      </c>
      <c r="E68" s="1"/>
      <c r="F68" s="1"/>
      <c r="H68" s="1">
        <f>20*2240*0.000937522276874822</f>
        <v>42.000998003992024</v>
      </c>
      <c r="I68" s="3"/>
      <c r="J68" s="1"/>
      <c r="K68" s="1"/>
      <c r="L68" s="1"/>
      <c r="M68" s="1"/>
      <c r="N68" s="1">
        <v>23.197603609782423</v>
      </c>
      <c r="O68" s="1">
        <v>22.615219721329044</v>
      </c>
      <c r="P68" s="1"/>
      <c r="Q68" s="1">
        <f>20*2240*0.000783828382838284</f>
        <v>35.115511551155123</v>
      </c>
      <c r="R68" s="1"/>
      <c r="S68" s="1"/>
      <c r="T68" s="3">
        <v>55.696202531645575</v>
      </c>
      <c r="U68" s="1"/>
      <c r="V68" s="1"/>
      <c r="W68" s="1">
        <v>37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>
        <f>20*0.711357210179076</f>
        <v>14.227144203581521</v>
      </c>
      <c r="AK68" s="1"/>
      <c r="AL68" s="1"/>
      <c r="AN68" s="1"/>
      <c r="AO68" s="1"/>
      <c r="AP68" s="1"/>
      <c r="AQ68" s="1"/>
      <c r="AR68" s="1"/>
      <c r="AS68" s="3"/>
      <c r="AT68" s="3"/>
      <c r="AU68" s="3"/>
      <c r="AV68" s="3"/>
      <c r="AW68" s="1"/>
      <c r="AX68" s="1">
        <v>39.499999999999964</v>
      </c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K68" s="1">
        <f>20*20*0.0999348109517601</f>
        <v>39.973924380704041</v>
      </c>
      <c r="CL68" s="1"/>
      <c r="CM68" s="1"/>
      <c r="CN68" s="1"/>
      <c r="CO68" s="1"/>
      <c r="CP68" s="1"/>
      <c r="CQ68" s="1">
        <f>20*1.04651162790698</f>
        <v>20.9302325581396</v>
      </c>
      <c r="CR68" s="1"/>
      <c r="CS68" s="1"/>
      <c r="CT68" s="1">
        <f>20*20*0.133333333333333</f>
        <v>53.333333333333201</v>
      </c>
      <c r="CU68" s="1"/>
      <c r="CV68" s="1"/>
      <c r="CW68" s="1"/>
      <c r="CX68" s="1"/>
      <c r="CY68" s="1">
        <v>30.669800235009294</v>
      </c>
      <c r="CZ68" s="15">
        <v>32.123187608979094</v>
      </c>
      <c r="DA68" s="15">
        <v>5.3512411868375596</v>
      </c>
      <c r="DB68" s="15">
        <v>3.9886270185617945</v>
      </c>
    </row>
    <row r="69" spans="1:106" x14ac:dyDescent="0.25">
      <c r="A69" s="8">
        <f t="shared" si="4"/>
        <v>1902</v>
      </c>
      <c r="C69" s="1">
        <v>12.19</v>
      </c>
      <c r="D69" s="1">
        <v>12.19</v>
      </c>
      <c r="E69" s="1">
        <f>20*2240*0.00182448458310527</f>
        <v>81.736909323116095</v>
      </c>
      <c r="F69" s="1">
        <f>20*2240*0.00112267540152156</f>
        <v>50.295857988165885</v>
      </c>
      <c r="H69" s="1">
        <f>20*2240*0.000892857142857143</f>
        <v>40.000000000000007</v>
      </c>
      <c r="I69" s="3"/>
      <c r="J69" s="1"/>
      <c r="K69" s="1"/>
      <c r="L69" s="1"/>
      <c r="M69" s="1"/>
      <c r="N69" s="1">
        <v>18.603971537594557</v>
      </c>
      <c r="O69" s="1">
        <v>18.153200419727177</v>
      </c>
      <c r="P69" s="1"/>
      <c r="Q69" s="1">
        <f>20*2240*0.00038623595505618</f>
        <v>17.303370786516865</v>
      </c>
      <c r="R69" s="1"/>
      <c r="S69" s="1"/>
      <c r="T69" s="1">
        <v>52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>
        <f>20*0.666065919594191</f>
        <v>13.321318391883821</v>
      </c>
      <c r="AK69" s="1"/>
      <c r="AL69" s="1"/>
      <c r="AM69" s="1">
        <f>20*0.85</f>
        <v>17</v>
      </c>
      <c r="AN69" s="1"/>
      <c r="AO69" s="1"/>
      <c r="AP69" s="1"/>
      <c r="AQ69" s="1"/>
      <c r="AR69" s="1"/>
      <c r="AS69" s="3"/>
      <c r="AT69" s="3"/>
      <c r="AU69" s="3"/>
      <c r="AV69" s="3"/>
      <c r="AW69" s="1"/>
      <c r="AX69" s="1">
        <v>28.911564625850311</v>
      </c>
      <c r="AY69" s="1"/>
      <c r="AZ69" s="1"/>
      <c r="BA69" s="1"/>
      <c r="BB69" s="1"/>
      <c r="BC69" s="1"/>
      <c r="BD69" s="1"/>
      <c r="BE69" s="1"/>
      <c r="BF69" s="1"/>
      <c r="BG69" s="3"/>
      <c r="BH69" s="1">
        <f>20*2240*0.00170150087614597</f>
        <v>76.227239251339455</v>
      </c>
      <c r="BJ69" s="1"/>
      <c r="BK69" s="1"/>
      <c r="BL69" s="1"/>
      <c r="BM69" s="1"/>
      <c r="BO69" s="1"/>
      <c r="BP69" s="1"/>
      <c r="BQ69" s="1"/>
      <c r="BR69" s="1"/>
      <c r="BS69" s="1"/>
      <c r="BT69" s="1">
        <f>20*2240*0.000532860034103042</f>
        <v>23.872129527816284</v>
      </c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K69" s="1">
        <f>20*20*0.10625</f>
        <v>42.5</v>
      </c>
      <c r="CL69" s="1"/>
      <c r="CM69" s="1"/>
      <c r="CN69" s="1"/>
      <c r="CO69" s="1"/>
      <c r="CP69" s="1"/>
      <c r="CQ69" s="1">
        <f>20*2</f>
        <v>40</v>
      </c>
      <c r="CR69" s="1"/>
      <c r="CS69" s="1"/>
      <c r="CT69" s="1">
        <f>20*20*0.174942263279446</f>
        <v>69.97690531177841</v>
      </c>
      <c r="CU69" s="1"/>
      <c r="CV69" s="1"/>
      <c r="CY69" s="1">
        <v>22.916666666666664</v>
      </c>
      <c r="CZ69" s="15">
        <v>26.13685075450945</v>
      </c>
      <c r="DA69" s="15">
        <v>5.0710867117117111</v>
      </c>
      <c r="DB69" s="15">
        <v>3.6821676400232746</v>
      </c>
    </row>
    <row r="70" spans="1:106" x14ac:dyDescent="0.25">
      <c r="A70" s="8">
        <f t="shared" si="4"/>
        <v>1903</v>
      </c>
      <c r="C70" s="1">
        <v>11.58</v>
      </c>
      <c r="D70" s="1">
        <v>11.7</v>
      </c>
      <c r="E70" s="3">
        <f>20*2240*0.00250079233024325</f>
        <v>112.03549639489759</v>
      </c>
      <c r="F70" s="1"/>
      <c r="H70" s="1">
        <f>20*2240*0.000684517105788166</f>
        <v>30.666366339309839</v>
      </c>
      <c r="I70" s="3"/>
      <c r="J70" s="1"/>
      <c r="K70" s="1"/>
      <c r="L70" s="1"/>
      <c r="M70" s="1"/>
      <c r="N70" s="1">
        <v>17.576736639523446</v>
      </c>
      <c r="O70" s="1">
        <v>17.134445534838076</v>
      </c>
      <c r="P70" s="1"/>
      <c r="Q70" s="1">
        <f>20*2240*0.000681129012496937</f>
        <v>30.514579759862777</v>
      </c>
      <c r="R70" s="1"/>
      <c r="S70" s="1"/>
      <c r="T70" s="1">
        <v>52.5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>
        <f>20*0.643432730590577</f>
        <v>12.868654611811541</v>
      </c>
      <c r="AK70" s="1"/>
      <c r="AL70" s="1"/>
      <c r="AM70" s="1"/>
      <c r="AN70" s="1"/>
      <c r="AO70" s="1"/>
      <c r="AP70" s="1"/>
      <c r="AQ70" s="1"/>
      <c r="AR70" s="1"/>
      <c r="AS70" s="3"/>
      <c r="AT70" s="3"/>
      <c r="AU70" s="3"/>
      <c r="AV70" s="3"/>
      <c r="AW70" s="1"/>
      <c r="AX70" s="1">
        <v>24.863387978142054</v>
      </c>
      <c r="AY70" s="1"/>
      <c r="AZ70" s="1"/>
      <c r="BA70" s="1"/>
      <c r="BC70" s="1"/>
      <c r="BD70" s="1"/>
      <c r="BE70" s="1"/>
      <c r="BF70" s="1"/>
      <c r="BG70" s="3"/>
      <c r="BH70" s="1">
        <f>20*2240*0.00220159805652034</f>
        <v>98.631592932111232</v>
      </c>
      <c r="BJ70" s="1"/>
      <c r="BK70" s="1"/>
      <c r="BL70" s="1"/>
      <c r="BM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K70" s="1">
        <f>20*20*0.333925925925926</f>
        <v>133.5703703703704</v>
      </c>
      <c r="CL70" s="1"/>
      <c r="CM70" s="1"/>
      <c r="CN70" s="1"/>
      <c r="CO70" s="1"/>
      <c r="CP70" s="1"/>
      <c r="CQ70" s="1"/>
      <c r="CR70" s="1"/>
      <c r="CS70" s="1"/>
      <c r="CT70" s="1">
        <f>20*20*0.21</f>
        <v>84</v>
      </c>
      <c r="CU70" s="1"/>
      <c r="CV70" s="1"/>
      <c r="CY70" s="1">
        <v>19.195064629842022</v>
      </c>
      <c r="CZ70" s="15">
        <v>25.072018961954541</v>
      </c>
      <c r="DA70" s="15">
        <v>3.9626175088120839</v>
      </c>
      <c r="DB70" s="15">
        <v>3.494618321770341</v>
      </c>
    </row>
    <row r="71" spans="1:106" x14ac:dyDescent="0.25">
      <c r="A71" s="8">
        <f t="shared" si="4"/>
        <v>1904</v>
      </c>
      <c r="C71" s="1">
        <v>11.02</v>
      </c>
      <c r="D71" s="1">
        <v>11.13</v>
      </c>
      <c r="E71" s="1">
        <f>20*2240*0.00178847738279445</f>
        <v>80.123786749191353</v>
      </c>
      <c r="F71" s="1">
        <f>20*2240*0.00156175512474178</f>
        <v>69.966629588431744</v>
      </c>
      <c r="H71" s="1">
        <f>20*2240*0.000781231358419433</f>
        <v>34.9991648571906</v>
      </c>
      <c r="I71" s="3"/>
      <c r="J71" s="1">
        <f>20*2240*0.00151515151515152</f>
        <v>67.878787878788089</v>
      </c>
      <c r="K71" s="1"/>
      <c r="L71" s="1"/>
      <c r="M71" s="1"/>
      <c r="N71" s="1">
        <v>15.93995147984389</v>
      </c>
      <c r="O71" s="1">
        <v>15.538592027141645</v>
      </c>
      <c r="P71" s="1"/>
      <c r="Q71" s="1">
        <f>20*2240*0.0008848374679213</f>
        <v>39.640718562874241</v>
      </c>
      <c r="R71" s="3"/>
      <c r="S71" s="1"/>
      <c r="T71" s="1">
        <v>47.266666666666666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>
        <f>20*0.785169547576176</f>
        <v>15.70339095152352</v>
      </c>
      <c r="AK71" s="1"/>
      <c r="AL71" s="1"/>
      <c r="AM71" s="1"/>
      <c r="AN71" s="1"/>
      <c r="AO71" s="1"/>
      <c r="AP71" s="1"/>
      <c r="AQ71" s="1"/>
      <c r="AR71" s="1"/>
      <c r="AS71" s="1"/>
      <c r="AT71" s="3"/>
      <c r="AU71" s="3"/>
      <c r="AV71" s="3"/>
      <c r="AW71" s="1"/>
      <c r="AX71" s="1">
        <v>25.030303030303006</v>
      </c>
      <c r="AY71" s="1"/>
      <c r="AZ71" s="1"/>
      <c r="BA71" s="1"/>
      <c r="BC71" s="1"/>
      <c r="BD71" s="1"/>
      <c r="BE71" s="1"/>
      <c r="BF71" s="1"/>
      <c r="BG71" s="3"/>
      <c r="BH71" s="1">
        <f>20*2240*0.00198595110793815</f>
        <v>88.970609635629117</v>
      </c>
      <c r="BJ71" s="1"/>
      <c r="BK71" s="1"/>
      <c r="BL71" s="1"/>
      <c r="BM71" s="1"/>
      <c r="BN71" s="1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K71" s="1">
        <f>20*20*0.143333333333333</f>
        <v>57.333333333333201</v>
      </c>
      <c r="CL71" s="1"/>
      <c r="CM71" s="1"/>
      <c r="CN71" s="1"/>
      <c r="CO71" s="1"/>
      <c r="CP71" s="1"/>
      <c r="CR71" s="1"/>
      <c r="CS71" s="1"/>
      <c r="CT71" s="1">
        <f>20*20*0.211382113821138</f>
        <v>84.552845528455194</v>
      </c>
      <c r="CU71" s="1"/>
      <c r="CV71" s="1"/>
      <c r="CY71" s="1">
        <v>22.017862277229348</v>
      </c>
      <c r="CZ71" s="15">
        <v>25.01455232170629</v>
      </c>
      <c r="DA71" s="15">
        <v>4.2517251293960117</v>
      </c>
      <c r="DB71" s="15">
        <v>3.40482913712624</v>
      </c>
    </row>
    <row r="72" spans="1:106" x14ac:dyDescent="0.25">
      <c r="A72" s="8">
        <f t="shared" ref="A72:A103" si="5">A71+1</f>
        <v>1905</v>
      </c>
      <c r="C72" s="1">
        <v>10.47</v>
      </c>
      <c r="D72" s="1">
        <v>10.56</v>
      </c>
      <c r="E72" s="1">
        <f>20*2240*0.00142625231910946</f>
        <v>63.89610389610381</v>
      </c>
      <c r="F72" s="1">
        <f>20*2240*0.00133928571428571</f>
        <v>59.999999999999808</v>
      </c>
      <c r="H72" s="1">
        <f>20*2240*0.00078125</f>
        <v>35</v>
      </c>
      <c r="I72" s="3"/>
      <c r="J72" s="1">
        <f>20*2240*0.00136363636363636</f>
        <v>61.09090909090893</v>
      </c>
      <c r="K72" s="1"/>
      <c r="L72" s="1"/>
      <c r="M72" s="1"/>
      <c r="N72" s="1">
        <v>15.442764336803457</v>
      </c>
      <c r="O72" s="1">
        <v>15.05736981465137</v>
      </c>
      <c r="P72" s="1"/>
      <c r="Q72" s="1">
        <f>20*2240*0.000716722793335697</f>
        <v>32.109181141439223</v>
      </c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>
        <f>20*0.649750709024998</f>
        <v>12.995014180499959</v>
      </c>
      <c r="AK72" s="1"/>
      <c r="AL72" s="1"/>
      <c r="AM72" s="1"/>
      <c r="AN72" s="1"/>
      <c r="AO72" s="1"/>
      <c r="AP72" s="1"/>
      <c r="AQ72" s="1"/>
      <c r="AR72" s="1"/>
      <c r="AS72" s="1"/>
      <c r="AT72" s="3"/>
      <c r="AU72" s="3">
        <v>12.000918310309032</v>
      </c>
      <c r="AV72" s="3"/>
      <c r="AW72" s="1"/>
      <c r="AX72" s="1">
        <v>24.999999999999979</v>
      </c>
      <c r="AY72" s="1"/>
      <c r="AZ72" s="1"/>
      <c r="BA72" s="1"/>
      <c r="BB72" s="1"/>
      <c r="BC72" s="1"/>
      <c r="BD72" s="1"/>
      <c r="BE72" s="1"/>
      <c r="BF72" s="1"/>
      <c r="BG72" s="3"/>
      <c r="BH72" s="1">
        <f>20*2240*0.00215771516034056</f>
        <v>96.665639183257085</v>
      </c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C72" s="1"/>
      <c r="CD72" s="1"/>
      <c r="CE72" s="1"/>
      <c r="CF72" s="1"/>
      <c r="CG72" s="1"/>
      <c r="CH72" s="1"/>
      <c r="CI72" s="1"/>
      <c r="CK72" s="1">
        <f>20*20*0.183174603174603</f>
        <v>73.269841269841194</v>
      </c>
      <c r="CL72" s="1"/>
      <c r="CM72" s="1"/>
      <c r="CN72" s="1"/>
      <c r="CO72" s="1"/>
      <c r="CP72" s="1"/>
      <c r="CR72" s="1"/>
      <c r="CS72" s="1"/>
      <c r="CT72" s="1">
        <f>20*20*0.196763202725724</f>
        <v>78.705281090289603</v>
      </c>
      <c r="CU72" s="1"/>
      <c r="CV72" s="1"/>
      <c r="CY72" s="1">
        <v>19.415371621670154</v>
      </c>
      <c r="CZ72" s="15">
        <v>23.489557951290251</v>
      </c>
      <c r="DA72" s="15">
        <v>3.9131756756854577</v>
      </c>
      <c r="DB72" s="15">
        <v>3.3725041843183785</v>
      </c>
    </row>
    <row r="73" spans="1:106" x14ac:dyDescent="0.25">
      <c r="A73" s="8">
        <f t="shared" si="5"/>
        <v>1906</v>
      </c>
      <c r="C73" s="1">
        <v>10.82</v>
      </c>
      <c r="D73" s="1">
        <v>10.9</v>
      </c>
      <c r="E73" s="1">
        <f>20*2240*0.00267781498366079</f>
        <v>119.9661112680034</v>
      </c>
      <c r="F73" s="1">
        <f>20*2240*0.00133928571428571</f>
        <v>59.999999999999808</v>
      </c>
      <c r="H73" s="1">
        <f>20*2240*0.000714296575634086</f>
        <v>32.00048658840705</v>
      </c>
      <c r="I73" s="3"/>
      <c r="J73" s="1"/>
      <c r="K73" s="1"/>
      <c r="L73" s="1"/>
      <c r="M73" s="1"/>
      <c r="N73" s="1">
        <v>15.730956952191296</v>
      </c>
      <c r="O73" s="1">
        <v>15.333333333333334</v>
      </c>
      <c r="P73" s="1"/>
      <c r="Q73" s="1">
        <f>20*2240*0.000763452024674769</f>
        <v>34.202650705429654</v>
      </c>
      <c r="R73" s="3"/>
      <c r="S73" s="1"/>
      <c r="T73" s="1">
        <v>57.142857142857146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>
        <f>20*0.687823141379925</f>
        <v>13.756462827598499</v>
      </c>
      <c r="AL73" s="1"/>
      <c r="AN73" s="1"/>
      <c r="AO73" s="1"/>
      <c r="AP73" s="1"/>
      <c r="AQ73" s="1"/>
      <c r="AR73" s="1"/>
      <c r="AS73" s="1"/>
      <c r="AT73" s="3"/>
      <c r="AU73" s="3">
        <v>10.565542825559501</v>
      </c>
      <c r="AV73" s="3"/>
      <c r="AW73" s="1"/>
      <c r="AX73" s="1">
        <v>24.999999999999979</v>
      </c>
      <c r="AY73" s="1"/>
      <c r="AZ73" s="1"/>
      <c r="BA73" s="1"/>
      <c r="BC73" s="1"/>
      <c r="BD73" s="1"/>
      <c r="BE73" s="1"/>
      <c r="BF73" s="1"/>
      <c r="BG73" s="3"/>
      <c r="BH73" s="1">
        <f>20*2240*0.00141136665340765</f>
        <v>63.229226072662726</v>
      </c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3"/>
      <c r="BZ73" s="1">
        <f>20*2240*0.000748623428277904</f>
        <v>33.538329586850104</v>
      </c>
      <c r="CA73" s="1"/>
      <c r="CB73" s="3"/>
      <c r="CC73" s="1"/>
      <c r="CD73" s="1"/>
      <c r="CE73" s="1"/>
      <c r="CF73" s="1"/>
      <c r="CG73" s="1"/>
      <c r="CH73" s="1"/>
      <c r="CI73" s="1"/>
      <c r="CK73" s="1">
        <f>20*20*0.298083333333333</f>
        <v>119.23333333333319</v>
      </c>
      <c r="CL73" s="1"/>
      <c r="CM73" s="1"/>
      <c r="CN73" s="1"/>
      <c r="CO73" s="1"/>
      <c r="CP73" s="1"/>
      <c r="CR73" s="1"/>
      <c r="CS73" s="1"/>
      <c r="CT73" s="1">
        <f>20*20*0.16156282998944</f>
        <v>64.625131995776002</v>
      </c>
      <c r="CU73" s="1">
        <f>20*20*0.21301775147929</f>
        <v>85.207100591715999</v>
      </c>
      <c r="CV73" s="1"/>
      <c r="CY73" s="1">
        <v>22.757985257933541</v>
      </c>
      <c r="CZ73" s="15">
        <v>23.799594297940921</v>
      </c>
      <c r="DA73" s="15">
        <v>3.9447174447084801</v>
      </c>
      <c r="DB73" s="15">
        <v>3.9088094447141799</v>
      </c>
    </row>
    <row r="74" spans="1:106" x14ac:dyDescent="0.25">
      <c r="A74" s="8">
        <f t="shared" si="5"/>
        <v>1907</v>
      </c>
      <c r="C74" s="1">
        <v>12.63</v>
      </c>
      <c r="D74" s="1">
        <v>12.75</v>
      </c>
      <c r="E74" s="1">
        <f>20*2240*0.00214637579169599</f>
        <v>96.157635467980342</v>
      </c>
      <c r="F74" s="1">
        <f>20*2240*0.00133928571428571</f>
        <v>59.999999999999808</v>
      </c>
      <c r="H74" s="1">
        <f>20*2240*0.000669642857142857</f>
        <v>29.999999999999996</v>
      </c>
      <c r="I74" s="3"/>
      <c r="J74" s="3"/>
      <c r="K74" s="1"/>
      <c r="L74" s="1"/>
      <c r="M74" s="1"/>
      <c r="N74" s="1">
        <v>18.086288038721978</v>
      </c>
      <c r="O74" s="1">
        <v>17.63959390862944</v>
      </c>
      <c r="P74" s="1"/>
      <c r="Q74" s="3">
        <f>20*2240*0.000752831844288449</f>
        <v>33.726866624122515</v>
      </c>
      <c r="R74" s="1"/>
      <c r="S74" s="3"/>
      <c r="T74" s="1">
        <v>61.111111111111107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>
        <f>20*0.790219415431949</f>
        <v>15.804388308638979</v>
      </c>
      <c r="AL74" s="1">
        <f>20*1.13802633718095</f>
        <v>22.760526743619</v>
      </c>
      <c r="AN74" s="1">
        <f>20*0.546054276907231</f>
        <v>10.92108553814462</v>
      </c>
      <c r="AO74" s="1"/>
      <c r="AP74" s="1"/>
      <c r="AQ74" s="1"/>
      <c r="AR74" s="1"/>
      <c r="AS74" s="1"/>
      <c r="AT74" s="3"/>
      <c r="AU74" s="3">
        <v>12.856030637151754</v>
      </c>
      <c r="AV74" s="3"/>
      <c r="AW74" s="1"/>
      <c r="AX74" s="1">
        <v>24.999999999999979</v>
      </c>
      <c r="AY74" s="1"/>
      <c r="AZ74" s="1"/>
      <c r="BA74" s="1"/>
      <c r="BC74" s="1"/>
      <c r="BE74" s="1"/>
      <c r="BF74" s="1"/>
      <c r="BG74" s="3"/>
      <c r="BH74" s="3">
        <f>20*2240*0.00134428678117999</f>
        <v>60.224047796863552</v>
      </c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3"/>
      <c r="BZ74" s="1">
        <f>20*2240*0.000722769182684795</f>
        <v>32.380059384278816</v>
      </c>
      <c r="CA74" s="1"/>
      <c r="CB74" s="3"/>
      <c r="CC74" s="1"/>
      <c r="CD74" s="1"/>
      <c r="CE74" s="1"/>
      <c r="CF74" s="1"/>
      <c r="CG74" s="1"/>
      <c r="CH74" s="1"/>
      <c r="CI74" s="1"/>
      <c r="CK74" s="1">
        <f>20*20*0.285223367697594</f>
        <v>114.08934707903759</v>
      </c>
      <c r="CL74" s="1">
        <f>20*20*0.166666666666667</f>
        <v>66.666666666666799</v>
      </c>
      <c r="CM74" s="1"/>
      <c r="CN74" s="1"/>
      <c r="CO74" s="1"/>
      <c r="CP74" s="1"/>
      <c r="CQ74" s="1">
        <f>20*0.96</f>
        <v>19.2</v>
      </c>
      <c r="CR74" s="1"/>
      <c r="CS74" s="1"/>
      <c r="CT74" s="1">
        <f>20*20*0.219089062953293</f>
        <v>87.635625181317195</v>
      </c>
      <c r="CU74" s="1">
        <f>20*20*0.169082125603865</f>
        <v>67.632850241546009</v>
      </c>
      <c r="CV74" s="1"/>
      <c r="CY74" s="1">
        <v>26.434459460120323</v>
      </c>
      <c r="CZ74" s="15">
        <v>25.193874099446742</v>
      </c>
      <c r="DA74" s="15">
        <v>5.2216216217521625</v>
      </c>
      <c r="DB74" s="15">
        <v>4.682240308651239</v>
      </c>
    </row>
    <row r="75" spans="1:106" x14ac:dyDescent="0.25">
      <c r="A75" s="8">
        <f t="shared" si="5"/>
        <v>1908</v>
      </c>
      <c r="C75" s="1">
        <v>12.65</v>
      </c>
      <c r="D75" s="1">
        <v>12.77</v>
      </c>
      <c r="E75" s="1">
        <f>20*2240*0.00102670432918645</f>
        <v>45.996353947552961</v>
      </c>
      <c r="F75" s="1">
        <f>20*2240*0.0015625</f>
        <v>70</v>
      </c>
      <c r="H75" s="1">
        <f>20*2240*0.00080354084079675</f>
        <v>35.998629667694402</v>
      </c>
      <c r="I75" s="3"/>
      <c r="J75" s="3"/>
      <c r="K75" s="1"/>
      <c r="L75" s="1"/>
      <c r="M75" s="1"/>
      <c r="N75" s="1">
        <v>20.40980318655248</v>
      </c>
      <c r="O75" s="1">
        <v>19.892183288409704</v>
      </c>
      <c r="P75" s="1"/>
      <c r="Q75" s="1">
        <f>20*2240*0.000693611555318645</f>
        <v>31.073797678275298</v>
      </c>
      <c r="R75" s="3"/>
      <c r="S75" s="1"/>
      <c r="T75" s="1"/>
      <c r="U75" s="1"/>
      <c r="V75" s="1"/>
      <c r="W75" s="1">
        <v>29.25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>
        <f>20*0.649087221095335</f>
        <v>12.981744421906701</v>
      </c>
      <c r="AK75" s="1"/>
      <c r="AL75" s="1"/>
      <c r="AO75" s="1"/>
      <c r="AP75" s="1"/>
      <c r="AQ75" s="1"/>
      <c r="AR75" s="1"/>
      <c r="AS75" s="1"/>
      <c r="AT75" s="3"/>
      <c r="AU75" s="3">
        <v>11.780888030888031</v>
      </c>
      <c r="AV75" s="3"/>
      <c r="AW75" s="1"/>
      <c r="AX75" s="1">
        <v>25.020576131687221</v>
      </c>
      <c r="AY75" s="1"/>
      <c r="AZ75" s="1"/>
      <c r="BA75" s="1"/>
      <c r="BC75" s="1"/>
      <c r="BD75" s="1"/>
      <c r="BF75" s="1"/>
      <c r="BG75" s="3"/>
      <c r="BH75" s="1">
        <f>20*2240*0.00163934426229508</f>
        <v>73.442622950819583</v>
      </c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3"/>
      <c r="BZ75" s="1">
        <f>20*2240*0.000729799159271368</f>
        <v>32.695002335357287</v>
      </c>
      <c r="CA75" s="1"/>
      <c r="CB75" s="3"/>
      <c r="CC75" s="1"/>
      <c r="CD75" s="1"/>
      <c r="CE75" s="1"/>
      <c r="CF75" s="3"/>
      <c r="CG75" s="1"/>
      <c r="CH75" s="1"/>
      <c r="CI75" s="1"/>
      <c r="CK75" s="1">
        <f>20*20*0.134713375796178</f>
        <v>53.885350318471204</v>
      </c>
      <c r="CL75" s="1"/>
      <c r="CM75" s="1"/>
      <c r="CN75" s="1"/>
      <c r="CO75" s="1"/>
      <c r="CP75" s="1"/>
      <c r="CQ75" s="1">
        <f>20*2.35372340425532</f>
        <v>47.074468085106396</v>
      </c>
      <c r="CR75" s="1"/>
      <c r="CS75" s="1"/>
      <c r="CT75" s="1">
        <f>20*20*0.29415501905972</f>
        <v>117.66200762388802</v>
      </c>
      <c r="CU75" s="1">
        <f>20*20*0.383663366336634</f>
        <v>153.46534653465361</v>
      </c>
      <c r="CV75" s="1"/>
      <c r="CY75" s="1">
        <v>26.998742928897002</v>
      </c>
      <c r="CZ75" s="15">
        <v>25.662952248757897</v>
      </c>
      <c r="DA75" s="15">
        <v>7.3632935260628187</v>
      </c>
      <c r="DB75" s="15">
        <v>5.2565464870374132</v>
      </c>
    </row>
    <row r="76" spans="1:106" x14ac:dyDescent="0.25">
      <c r="A76" s="8">
        <f t="shared" si="5"/>
        <v>1909</v>
      </c>
      <c r="C76" s="1">
        <v>11.2</v>
      </c>
      <c r="D76" s="1">
        <v>11.3</v>
      </c>
      <c r="E76" s="1">
        <f>20*2240*0.00184289727126806</f>
        <v>82.561797752809085</v>
      </c>
      <c r="F76" s="1">
        <f>20*2240*0.00133928571428571</f>
        <v>59.999999999999808</v>
      </c>
      <c r="H76" s="1">
        <f>20*2240*0.000803529379609617</f>
        <v>35.998116206510844</v>
      </c>
      <c r="I76" s="3"/>
      <c r="J76" s="1">
        <f>20*2240*0.0008035714</f>
        <v>35.999998720000001</v>
      </c>
      <c r="K76" s="1"/>
      <c r="L76" s="1"/>
      <c r="M76" s="1"/>
      <c r="N76" s="1">
        <v>16.604547998401003</v>
      </c>
      <c r="O76" s="1">
        <v>16.193870277975766</v>
      </c>
      <c r="P76" s="1"/>
      <c r="Q76" s="1">
        <f>20*2240*0.000643051145283288</f>
        <v>28.808691308691301</v>
      </c>
      <c r="R76" s="3"/>
      <c r="S76" s="1"/>
      <c r="T76" s="1">
        <v>86.956521739130437</v>
      </c>
      <c r="U76" s="1"/>
      <c r="V76" s="1"/>
      <c r="W76" s="1">
        <v>30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>
        <f>20*0.685598377281947</f>
        <v>13.711967545638938</v>
      </c>
      <c r="AK76" s="1"/>
      <c r="AM76" s="1"/>
      <c r="AN76" s="1"/>
      <c r="AO76" s="1"/>
      <c r="AP76" s="1"/>
      <c r="AQ76" s="1"/>
      <c r="AR76" s="1"/>
      <c r="AS76" s="1"/>
      <c r="AT76" s="1"/>
      <c r="AU76" s="1"/>
      <c r="AV76" s="12"/>
      <c r="AW76" s="1"/>
      <c r="AX76" s="1">
        <v>25.093525179856094</v>
      </c>
      <c r="AY76" s="1"/>
      <c r="AZ76" s="1"/>
      <c r="BA76" s="1"/>
      <c r="BB76" s="1"/>
      <c r="BC76" s="1"/>
      <c r="BD76" s="1"/>
      <c r="BE76" s="1"/>
      <c r="BF76" s="1"/>
      <c r="BG76" s="3"/>
      <c r="BH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3"/>
      <c r="BZ76" s="1">
        <f>20*2240*0.000641710904675518</f>
        <v>28.748648529463203</v>
      </c>
      <c r="CA76" s="1"/>
      <c r="CB76" s="3"/>
      <c r="CC76" s="1"/>
      <c r="CD76" s="1"/>
      <c r="CE76" s="1"/>
      <c r="CF76" s="3"/>
      <c r="CG76" s="1"/>
      <c r="CH76" s="1"/>
      <c r="CI76" s="1"/>
      <c r="CK76" s="1">
        <f>20*20*0.236696950032446</f>
        <v>94.678780012978407</v>
      </c>
      <c r="CL76" s="1"/>
      <c r="CM76" s="1"/>
      <c r="CN76" s="1"/>
      <c r="CO76" s="1"/>
      <c r="CP76" s="1"/>
      <c r="CQ76" s="1">
        <f>20*2.3352</f>
        <v>46.704000000000001</v>
      </c>
      <c r="CR76" s="1"/>
      <c r="CS76" s="1"/>
      <c r="CT76" s="1"/>
      <c r="CU76" s="1">
        <f>20*20*0.256436931079324</f>
        <v>102.57477243172961</v>
      </c>
      <c r="CV76" s="1"/>
      <c r="CY76" s="1">
        <v>21.978764478764479</v>
      </c>
      <c r="CZ76" s="15">
        <v>24.059270830133876</v>
      </c>
      <c r="DA76" s="15">
        <v>5.4946911196911197</v>
      </c>
      <c r="DB76" s="15">
        <v>4.6838264730501873</v>
      </c>
    </row>
    <row r="77" spans="1:106" x14ac:dyDescent="0.25">
      <c r="A77" s="8">
        <f t="shared" si="5"/>
        <v>1910</v>
      </c>
      <c r="C77" s="1">
        <v>11.63</v>
      </c>
      <c r="D77" s="1">
        <v>11.72</v>
      </c>
      <c r="E77" s="1">
        <f>20*2240*0.00257106644939345</f>
        <v>115.18377693282656</v>
      </c>
      <c r="F77" s="1"/>
      <c r="H77" s="1">
        <f>20*2240*0.000803564561231946</f>
        <v>35.999692343191178</v>
      </c>
      <c r="I77" s="3"/>
      <c r="J77" s="1"/>
      <c r="K77" s="1"/>
      <c r="L77" s="1"/>
      <c r="M77" s="1"/>
      <c r="N77" s="1">
        <v>17.715655741369183</v>
      </c>
      <c r="O77" s="1">
        <v>17.276037873270212</v>
      </c>
      <c r="P77" s="1"/>
      <c r="Q77" s="3">
        <f>20*2240*0.000688873626373626</f>
        <v>30.861538461538448</v>
      </c>
      <c r="R77" s="1"/>
      <c r="S77" s="3"/>
      <c r="T77" s="1"/>
      <c r="U77" s="1"/>
      <c r="V77" s="1"/>
      <c r="W77" s="1">
        <v>26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>
        <f>20*0.644710578842315</f>
        <v>12.894211576846299</v>
      </c>
      <c r="AK77" s="1"/>
      <c r="AL77" s="1">
        <f>20*1.00884681049201</f>
        <v>20.1769362098402</v>
      </c>
      <c r="AM77" s="1">
        <f>20*0.55</f>
        <v>11</v>
      </c>
      <c r="AN77" s="1"/>
      <c r="AO77" s="1"/>
      <c r="AP77" s="1"/>
      <c r="AQ77" s="1"/>
      <c r="AR77" s="1"/>
      <c r="AS77" s="1"/>
      <c r="AT77" s="1"/>
      <c r="AU77" s="1">
        <v>13.670064874884151</v>
      </c>
      <c r="AV77" s="3"/>
      <c r="AW77" s="1"/>
      <c r="AX77" s="1">
        <v>23.148148148148127</v>
      </c>
      <c r="AY77" s="1"/>
      <c r="AZ77" s="1"/>
      <c r="BA77" s="1"/>
      <c r="BB77" s="1"/>
      <c r="BC77" s="1"/>
      <c r="BD77" s="1"/>
      <c r="BE77" s="1"/>
      <c r="BF77" s="1"/>
      <c r="BG77" s="3"/>
      <c r="BH77" s="1">
        <f>20*2240*0.000453141582895098</f>
        <v>20.300742913700393</v>
      </c>
      <c r="BJ77" s="1"/>
      <c r="BK77" s="1"/>
      <c r="BL77" s="1"/>
      <c r="BM77" s="1"/>
      <c r="BN77" s="1"/>
      <c r="BO77" s="3"/>
      <c r="BP77" s="1"/>
      <c r="BQ77" s="1"/>
      <c r="BR77" s="1"/>
      <c r="BS77" s="1"/>
      <c r="BT77" s="1"/>
      <c r="BU77" s="1"/>
      <c r="BV77" s="1"/>
      <c r="BW77" s="1"/>
      <c r="BX77" s="1"/>
      <c r="BY77" s="3"/>
      <c r="BZ77" s="1">
        <f>20*2240*0.000638614865410163</f>
        <v>28.609945970375303</v>
      </c>
      <c r="CA77" s="1"/>
      <c r="CB77" s="1"/>
      <c r="CC77" s="1"/>
      <c r="CD77" s="1"/>
      <c r="CE77" s="1"/>
      <c r="CF77" s="3"/>
      <c r="CG77" s="1"/>
      <c r="CH77" s="1"/>
      <c r="CI77" s="3"/>
      <c r="CK77" s="1">
        <f>20*20*0.265610756608933</f>
        <v>106.24430264357321</v>
      </c>
      <c r="CL77" s="1"/>
      <c r="CM77" s="1"/>
      <c r="CN77" s="1"/>
      <c r="CO77" s="1"/>
      <c r="CP77" s="1"/>
      <c r="CQ77" s="1"/>
      <c r="CR77" s="1"/>
      <c r="CS77" s="1"/>
      <c r="CT77" s="1"/>
      <c r="CU77" s="1">
        <f>20*20*0.144278606965174</f>
        <v>57.711442786069597</v>
      </c>
      <c r="CV77" s="1"/>
      <c r="CY77" s="1">
        <v>20.127550969062369</v>
      </c>
      <c r="CZ77" s="15">
        <v>22.591573617090788</v>
      </c>
      <c r="DA77" s="15">
        <v>4.2159059462225237</v>
      </c>
      <c r="DB77" s="15">
        <v>4.076466873012488</v>
      </c>
    </row>
    <row r="78" spans="1:106" x14ac:dyDescent="0.25">
      <c r="A78" s="8">
        <f t="shared" si="5"/>
        <v>1911</v>
      </c>
      <c r="C78" s="1">
        <v>11.31</v>
      </c>
      <c r="D78" s="1">
        <v>11.43</v>
      </c>
      <c r="E78" s="1">
        <f>20*2240*0.00189626834942299</f>
        <v>84.952822054149962</v>
      </c>
      <c r="F78" s="1">
        <f>20*2240*0.00133928571428571</f>
        <v>59.999999999999808</v>
      </c>
      <c r="H78" s="1">
        <f>20*2240*0.000803564290853443</f>
        <v>35.999680230234247</v>
      </c>
      <c r="I78" s="3"/>
      <c r="J78" s="3"/>
      <c r="K78" s="1"/>
      <c r="L78" s="1"/>
      <c r="M78" s="1"/>
      <c r="N78" s="1">
        <v>17.018614535209874</v>
      </c>
      <c r="O78" s="1">
        <v>16.586599241466498</v>
      </c>
      <c r="P78" s="1"/>
      <c r="Q78" s="1">
        <f>20*2240*0.000682649868707749</f>
        <v>30.582714118107155</v>
      </c>
      <c r="R78" s="3"/>
      <c r="S78" s="3"/>
      <c r="T78" s="1"/>
      <c r="U78" s="1"/>
      <c r="V78" s="1"/>
      <c r="W78" s="1">
        <v>36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>
        <f>20*0.718390804597701</f>
        <v>14.367816091954019</v>
      </c>
      <c r="AK78" s="1"/>
      <c r="AL78" s="1"/>
      <c r="AM78" s="1">
        <f>20*0.7</f>
        <v>14</v>
      </c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>
        <v>24.464516129032255</v>
      </c>
      <c r="AY78" s="1"/>
      <c r="AZ78" s="1"/>
      <c r="BA78" s="1"/>
      <c r="BB78" s="1"/>
      <c r="BC78" s="1"/>
      <c r="BD78" s="1"/>
      <c r="BE78" s="1"/>
      <c r="BF78" s="3"/>
      <c r="BG78" s="1"/>
      <c r="BH78" s="1">
        <f>20*2240*0.00164402526607251</f>
        <v>73.652331920048454</v>
      </c>
      <c r="BJ78" s="1"/>
      <c r="BK78" s="1"/>
      <c r="BL78" s="1"/>
      <c r="BM78" s="1"/>
      <c r="BO78" s="1">
        <f>20*2240*0.00143676194907021</f>
        <v>64.366935318345412</v>
      </c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D78" s="1"/>
      <c r="CE78" s="1"/>
      <c r="CF78" s="1"/>
      <c r="CG78" s="1"/>
      <c r="CH78" s="1"/>
      <c r="CI78" s="3"/>
      <c r="CK78" s="1">
        <f>20*20*0.245755451713396</f>
        <v>98.302180685358394</v>
      </c>
      <c r="CL78" s="1"/>
      <c r="CM78" s="1"/>
      <c r="CN78" s="1"/>
      <c r="CO78" s="1"/>
      <c r="CP78" s="1"/>
      <c r="CQ78" s="1"/>
      <c r="CR78" s="1"/>
      <c r="CS78" s="1"/>
      <c r="CT78" s="1"/>
      <c r="CU78" s="1">
        <f>20*20*0.248968363136176</f>
        <v>99.587345254470407</v>
      </c>
      <c r="CV78" s="1"/>
      <c r="CY78" s="1">
        <v>22.062248418690075</v>
      </c>
      <c r="CZ78" s="15">
        <v>22.826851317100612</v>
      </c>
      <c r="DA78" s="15">
        <v>4.3841647498678995</v>
      </c>
      <c r="DB78" s="15">
        <v>3.9363128595307129</v>
      </c>
    </row>
    <row r="79" spans="1:106" x14ac:dyDescent="0.25">
      <c r="A79" s="8">
        <f t="shared" si="5"/>
        <v>1912</v>
      </c>
      <c r="C79" s="1">
        <v>12.57</v>
      </c>
      <c r="D79" s="1">
        <v>12.7</v>
      </c>
      <c r="E79" s="1"/>
      <c r="F79" s="1">
        <f>20*2240*0.00133928571428571</f>
        <v>59.999999999999808</v>
      </c>
      <c r="H79" s="1">
        <f>20*2240*0.000892857142857143</f>
        <v>40.000000000000007</v>
      </c>
      <c r="I79" s="3"/>
      <c r="J79" s="3"/>
      <c r="K79" s="1"/>
      <c r="L79" s="1"/>
      <c r="M79" s="1"/>
      <c r="N79" s="1"/>
      <c r="O79" s="1">
        <v>19.23076923076923</v>
      </c>
      <c r="P79" s="1"/>
      <c r="Q79" s="1">
        <f>20*2240*0.000739537578668364</f>
        <v>33.131283524342706</v>
      </c>
      <c r="R79" s="3"/>
      <c r="S79" s="3"/>
      <c r="T79" s="1"/>
      <c r="U79" s="1"/>
      <c r="V79" s="1"/>
      <c r="W79" s="1">
        <v>38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>
        <f>20*0.802702702702703</f>
        <v>16.05405405405406</v>
      </c>
      <c r="AK79" s="1"/>
      <c r="AL79" s="1"/>
      <c r="AM79" s="1">
        <f>20*0.8875</f>
        <v>17.75</v>
      </c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>
        <v>29.699999999999996</v>
      </c>
      <c r="AY79" s="1"/>
      <c r="AZ79" s="1"/>
      <c r="BA79" s="1"/>
      <c r="BB79" s="1"/>
      <c r="BC79" s="1"/>
      <c r="BD79" s="1"/>
      <c r="BE79" s="3"/>
      <c r="BF79" s="14"/>
      <c r="BG79" s="1"/>
      <c r="BH79" s="1"/>
      <c r="BJ79" s="1"/>
      <c r="BK79" s="1"/>
      <c r="BL79" s="1"/>
      <c r="BM79" s="1"/>
      <c r="BN79" s="1"/>
      <c r="BO79" s="3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K79" s="1">
        <f>20*20*0.26657287563309</f>
        <v>106.62915025323601</v>
      </c>
      <c r="CL79" s="1"/>
      <c r="CM79" s="1"/>
      <c r="CN79" s="1"/>
      <c r="CO79" s="1"/>
      <c r="CP79" s="1"/>
      <c r="CQ79" s="1"/>
      <c r="CR79" s="1"/>
      <c r="CS79" s="1"/>
      <c r="CT79" s="1"/>
      <c r="CU79" s="1">
        <f>20*20*0.222682119205298</f>
        <v>89.072847682119203</v>
      </c>
      <c r="CV79" s="1"/>
      <c r="CY79" s="1">
        <v>24.186386847621439</v>
      </c>
      <c r="CZ79" s="15">
        <v>22.957181986626924</v>
      </c>
      <c r="DA79" s="15">
        <v>4.4737825382883587</v>
      </c>
      <c r="DB79" s="15">
        <v>4.5019566052434943</v>
      </c>
    </row>
    <row r="80" spans="1:106" x14ac:dyDescent="0.25">
      <c r="A80" s="8">
        <f t="shared" si="5"/>
        <v>1913</v>
      </c>
      <c r="C80" s="1">
        <v>13.82</v>
      </c>
      <c r="D80" s="1">
        <v>13.94</v>
      </c>
      <c r="E80" s="1"/>
      <c r="F80" s="1"/>
      <c r="H80" s="1">
        <f>20*2240*0.000848218537010081</f>
        <v>38.000190458051627</v>
      </c>
      <c r="I80" s="3"/>
      <c r="J80" s="1"/>
      <c r="K80" s="1"/>
      <c r="L80" s="1"/>
      <c r="M80" s="1"/>
      <c r="N80" s="1"/>
      <c r="O80" s="1">
        <v>23.381754793724578</v>
      </c>
      <c r="P80" s="1"/>
      <c r="Q80" s="1">
        <f>20*2240*0.000850937788666212</f>
        <v>38.122012932246299</v>
      </c>
      <c r="R80" s="3"/>
      <c r="S80" s="3"/>
      <c r="T80" s="1"/>
      <c r="U80" s="1"/>
      <c r="V80" s="1"/>
      <c r="W80" s="1">
        <v>53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>
        <v>27.720000000000002</v>
      </c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Y80" s="1">
        <v>27.791709979203294</v>
      </c>
      <c r="CZ80" s="15">
        <v>23.804562991246669</v>
      </c>
      <c r="DA80" s="15">
        <v>4.7990839397077849</v>
      </c>
      <c r="DB80" s="15">
        <v>4.686740980955773</v>
      </c>
    </row>
    <row r="81" spans="1:106" x14ac:dyDescent="0.25">
      <c r="A81" s="8">
        <f t="shared" si="5"/>
        <v>1914</v>
      </c>
      <c r="C81" s="1"/>
      <c r="D81" s="1">
        <v>13.65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Y81" s="1">
        <v>17.625000000000004</v>
      </c>
      <c r="CZ81" s="15">
        <v>25.426778018204903</v>
      </c>
      <c r="DA81" s="15">
        <v>3.6835937500000004</v>
      </c>
      <c r="DB81" s="15">
        <v>4.7464985222842957</v>
      </c>
    </row>
    <row r="82" spans="1:106" x14ac:dyDescent="0.25">
      <c r="A82" s="8">
        <f t="shared" si="5"/>
        <v>1915</v>
      </c>
      <c r="C82" s="1"/>
      <c r="D82" s="1">
        <v>16.96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Y82" s="1">
        <v>24.562500000000004</v>
      </c>
      <c r="CZ82" s="15">
        <v>26.678853145284243</v>
      </c>
      <c r="DA82" s="15">
        <v>3.6738281250000004</v>
      </c>
      <c r="DB82" s="15">
        <v>4.4212804400765862</v>
      </c>
    </row>
    <row r="83" spans="1:106" x14ac:dyDescent="0.25">
      <c r="A83" s="8">
        <f t="shared" si="5"/>
        <v>1916</v>
      </c>
      <c r="C83" s="1"/>
      <c r="D83" s="1">
        <v>24.64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Y83" s="1">
        <v>30.000000000000004</v>
      </c>
      <c r="CZ83" s="15">
        <v>27.49455304611881</v>
      </c>
      <c r="DA83" s="15">
        <v>3.3339843750000004</v>
      </c>
      <c r="DB83" s="15">
        <v>4.4957627685930515</v>
      </c>
    </row>
    <row r="84" spans="1:106" x14ac:dyDescent="0.25">
      <c r="A84" s="8">
        <f t="shared" si="5"/>
        <v>1917</v>
      </c>
      <c r="C84" s="1"/>
      <c r="D84" s="1">
        <v>27.16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Y84" s="1">
        <v>33.750000000000007</v>
      </c>
      <c r="CZ84" s="15">
        <v>41.928981553121304</v>
      </c>
      <c r="DA84" s="15">
        <v>3.6074218750000004</v>
      </c>
      <c r="DB84" s="15">
        <v>4.9543351592534481</v>
      </c>
    </row>
    <row r="85" spans="1:106" x14ac:dyDescent="0.25">
      <c r="A85" s="8">
        <f t="shared" si="5"/>
        <v>1918</v>
      </c>
      <c r="C85" s="1"/>
      <c r="D85" s="1">
        <v>30.6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Y85" s="1">
        <v>50.378906250000007</v>
      </c>
      <c r="CZ85" s="15">
        <v>39.975795715841699</v>
      </c>
      <c r="DA85" s="15">
        <v>3.9199218750000004</v>
      </c>
      <c r="DB85" s="15">
        <v>5.8073726940093549</v>
      </c>
    </row>
    <row r="86" spans="1:106" x14ac:dyDescent="0.25">
      <c r="A86" s="8">
        <f t="shared" si="5"/>
        <v>1919</v>
      </c>
      <c r="C86" s="1"/>
      <c r="D86" s="1">
        <v>46.2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Y86" s="1">
        <v>31.816406250000004</v>
      </c>
      <c r="CZ86" s="15">
        <v>46.287458706937237</v>
      </c>
      <c r="DA86" s="15">
        <v>4.7949218750000009</v>
      </c>
      <c r="DB86" s="15">
        <v>5.9626656965427447</v>
      </c>
    </row>
    <row r="87" spans="1:106" x14ac:dyDescent="0.25">
      <c r="A87" s="8">
        <f t="shared" si="5"/>
        <v>1920</v>
      </c>
      <c r="C87" s="1"/>
      <c r="D87" s="1">
        <v>79.8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Y87" s="1">
        <v>37.957031250000007</v>
      </c>
      <c r="CZ87" s="15">
        <v>65.023519295938499</v>
      </c>
      <c r="DA87" s="15">
        <v>7.5000000000000009</v>
      </c>
    </row>
    <row r="88" spans="1:106" x14ac:dyDescent="0.25">
      <c r="A88" s="8">
        <f t="shared" si="5"/>
        <v>1921</v>
      </c>
      <c r="C88" s="1"/>
      <c r="D88" s="1">
        <v>34.83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Y88" s="1">
        <v>32.0234375</v>
      </c>
      <c r="DA88" s="15">
        <v>7.5000000000000009</v>
      </c>
    </row>
    <row r="89" spans="1:106" x14ac:dyDescent="0.25">
      <c r="A89" s="8">
        <f t="shared" si="5"/>
        <v>1922</v>
      </c>
      <c r="C89" s="1"/>
      <c r="D89" s="1">
        <v>24.16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Y89" s="1">
        <v>29.250000000000004</v>
      </c>
      <c r="DA89" s="15">
        <v>13.500000000000002</v>
      </c>
    </row>
    <row r="90" spans="1:106" x14ac:dyDescent="0.25">
      <c r="A90" s="8">
        <f t="shared" si="5"/>
        <v>1923</v>
      </c>
      <c r="C90" s="1"/>
      <c r="D90" s="1">
        <v>25.13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Y90" s="1">
        <v>27.000000000000004</v>
      </c>
      <c r="DA90" s="15">
        <v>13.125000000000002</v>
      </c>
    </row>
    <row r="91" spans="1:106" x14ac:dyDescent="0.25">
      <c r="A91" s="8">
        <f t="shared" si="5"/>
        <v>1924</v>
      </c>
      <c r="C91" s="1"/>
      <c r="D91" s="1">
        <v>23.38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Y91" s="1">
        <v>25.875000000000004</v>
      </c>
      <c r="DA91" s="15">
        <v>11.250000000000002</v>
      </c>
    </row>
    <row r="92" spans="1:106" x14ac:dyDescent="0.25">
      <c r="A92" s="8">
        <f t="shared" si="5"/>
        <v>1925</v>
      </c>
      <c r="C92" s="1"/>
      <c r="D92" s="1">
        <v>20.079999999999998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Y92" s="1">
        <v>22.406250000000004</v>
      </c>
      <c r="DA92" s="15">
        <v>8.9062500000000018</v>
      </c>
    </row>
    <row r="93" spans="1:106" x14ac:dyDescent="0.25">
      <c r="A93" s="8">
        <f t="shared" si="5"/>
        <v>1926</v>
      </c>
      <c r="C93" s="1"/>
      <c r="D93" s="1">
        <v>18.59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Y93" s="1">
        <v>17.410156250000004</v>
      </c>
      <c r="DA93" s="15">
        <v>7.9687500000000009</v>
      </c>
    </row>
    <row r="94" spans="1:106" x14ac:dyDescent="0.25">
      <c r="A94" s="8">
        <f t="shared" si="5"/>
        <v>1927</v>
      </c>
      <c r="C94" s="1"/>
      <c r="D94" s="1">
        <v>17.8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Y94" s="1">
        <v>14.386718750000004</v>
      </c>
      <c r="DA94" s="15">
        <v>7.4062500000000009</v>
      </c>
    </row>
    <row r="95" spans="1:106" x14ac:dyDescent="0.25">
      <c r="A95" s="8">
        <f t="shared" si="5"/>
        <v>1928</v>
      </c>
      <c r="C95" s="1"/>
      <c r="D95" s="1">
        <v>15.67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Y95" s="1">
        <v>12.642578125000002</v>
      </c>
      <c r="DA95" s="15">
        <v>7.2187500000000009</v>
      </c>
    </row>
    <row r="96" spans="1:106" x14ac:dyDescent="0.25">
      <c r="A96" s="8">
        <f t="shared" si="5"/>
        <v>1929</v>
      </c>
      <c r="C96" s="1"/>
      <c r="D96" s="1">
        <v>16.13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Y96" s="1">
        <v>12.945312500000004</v>
      </c>
      <c r="DA96" s="15">
        <v>7.3125000000000009</v>
      </c>
    </row>
    <row r="97" spans="1:105" x14ac:dyDescent="0.25">
      <c r="A97" s="8">
        <f t="shared" si="5"/>
        <v>1930</v>
      </c>
      <c r="C97" s="1"/>
      <c r="D97" s="1">
        <v>16.64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Y97" s="1">
        <v>10.661764705882351</v>
      </c>
      <c r="DA97" s="15">
        <v>7.0257352941176467</v>
      </c>
    </row>
    <row r="98" spans="1:105" x14ac:dyDescent="0.25">
      <c r="A98" s="8">
        <f t="shared" si="5"/>
        <v>1931</v>
      </c>
      <c r="C98" s="1"/>
      <c r="D98" s="1">
        <v>15.98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Y98" s="1">
        <v>10.022058823529411</v>
      </c>
      <c r="DA98" s="15">
        <v>6.617647058823529</v>
      </c>
    </row>
    <row r="99" spans="1:105" x14ac:dyDescent="0.25">
      <c r="A99" s="8">
        <f t="shared" si="5"/>
        <v>1932</v>
      </c>
      <c r="C99" s="1"/>
      <c r="D99" s="1">
        <v>16.27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1:105" x14ac:dyDescent="0.25">
      <c r="A100" s="8">
        <f t="shared" si="5"/>
        <v>1933</v>
      </c>
      <c r="C100" s="1"/>
      <c r="D100" s="1">
        <v>16.079999999999998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1:105" x14ac:dyDescent="0.25">
      <c r="A101" s="8">
        <f t="shared" si="5"/>
        <v>1934</v>
      </c>
      <c r="C101" s="1"/>
      <c r="D101" s="1">
        <v>16.079999999999998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1:105" x14ac:dyDescent="0.25">
      <c r="A102" s="8">
        <f t="shared" si="5"/>
        <v>1935</v>
      </c>
      <c r="C102" s="1"/>
      <c r="D102" s="1">
        <v>16.3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1:105" x14ac:dyDescent="0.25">
      <c r="A103" s="8">
        <f t="shared" si="5"/>
        <v>1936</v>
      </c>
      <c r="C103" s="1"/>
      <c r="D103" s="1">
        <v>16.98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1:105" x14ac:dyDescent="0.25">
      <c r="A104" s="8">
        <f t="shared" ref="A104:A135" si="6">A103+1</f>
        <v>1937</v>
      </c>
      <c r="C104" s="1"/>
      <c r="D104" s="1">
        <v>19.05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1:105" x14ac:dyDescent="0.25">
      <c r="A105" s="8">
        <f t="shared" si="6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1:105" x14ac:dyDescent="0.25">
      <c r="A106" s="8">
        <f t="shared" si="6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1:105" x14ac:dyDescent="0.25">
      <c r="A107" s="8">
        <f t="shared" si="6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1:105" hidden="1" x14ac:dyDescent="0.25">
      <c r="A108" s="8">
        <f t="shared" si="6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1:105" hidden="1" x14ac:dyDescent="0.25">
      <c r="A109" s="8">
        <f t="shared" si="6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1:105" hidden="1" x14ac:dyDescent="0.25">
      <c r="A110" s="8">
        <f t="shared" si="6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1:105" hidden="1" x14ac:dyDescent="0.25">
      <c r="A111" s="8">
        <f t="shared" si="6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1:105" hidden="1" x14ac:dyDescent="0.25">
      <c r="A112" s="8">
        <f t="shared" si="6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1:100" hidden="1" x14ac:dyDescent="0.25">
      <c r="A113" s="8">
        <f t="shared" si="6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1:100" hidden="1" x14ac:dyDescent="0.25">
      <c r="A114" s="8">
        <f t="shared" si="6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  <row r="115" spans="1:100" hidden="1" x14ac:dyDescent="0.25">
      <c r="A115" s="8">
        <f t="shared" si="6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</row>
    <row r="116" spans="1:100" hidden="1" x14ac:dyDescent="0.25">
      <c r="A116" s="8">
        <f t="shared" si="6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</row>
    <row r="117" spans="1:100" hidden="1" x14ac:dyDescent="0.25">
      <c r="A117" s="8">
        <f t="shared" si="6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</row>
    <row r="118" spans="1:100" hidden="1" x14ac:dyDescent="0.25">
      <c r="A118" s="8">
        <f t="shared" si="6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</row>
    <row r="119" spans="1:100" hidden="1" x14ac:dyDescent="0.25">
      <c r="A119" s="8">
        <f t="shared" si="6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</row>
    <row r="120" spans="1:100" hidden="1" x14ac:dyDescent="0.25">
      <c r="A120" s="8">
        <f t="shared" si="6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</row>
    <row r="121" spans="1:100" hidden="1" x14ac:dyDescent="0.25">
      <c r="A121" s="8">
        <f t="shared" si="6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</row>
    <row r="122" spans="1:100" hidden="1" x14ac:dyDescent="0.25">
      <c r="A122" s="8">
        <f t="shared" si="6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</row>
    <row r="123" spans="1:100" hidden="1" x14ac:dyDescent="0.25">
      <c r="A123" s="8">
        <f t="shared" si="6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</row>
    <row r="124" spans="1:100" hidden="1" x14ac:dyDescent="0.25">
      <c r="A124" s="8">
        <f t="shared" si="6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</row>
    <row r="125" spans="1:100" hidden="1" x14ac:dyDescent="0.25">
      <c r="A125" s="8">
        <f t="shared" si="6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</row>
    <row r="126" spans="1:100" hidden="1" x14ac:dyDescent="0.25">
      <c r="A126" s="8">
        <f t="shared" si="6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</row>
    <row r="127" spans="1:100" hidden="1" x14ac:dyDescent="0.25">
      <c r="A127" s="8">
        <f t="shared" si="6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</row>
    <row r="128" spans="1:100" hidden="1" x14ac:dyDescent="0.25">
      <c r="A128" s="8">
        <f t="shared" si="6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</row>
    <row r="129" spans="1:100" hidden="1" x14ac:dyDescent="0.25">
      <c r="A129" s="8">
        <f t="shared" si="6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</row>
    <row r="130" spans="1:100" hidden="1" x14ac:dyDescent="0.25">
      <c r="A130" s="8">
        <f t="shared" si="6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0" hidden="1" x14ac:dyDescent="0.25">
      <c r="A131" s="8">
        <f t="shared" si="6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0" hidden="1" x14ac:dyDescent="0.25">
      <c r="A132" s="8">
        <f t="shared" si="6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0" hidden="1" x14ac:dyDescent="0.25">
      <c r="A133" s="8">
        <f t="shared" si="6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0" hidden="1" x14ac:dyDescent="0.25">
      <c r="A134" s="8">
        <f t="shared" si="6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0" hidden="1" x14ac:dyDescent="0.25">
      <c r="A135" s="8">
        <f t="shared" si="6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0" hidden="1" x14ac:dyDescent="0.25">
      <c r="A136" s="8">
        <f t="shared" ref="A136:A145" si="7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0" hidden="1" x14ac:dyDescent="0.25">
      <c r="A137" s="8">
        <f t="shared" si="7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0" hidden="1" x14ac:dyDescent="0.25">
      <c r="A138" s="8">
        <f t="shared" si="7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0" hidden="1" x14ac:dyDescent="0.25">
      <c r="A139" s="8">
        <f t="shared" si="7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0" hidden="1" x14ac:dyDescent="0.25">
      <c r="A140" s="8">
        <f t="shared" si="7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0" hidden="1" x14ac:dyDescent="0.25">
      <c r="A141" s="8">
        <f t="shared" si="7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0" hidden="1" x14ac:dyDescent="0.25">
      <c r="A142" s="8">
        <f t="shared" si="7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0" hidden="1" x14ac:dyDescent="0.25">
      <c r="A143" s="8">
        <f t="shared" si="7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0" hidden="1" x14ac:dyDescent="0.25">
      <c r="A144" s="8">
        <f t="shared" si="7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idden="1" x14ac:dyDescent="0.25">
      <c r="A145" s="8">
        <f t="shared" si="7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</row>
    <row r="151" spans="1:10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</row>
    <row r="152" spans="1:10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</row>
    <row r="155" spans="1:10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</row>
    <row r="156" spans="1:10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</row>
    <row r="158" spans="1:10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</row>
    <row r="159" spans="1:10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</row>
    <row r="160" spans="1:10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</row>
    <row r="161" spans="3:10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</row>
    <row r="162" spans="3:10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</row>
    <row r="163" spans="3:10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3:10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3:10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</row>
    <row r="166" spans="3:10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</row>
    <row r="167" spans="3:10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</row>
    <row r="168" spans="3:10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</row>
    <row r="169" spans="3:10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</row>
    <row r="170" spans="3:10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</row>
    <row r="171" spans="3:10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</row>
    <row r="172" spans="3:10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</row>
    <row r="173" spans="3:10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</row>
    <row r="174" spans="3:10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</row>
    <row r="175" spans="3:10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</row>
    <row r="176" spans="3:10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</row>
    <row r="177" spans="3:10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3:10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3:10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3:10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</row>
    <row r="181" spans="3:10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3:10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3:10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3:10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3:10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3:10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3:10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3:10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3:10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3:10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</row>
    <row r="191" spans="3:10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</row>
    <row r="192" spans="3:10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</row>
    <row r="193" spans="3:10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</row>
    <row r="194" spans="3:10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</row>
    <row r="195" spans="3:10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</row>
    <row r="196" spans="3:10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</row>
    <row r="197" spans="3:10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</row>
    <row r="198" spans="3:10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</row>
    <row r="199" spans="3:10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</row>
    <row r="200" spans="3:10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</row>
    <row r="201" spans="3:10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</row>
    <row r="202" spans="3:10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</row>
    <row r="203" spans="3:10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</row>
    <row r="204" spans="3:10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</row>
    <row r="205" spans="3:10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</row>
    <row r="206" spans="3:10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</row>
    <row r="207" spans="3:10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3:10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</row>
    <row r="209" spans="3:10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</row>
    <row r="210" spans="3:10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</row>
    <row r="211" spans="3:10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</row>
    <row r="212" spans="3:10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</row>
    <row r="213" spans="3:10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</row>
    <row r="214" spans="3:10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</row>
    <row r="215" spans="3:10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3:10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</row>
    <row r="217" spans="3:10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</row>
    <row r="218" spans="3:10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</row>
    <row r="219" spans="3:10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</row>
    <row r="220" spans="3:10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</row>
    <row r="221" spans="3:10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</row>
    <row r="222" spans="3:10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</row>
    <row r="223" spans="3:10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</row>
    <row r="224" spans="3:10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</row>
    <row r="225" spans="3:10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</row>
    <row r="226" spans="3:10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</row>
    <row r="227" spans="3:10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</row>
    <row r="228" spans="3:10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</row>
    <row r="229" spans="3:10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</row>
    <row r="230" spans="3:10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</row>
    <row r="231" spans="3:10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3:10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</row>
    <row r="233" spans="3:10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</row>
    <row r="234" spans="3:10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</row>
    <row r="235" spans="3:10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3:10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3:10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3:10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3:10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3:10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3:10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3:10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3:10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3:10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3:10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3:10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3:10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3:10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3:10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3:10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3:10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3:10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3:10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3:10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3:10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</sheetData>
  <sortState ref="AX21:AY30">
    <sortCondition ref="AX154:AX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40" zoomScaleNormal="40" zoomScaleSheetLayoutView="30" workbookViewId="0">
      <selection activeCell="AN945" sqref="AN945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J255"/>
  <sheetViews>
    <sheetView zoomScale="70" zoomScaleNormal="7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K17" sqref="K17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6" width="12" customWidth="1"/>
    <col min="7" max="7" width="12" hidden="1" customWidth="1"/>
    <col min="8" max="8" width="12" customWidth="1"/>
    <col min="9" max="10" width="12" hidden="1" customWidth="1"/>
    <col min="11" max="13" width="12" customWidth="1"/>
    <col min="14" max="14" width="11.33203125" hidden="1" customWidth="1"/>
    <col min="15" max="17" width="12" customWidth="1"/>
    <col min="18" max="19" width="13.77734375" customWidth="1"/>
    <col min="20" max="20" width="13.77734375" hidden="1" customWidth="1"/>
    <col min="21" max="22" width="12" customWidth="1"/>
    <col min="23" max="23" width="12" hidden="1" customWidth="1"/>
    <col min="24" max="24" width="12" customWidth="1"/>
    <col min="25" max="25" width="12" hidden="1" customWidth="1"/>
    <col min="26" max="29" width="12" customWidth="1"/>
    <col min="30" max="30" width="12.88671875" customWidth="1"/>
    <col min="31" max="32" width="12" customWidth="1"/>
    <col min="33" max="33" width="13.5546875" customWidth="1"/>
    <col min="34" max="34" width="10.33203125" customWidth="1"/>
    <col min="35" max="35" width="11.109375" customWidth="1"/>
    <col min="36" max="36" width="11.33203125" customWidth="1"/>
  </cols>
  <sheetData>
    <row r="1" spans="1:36" s="12" customFormat="1" x14ac:dyDescent="0.25"/>
    <row r="2" spans="1:3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25</v>
      </c>
      <c r="K2" s="7" t="s">
        <v>41</v>
      </c>
      <c r="L2" s="7" t="s">
        <v>41</v>
      </c>
      <c r="M2" s="7" t="s">
        <v>26</v>
      </c>
      <c r="N2" s="7" t="s">
        <v>26</v>
      </c>
      <c r="O2" s="7" t="s">
        <v>2</v>
      </c>
      <c r="P2" s="7" t="s">
        <v>4</v>
      </c>
      <c r="Q2" s="7" t="s">
        <v>11</v>
      </c>
      <c r="R2" s="7" t="s">
        <v>12</v>
      </c>
      <c r="S2" s="7" t="s">
        <v>12</v>
      </c>
      <c r="T2" s="7" t="s">
        <v>12</v>
      </c>
      <c r="U2" s="7" t="s">
        <v>3</v>
      </c>
      <c r="V2" s="7" t="s">
        <v>9</v>
      </c>
      <c r="W2" s="7" t="s">
        <v>20</v>
      </c>
      <c r="X2" s="7" t="s">
        <v>15</v>
      </c>
      <c r="Y2" s="7" t="s">
        <v>17</v>
      </c>
      <c r="Z2" s="7" t="s">
        <v>19</v>
      </c>
      <c r="AA2" s="7" t="s">
        <v>21</v>
      </c>
      <c r="AB2" s="7" t="s">
        <v>5</v>
      </c>
      <c r="AC2" s="7" t="s">
        <v>5</v>
      </c>
      <c r="AD2" s="7" t="s">
        <v>13</v>
      </c>
      <c r="AE2" s="7" t="s">
        <v>14</v>
      </c>
      <c r="AF2" s="7" t="s">
        <v>14</v>
      </c>
      <c r="AG2" s="7" t="s">
        <v>52</v>
      </c>
      <c r="AH2" s="7" t="s">
        <v>52</v>
      </c>
      <c r="AI2" s="7" t="s">
        <v>52</v>
      </c>
      <c r="AJ2" s="7" t="s">
        <v>52</v>
      </c>
    </row>
    <row r="3" spans="1:36" ht="26.4" x14ac:dyDescent="0.25">
      <c r="B3" s="5" t="s">
        <v>31</v>
      </c>
      <c r="C3" s="7" t="s">
        <v>48</v>
      </c>
      <c r="D3" s="7" t="s">
        <v>48</v>
      </c>
      <c r="E3" s="7" t="s">
        <v>50</v>
      </c>
      <c r="F3" s="7" t="s">
        <v>48</v>
      </c>
      <c r="G3" s="7" t="s">
        <v>48</v>
      </c>
      <c r="H3" s="7" t="s">
        <v>48</v>
      </c>
      <c r="I3" s="7" t="s">
        <v>51</v>
      </c>
      <c r="J3" s="7" t="s">
        <v>48</v>
      </c>
      <c r="K3" s="7" t="s">
        <v>48</v>
      </c>
      <c r="L3" s="7" t="s">
        <v>48</v>
      </c>
      <c r="M3" s="7" t="s">
        <v>48</v>
      </c>
      <c r="N3" s="7" t="s">
        <v>48</v>
      </c>
      <c r="O3" s="7" t="s">
        <v>48</v>
      </c>
      <c r="P3" s="7" t="s">
        <v>48</v>
      </c>
      <c r="Q3" s="7" t="s">
        <v>48</v>
      </c>
      <c r="R3" s="7" t="s">
        <v>48</v>
      </c>
      <c r="S3" s="7" t="s">
        <v>48</v>
      </c>
      <c r="T3" s="7" t="s">
        <v>48</v>
      </c>
      <c r="U3" s="7" t="s">
        <v>48</v>
      </c>
      <c r="V3" s="7" t="s">
        <v>48</v>
      </c>
      <c r="W3" s="7" t="s">
        <v>50</v>
      </c>
      <c r="X3" s="7" t="s">
        <v>50</v>
      </c>
      <c r="Y3" s="7" t="s">
        <v>50</v>
      </c>
      <c r="Z3" s="7" t="s">
        <v>48</v>
      </c>
      <c r="AA3" s="7" t="s">
        <v>50</v>
      </c>
      <c r="AB3" s="7" t="s">
        <v>48</v>
      </c>
      <c r="AC3" s="7" t="s">
        <v>48</v>
      </c>
      <c r="AD3" s="7" t="s">
        <v>48</v>
      </c>
      <c r="AE3" s="7" t="s">
        <v>51</v>
      </c>
      <c r="AF3" s="7" t="s">
        <v>48</v>
      </c>
      <c r="AG3" s="7" t="s">
        <v>48</v>
      </c>
      <c r="AH3" s="7" t="s">
        <v>54</v>
      </c>
      <c r="AI3" s="7" t="s">
        <v>48</v>
      </c>
      <c r="AJ3" s="7" t="s">
        <v>48</v>
      </c>
    </row>
    <row r="4" spans="1:36" s="2" customFormat="1" ht="27" customHeight="1" x14ac:dyDescent="0.25">
      <c r="B4" s="5" t="s">
        <v>30</v>
      </c>
      <c r="C4" s="5" t="s">
        <v>7</v>
      </c>
      <c r="D4" s="5" t="s">
        <v>7</v>
      </c>
      <c r="E4" s="5" t="s">
        <v>8</v>
      </c>
      <c r="F4" s="5" t="s">
        <v>8</v>
      </c>
      <c r="G4" s="5" t="s">
        <v>10</v>
      </c>
      <c r="H4" s="5" t="s">
        <v>8</v>
      </c>
      <c r="I4" s="5" t="s">
        <v>10</v>
      </c>
      <c r="J4" s="5" t="s">
        <v>10</v>
      </c>
      <c r="K4" s="5" t="s">
        <v>8</v>
      </c>
      <c r="L4" s="5" t="s">
        <v>7</v>
      </c>
      <c r="M4" s="5" t="s">
        <v>8</v>
      </c>
      <c r="N4" s="5" t="s">
        <v>10</v>
      </c>
      <c r="O4" s="5" t="s">
        <v>8</v>
      </c>
      <c r="P4" s="5" t="s">
        <v>8</v>
      </c>
      <c r="Q4" s="5" t="s">
        <v>8</v>
      </c>
      <c r="R4" s="5" t="s">
        <v>8</v>
      </c>
      <c r="S4" s="5" t="s">
        <v>7</v>
      </c>
      <c r="T4" s="5" t="s">
        <v>10</v>
      </c>
      <c r="U4" s="5"/>
      <c r="V4" s="5" t="s">
        <v>8</v>
      </c>
      <c r="W4" s="5" t="s">
        <v>10</v>
      </c>
      <c r="X4" s="5" t="s">
        <v>7</v>
      </c>
      <c r="Y4" s="5" t="s">
        <v>10</v>
      </c>
      <c r="Z4" s="5" t="s">
        <v>7</v>
      </c>
      <c r="AA4" s="5" t="s">
        <v>7</v>
      </c>
      <c r="AB4" s="5" t="s">
        <v>8</v>
      </c>
      <c r="AC4" s="5" t="s">
        <v>7</v>
      </c>
      <c r="AD4" s="5" t="s">
        <v>8</v>
      </c>
      <c r="AE4" s="5" t="s">
        <v>8</v>
      </c>
      <c r="AF4" s="5" t="s">
        <v>7</v>
      </c>
      <c r="AG4" s="5" t="s">
        <v>8</v>
      </c>
      <c r="AH4" s="5" t="s">
        <v>8</v>
      </c>
      <c r="AI4" s="5" t="s">
        <v>7</v>
      </c>
      <c r="AJ4" s="5" t="s">
        <v>53</v>
      </c>
    </row>
    <row r="5" spans="1:36" s="9" customFormat="1" x14ac:dyDescent="0.25">
      <c r="A5" s="4" t="s">
        <v>33</v>
      </c>
      <c r="B5" s="4" t="s">
        <v>32</v>
      </c>
      <c r="C5" s="6" t="s">
        <v>49</v>
      </c>
      <c r="D5" s="6" t="s">
        <v>49</v>
      </c>
      <c r="E5" s="6" t="s">
        <v>49</v>
      </c>
      <c r="F5" s="6" t="s">
        <v>49</v>
      </c>
      <c r="G5" s="6" t="s">
        <v>49</v>
      </c>
      <c r="H5" s="6" t="s">
        <v>49</v>
      </c>
      <c r="I5" s="6" t="s">
        <v>49</v>
      </c>
      <c r="J5" s="6" t="s">
        <v>49</v>
      </c>
      <c r="K5" s="6" t="s">
        <v>49</v>
      </c>
      <c r="L5" s="6" t="s">
        <v>49</v>
      </c>
      <c r="M5" s="6" t="s">
        <v>49</v>
      </c>
      <c r="N5" s="6" t="s">
        <v>49</v>
      </c>
      <c r="O5" s="6" t="s">
        <v>49</v>
      </c>
      <c r="P5" s="6" t="s">
        <v>49</v>
      </c>
      <c r="Q5" s="6" t="s">
        <v>49</v>
      </c>
      <c r="R5" s="6" t="s">
        <v>49</v>
      </c>
      <c r="S5" s="6" t="s">
        <v>49</v>
      </c>
      <c r="T5" s="6" t="s">
        <v>49</v>
      </c>
      <c r="U5" s="6" t="s">
        <v>49</v>
      </c>
      <c r="V5" s="6" t="s">
        <v>49</v>
      </c>
      <c r="W5" s="6" t="s">
        <v>49</v>
      </c>
      <c r="X5" s="6" t="s">
        <v>49</v>
      </c>
      <c r="Y5" s="6" t="s">
        <v>49</v>
      </c>
      <c r="Z5" s="6" t="s">
        <v>49</v>
      </c>
      <c r="AA5" s="6" t="s">
        <v>49</v>
      </c>
      <c r="AB5" s="6" t="s">
        <v>49</v>
      </c>
      <c r="AC5" s="6" t="s">
        <v>49</v>
      </c>
      <c r="AD5" s="6" t="s">
        <v>49</v>
      </c>
      <c r="AE5" s="6" t="s">
        <v>49</v>
      </c>
      <c r="AF5" s="6" t="s">
        <v>49</v>
      </c>
      <c r="AG5" s="6" t="s">
        <v>49</v>
      </c>
      <c r="AH5" s="6" t="s">
        <v>49</v>
      </c>
      <c r="AI5" s="6" t="s">
        <v>49</v>
      </c>
      <c r="AJ5" s="6" t="s">
        <v>49</v>
      </c>
    </row>
    <row r="6" spans="1:36" s="2" customFormat="1" ht="54.6" hidden="1" customHeight="1" x14ac:dyDescent="0.25">
      <c r="A6" s="4" t="s">
        <v>33</v>
      </c>
      <c r="B6" s="5" t="s">
        <v>29</v>
      </c>
      <c r="C6" s="7" t="str">
        <f t="shared" ref="C6:X6" si="0">CONCATENATE(C2,", ",C4,", ","in ",C5)</f>
        <v>UK, Exports, in s/ton</v>
      </c>
      <c r="D6" s="7" t="str">
        <f t="shared" si="0"/>
        <v>UK, Exports, in s/ton</v>
      </c>
      <c r="E6" s="7" t="str">
        <f t="shared" si="0"/>
        <v>Baghdad, Imports, in s/ton</v>
      </c>
      <c r="F6" s="7" t="str">
        <f t="shared" si="0"/>
        <v>Baghdad, Imports, in s/ton</v>
      </c>
      <c r="G6" s="7" t="str">
        <f t="shared" si="0"/>
        <v>Baghdad, Bazaar (Local), in s/ton</v>
      </c>
      <c r="H6" s="7" t="str">
        <f t="shared" si="0"/>
        <v>Basrah, Imports, in s/ton</v>
      </c>
      <c r="I6" s="7" t="str">
        <f t="shared" si="0"/>
        <v>Basrah, Bazaar (Local), in s/ton</v>
      </c>
      <c r="J6" s="7" t="str">
        <f t="shared" si="0"/>
        <v>Mosul, Bazaar (Local), in s/ton</v>
      </c>
      <c r="K6" s="7" t="str">
        <f>CONCATENATE(K2,", ",K4,", ","in ",K5)</f>
        <v>Egypt, Imports, in s/ton</v>
      </c>
      <c r="L6" s="7" t="str">
        <f>CONCATENATE(L2,", ",L4,", ","in ",L5)</f>
        <v>Egypt, Exports, in s/ton</v>
      </c>
      <c r="M6" s="7" t="str">
        <f t="shared" si="0"/>
        <v>Palestine, Imports, in s/ton</v>
      </c>
      <c r="N6" s="7" t="str">
        <f t="shared" si="0"/>
        <v>Palestine, Bazaar (Local), in s/ton</v>
      </c>
      <c r="O6" s="7" t="str">
        <f t="shared" si="0"/>
        <v>Damascus, Imports, in s/ton</v>
      </c>
      <c r="P6" s="7" t="str">
        <f t="shared" si="0"/>
        <v>Beirut, Imports, in s/ton</v>
      </c>
      <c r="Q6" s="7" t="str">
        <f t="shared" si="0"/>
        <v>Turkey, Imports, in s/ton</v>
      </c>
      <c r="R6" s="7" t="str">
        <f t="shared" si="0"/>
        <v>Constantinople, Imports, in s/ton</v>
      </c>
      <c r="S6" s="7" t="str">
        <f t="shared" si="0"/>
        <v>Constantinople, Exports, in s/ton</v>
      </c>
      <c r="T6" s="7" t="str">
        <f t="shared" si="0"/>
        <v>Constantinople, Bazaar (Local), in s/ton</v>
      </c>
      <c r="U6" s="7" t="str">
        <f t="shared" si="0"/>
        <v>Izmir, , in s/ton</v>
      </c>
      <c r="V6" s="7" t="str">
        <f t="shared" si="0"/>
        <v>Alexandretta, Imports, in s/ton</v>
      </c>
      <c r="W6" s="7" t="str">
        <f t="shared" si="0"/>
        <v>Ispahan, Bazaar (Local), in s/ton</v>
      </c>
      <c r="X6" s="7" t="str">
        <f t="shared" si="0"/>
        <v>Khorasan, Exports, in s/ton</v>
      </c>
      <c r="Y6" s="7" t="str">
        <f t="shared" ref="Y6:AJ6" si="1">CONCATENATE(Y2,", ",Y4,", ","in ",Y5)</f>
        <v>Kerman, Bazaar (Local), in s/ton</v>
      </c>
      <c r="Z6" s="7" t="str">
        <f t="shared" si="1"/>
        <v>Resht, Exports, in s/ton</v>
      </c>
      <c r="AA6" s="7" t="str">
        <f t="shared" si="1"/>
        <v>Ghilan &amp; Tunekabun, Exports, in s/ton</v>
      </c>
      <c r="AB6" s="7" t="str">
        <f t="shared" si="1"/>
        <v>Bahrain, Imports, in s/ton</v>
      </c>
      <c r="AC6" s="7" t="str">
        <f t="shared" si="1"/>
        <v>Bahrain, Exports, in s/ton</v>
      </c>
      <c r="AD6" s="7" t="str">
        <f t="shared" si="1"/>
        <v>Mohammerah, Imports, in s/ton</v>
      </c>
      <c r="AE6" s="7" t="str">
        <f t="shared" si="1"/>
        <v>Lingah, Imports, in s/ton</v>
      </c>
      <c r="AF6" s="7" t="str">
        <f t="shared" si="1"/>
        <v>Lingah, Exports, in s/ton</v>
      </c>
      <c r="AG6" s="7" t="str">
        <f t="shared" si="1"/>
        <v>India, Imports, in s/ton</v>
      </c>
      <c r="AH6" s="7" t="str">
        <f>CONCATENATE(AH2,", ",AH3,", ",AH4,", ","in ",AH5)</f>
        <v>India, Coal and Coke, Imports, in s/ton</v>
      </c>
      <c r="AI6" s="7" t="str">
        <f t="shared" si="1"/>
        <v>India, Exports, in s/ton</v>
      </c>
      <c r="AJ6" s="7" t="str">
        <f t="shared" si="1"/>
        <v>India, Production, in s/ton</v>
      </c>
    </row>
    <row r="7" spans="1:36" x14ac:dyDescent="0.25">
      <c r="A7" s="8">
        <v>1840</v>
      </c>
      <c r="C7" s="1"/>
      <c r="D7" s="1">
        <v>7.09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6" x14ac:dyDescent="0.25">
      <c r="A8" s="8">
        <f t="shared" ref="A8:A71" si="2">A7+1</f>
        <v>1841</v>
      </c>
      <c r="C8" s="1"/>
      <c r="D8" s="1">
        <v>7.23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6" x14ac:dyDescent="0.25">
      <c r="A9" s="8">
        <f t="shared" si="2"/>
        <v>1842</v>
      </c>
      <c r="C9" s="1"/>
      <c r="D9" s="1">
        <v>7.24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6" x14ac:dyDescent="0.25">
      <c r="A10" s="8">
        <f t="shared" si="2"/>
        <v>1843</v>
      </c>
      <c r="C10" s="1"/>
      <c r="D10" s="1">
        <v>7.18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6" x14ac:dyDescent="0.25">
      <c r="A11" s="8">
        <f t="shared" si="2"/>
        <v>1844</v>
      </c>
      <c r="C11" s="1"/>
      <c r="D11" s="1">
        <v>7.44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6" x14ac:dyDescent="0.25">
      <c r="A12" s="8">
        <f t="shared" si="2"/>
        <v>1845</v>
      </c>
      <c r="C12" s="1"/>
      <c r="D12" s="1">
        <v>7.48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6" x14ac:dyDescent="0.25">
      <c r="A13" s="8">
        <f t="shared" si="2"/>
        <v>1846</v>
      </c>
      <c r="C13" s="1"/>
      <c r="D13" s="1">
        <v>7.45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6" x14ac:dyDescent="0.25">
      <c r="A14" s="8">
        <f t="shared" si="2"/>
        <v>1847</v>
      </c>
      <c r="C14" s="1">
        <v>7.8005574346568753</v>
      </c>
      <c r="D14" s="1">
        <v>7.61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6" x14ac:dyDescent="0.25">
      <c r="A15" s="8">
        <f t="shared" si="2"/>
        <v>1848</v>
      </c>
      <c r="C15" s="1">
        <v>7.8140279991282817</v>
      </c>
      <c r="D15" s="1">
        <v>7.65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6" x14ac:dyDescent="0.25">
      <c r="A16" s="8">
        <f t="shared" si="2"/>
        <v>1849</v>
      </c>
      <c r="C16" s="1">
        <v>7.6881683739156355</v>
      </c>
      <c r="D16" s="1">
        <v>7.53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3" x14ac:dyDescent="0.25">
      <c r="A17" s="8">
        <f t="shared" si="2"/>
        <v>1850</v>
      </c>
      <c r="C17" s="1">
        <v>7.6627086888552096</v>
      </c>
      <c r="D17" s="1">
        <v>7.51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3" x14ac:dyDescent="0.25">
      <c r="A18" s="8">
        <f t="shared" si="2"/>
        <v>1851</v>
      </c>
      <c r="C18" s="1">
        <v>7.5101980801748276</v>
      </c>
      <c r="D18" s="1">
        <v>7.36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3" x14ac:dyDescent="0.25">
      <c r="A19" s="8">
        <f t="shared" si="2"/>
        <v>1852</v>
      </c>
      <c r="C19" s="1">
        <v>7.5386861249702628</v>
      </c>
      <c r="D19" s="1">
        <v>7.4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x14ac:dyDescent="0.25">
      <c r="A20" s="8">
        <f t="shared" si="2"/>
        <v>1853</v>
      </c>
      <c r="C20" s="1">
        <v>8.1553530795702827</v>
      </c>
      <c r="D20" s="1">
        <v>8.0299999999999994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3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3" x14ac:dyDescent="0.25">
      <c r="A21" s="8">
        <f t="shared" si="2"/>
        <v>1854</v>
      </c>
      <c r="C21" s="1">
        <v>9.8725000029007344</v>
      </c>
      <c r="D21" s="1">
        <v>9.59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3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3" x14ac:dyDescent="0.25">
      <c r="A22" s="8">
        <f t="shared" si="2"/>
        <v>1855</v>
      </c>
      <c r="C22" s="1">
        <v>9.8307782632649783</v>
      </c>
      <c r="D22" s="1">
        <v>9.51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3" x14ac:dyDescent="0.25">
      <c r="A23" s="8">
        <f t="shared" si="2"/>
        <v>1856</v>
      </c>
      <c r="C23" s="1">
        <v>9.6145858543322795</v>
      </c>
      <c r="D23" s="1">
        <v>9.35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3" x14ac:dyDescent="0.25">
      <c r="A24" s="8">
        <f t="shared" si="2"/>
        <v>1857</v>
      </c>
      <c r="C24" s="1">
        <v>9.530410741440944</v>
      </c>
      <c r="D24" s="1">
        <v>9.31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3" x14ac:dyDescent="0.25">
      <c r="A25" s="8">
        <f t="shared" si="2"/>
        <v>1858</v>
      </c>
      <c r="C25" s="1">
        <v>9.3282546259788095</v>
      </c>
      <c r="D25" s="1">
        <v>9.1300000000000008</v>
      </c>
      <c r="E25" s="1"/>
      <c r="F25" s="1"/>
      <c r="G25" s="1"/>
      <c r="H25" s="1"/>
      <c r="I25" s="1"/>
      <c r="J25" s="1"/>
      <c r="K25" s="1"/>
      <c r="L25" s="1"/>
      <c r="M25" s="1"/>
      <c r="N25" s="3">
        <f>20*2240*0.0033749472428247</f>
        <v>151.19763647854657</v>
      </c>
      <c r="O25" s="1"/>
      <c r="P25" s="1"/>
      <c r="Q25" s="1"/>
      <c r="R25" s="1"/>
      <c r="S25" s="1"/>
      <c r="T25" s="1"/>
      <c r="U25" s="1"/>
      <c r="V25" s="13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3" x14ac:dyDescent="0.25">
      <c r="A26" s="8">
        <f t="shared" si="2"/>
        <v>1859</v>
      </c>
      <c r="C26" s="1">
        <v>9.3336286592067381</v>
      </c>
      <c r="D26" s="1">
        <v>9.18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3" x14ac:dyDescent="0.25">
      <c r="A27" s="8">
        <f t="shared" si="2"/>
        <v>1860</v>
      </c>
      <c r="C27" s="1">
        <v>9.058609921669877</v>
      </c>
      <c r="D27" s="1">
        <v>8.89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3" x14ac:dyDescent="0.25">
      <c r="A28" s="8">
        <f t="shared" si="2"/>
        <v>1861</v>
      </c>
      <c r="C28" s="1">
        <v>9.2053971653086037</v>
      </c>
      <c r="D28" s="1">
        <v>9.01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3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3" x14ac:dyDescent="0.25">
      <c r="A29" s="8">
        <f t="shared" si="2"/>
        <v>1862</v>
      </c>
      <c r="C29" s="1">
        <v>9.0654461759813323</v>
      </c>
      <c r="D29" s="1">
        <v>8.89</v>
      </c>
      <c r="E29" s="1"/>
      <c r="F29" s="1"/>
      <c r="G29" s="1"/>
      <c r="H29" s="1"/>
      <c r="I29" s="1"/>
      <c r="J29" s="1"/>
      <c r="K29" s="1"/>
      <c r="L29" s="1"/>
      <c r="M29" s="1"/>
      <c r="N29" s="3"/>
      <c r="O29" s="1"/>
      <c r="P29" s="1"/>
      <c r="Q29" s="1"/>
      <c r="R29" s="1"/>
      <c r="S29" s="1"/>
      <c r="T29" s="1"/>
      <c r="U29" s="1"/>
      <c r="V29" s="13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3" x14ac:dyDescent="0.25">
      <c r="A30" s="8">
        <f t="shared" si="2"/>
        <v>1863</v>
      </c>
      <c r="C30" s="1">
        <v>8.9956439916092297</v>
      </c>
      <c r="D30" s="1">
        <v>8.84</v>
      </c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3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3" x14ac:dyDescent="0.25">
      <c r="A31" s="8">
        <f t="shared" si="2"/>
        <v>1864</v>
      </c>
      <c r="C31" s="1">
        <v>9.4842010984991134</v>
      </c>
      <c r="D31" s="1">
        <v>9.31</v>
      </c>
      <c r="E31" s="1"/>
      <c r="F31" s="1"/>
      <c r="G31" s="1"/>
      <c r="H31" s="1"/>
      <c r="I31" s="1">
        <f>20*2240*0.00487938596491228</f>
        <v>218.59649122807016</v>
      </c>
      <c r="J31" s="1"/>
      <c r="K31" s="1"/>
      <c r="L31" s="1"/>
      <c r="M31" s="1"/>
      <c r="N31" s="3"/>
      <c r="O31" s="1"/>
      <c r="P31" s="1"/>
      <c r="Q31" s="1"/>
      <c r="R31" s="1"/>
      <c r="S31" s="1"/>
      <c r="T31" s="1"/>
      <c r="U31" s="1">
        <v>42</v>
      </c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3" x14ac:dyDescent="0.25">
      <c r="A32" s="8">
        <f t="shared" si="2"/>
        <v>1865</v>
      </c>
      <c r="C32" s="1">
        <v>9.69</v>
      </c>
      <c r="D32" s="1">
        <v>9.49</v>
      </c>
      <c r="E32" s="1"/>
      <c r="F32" s="1"/>
      <c r="G32" s="1"/>
      <c r="H32" s="1"/>
      <c r="I32" s="1">
        <f>20*2240*0.00315241228070176</f>
        <v>141.22807017543883</v>
      </c>
      <c r="J32" s="1"/>
      <c r="K32" s="1"/>
      <c r="L32" s="1"/>
      <c r="M32" s="1"/>
      <c r="N32" s="3"/>
      <c r="O32" s="1"/>
      <c r="P32" s="1"/>
      <c r="Q32" s="1"/>
      <c r="R32" s="1"/>
      <c r="S32" s="1"/>
      <c r="T32" s="1"/>
      <c r="U32" s="1">
        <v>35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v>41.473361323542186</v>
      </c>
    </row>
    <row r="33" spans="1:34" x14ac:dyDescent="0.25">
      <c r="A33" s="8">
        <f t="shared" si="2"/>
        <v>1866</v>
      </c>
      <c r="C33" s="1">
        <v>10.29</v>
      </c>
      <c r="D33" s="1">
        <v>10.1</v>
      </c>
      <c r="E33" s="1"/>
      <c r="F33" s="1"/>
      <c r="G33" s="1">
        <f>20*2240*0.0018262959</f>
        <v>81.818056319999997</v>
      </c>
      <c r="H33" s="1"/>
      <c r="I33" s="3">
        <f>20*2240*0.0025219298245614</f>
        <v>112.98245614035072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>
        <v>30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v>38.652651646823671</v>
      </c>
    </row>
    <row r="34" spans="1:34" x14ac:dyDescent="0.25">
      <c r="A34" s="8">
        <f t="shared" si="2"/>
        <v>1867</v>
      </c>
      <c r="C34" s="1">
        <v>10.39</v>
      </c>
      <c r="D34" s="1">
        <v>10.18</v>
      </c>
      <c r="E34" s="1"/>
      <c r="F34" s="1"/>
      <c r="G34" s="1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v>41.606565568784212</v>
      </c>
    </row>
    <row r="35" spans="1:34" x14ac:dyDescent="0.25">
      <c r="A35" s="8">
        <f t="shared" si="2"/>
        <v>1868</v>
      </c>
      <c r="C35" s="1">
        <v>9.92</v>
      </c>
      <c r="D35" s="1">
        <v>9.75</v>
      </c>
      <c r="E35" s="1"/>
      <c r="F35" s="1"/>
      <c r="G35" s="1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>
        <v>35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v>44.869825613394738</v>
      </c>
      <c r="AH35" s="15">
        <v>44.324697467891241</v>
      </c>
    </row>
    <row r="36" spans="1:34" x14ac:dyDescent="0.25">
      <c r="A36" s="8">
        <f t="shared" si="2"/>
        <v>1869</v>
      </c>
      <c r="C36" s="1">
        <v>9.6199999999999992</v>
      </c>
      <c r="D36" s="1">
        <v>9.48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>
        <v>35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v>34.915125937834937</v>
      </c>
      <c r="AH36" s="15">
        <v>40.914990840946828</v>
      </c>
    </row>
    <row r="37" spans="1:34" x14ac:dyDescent="0.25">
      <c r="A37" s="8">
        <f t="shared" si="2"/>
        <v>1870</v>
      </c>
      <c r="C37" s="1">
        <v>9.64</v>
      </c>
      <c r="D37" s="1">
        <v>9.4700000000000006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v>28.368112887807417</v>
      </c>
      <c r="AH37" s="15">
        <v>32.310969874459602</v>
      </c>
    </row>
    <row r="38" spans="1:34" x14ac:dyDescent="0.25">
      <c r="A38" s="8">
        <f t="shared" si="2"/>
        <v>1871</v>
      </c>
      <c r="C38" s="1">
        <v>9.8000000000000007</v>
      </c>
      <c r="D38" s="1">
        <v>9.6300000000000008</v>
      </c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>
        <f>20*1.55</f>
        <v>31</v>
      </c>
      <c r="S38" s="1"/>
      <c r="T38" s="1"/>
      <c r="U38" s="1">
        <v>34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v>36.368174444540998</v>
      </c>
      <c r="AH38" s="15">
        <v>32.643511076944584</v>
      </c>
    </row>
    <row r="39" spans="1:34" x14ac:dyDescent="0.25">
      <c r="A39" s="8">
        <f t="shared" si="2"/>
        <v>1872</v>
      </c>
      <c r="C39" s="1">
        <v>15.83</v>
      </c>
      <c r="D39" s="1">
        <v>15.51</v>
      </c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>
        <f>20*2.125</f>
        <v>42.5</v>
      </c>
      <c r="S39" s="1"/>
      <c r="T39" s="1"/>
      <c r="U39" s="1">
        <v>52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v>34.842912647374064</v>
      </c>
      <c r="AH39" s="15">
        <v>27.516803993938534</v>
      </c>
    </row>
    <row r="40" spans="1:34" x14ac:dyDescent="0.25">
      <c r="A40" s="8">
        <f t="shared" si="2"/>
        <v>1873</v>
      </c>
      <c r="C40" s="1">
        <v>20.9</v>
      </c>
      <c r="D40" s="1">
        <v>20.49</v>
      </c>
      <c r="E40" s="1"/>
      <c r="F40" s="1"/>
      <c r="G40" s="1"/>
      <c r="H40" s="3"/>
      <c r="J40" s="1"/>
      <c r="K40" s="1"/>
      <c r="L40" s="1"/>
      <c r="M40" s="1"/>
      <c r="N40" s="1"/>
      <c r="O40" s="1"/>
      <c r="P40" s="1"/>
      <c r="Q40" s="1"/>
      <c r="R40" s="1">
        <f>20*2.05</f>
        <v>41</v>
      </c>
      <c r="S40" s="1"/>
      <c r="T40" s="1"/>
      <c r="U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v>49.496314496314447</v>
      </c>
      <c r="AH40" s="15">
        <v>30.676753799616804</v>
      </c>
    </row>
    <row r="41" spans="1:34" x14ac:dyDescent="0.25">
      <c r="A41" s="8">
        <f t="shared" si="2"/>
        <v>1874</v>
      </c>
      <c r="C41" s="1">
        <v>17.21</v>
      </c>
      <c r="D41" s="1">
        <v>16.98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f>20*1.55</f>
        <v>31</v>
      </c>
      <c r="S41" s="1"/>
      <c r="T41" s="1"/>
      <c r="U41" s="1">
        <v>50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v>53.488943488943491</v>
      </c>
      <c r="AH41" s="15">
        <v>41.123636090835589</v>
      </c>
    </row>
    <row r="42" spans="1:34" x14ac:dyDescent="0.25">
      <c r="A42" s="8">
        <f t="shared" si="2"/>
        <v>1875</v>
      </c>
      <c r="C42" s="1">
        <v>13.28</v>
      </c>
      <c r="D42" s="1">
        <v>13.1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f>20*1.4</f>
        <v>28</v>
      </c>
      <c r="S42" s="1"/>
      <c r="T42" s="1"/>
      <c r="U42" s="1">
        <v>34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v>34.469696969696969</v>
      </c>
      <c r="AH42" s="15">
        <v>38.121496819301001</v>
      </c>
    </row>
    <row r="43" spans="1:34" x14ac:dyDescent="0.25">
      <c r="A43" s="8">
        <f t="shared" si="2"/>
        <v>1876</v>
      </c>
      <c r="C43" s="1">
        <v>10.93</v>
      </c>
      <c r="D43" s="1">
        <v>10.8</v>
      </c>
      <c r="E43" s="1"/>
      <c r="F43" s="1"/>
      <c r="G43" s="1"/>
      <c r="H43" s="1"/>
      <c r="I43" s="1"/>
      <c r="J43" s="1"/>
      <c r="K43" s="1"/>
      <c r="L43" s="1"/>
      <c r="M43" s="1">
        <f>20*2240*0.000726744186046512</f>
        <v>32.558139534883743</v>
      </c>
      <c r="N43" s="1"/>
      <c r="O43" s="1"/>
      <c r="P43" s="1"/>
      <c r="Q43" s="1"/>
      <c r="S43" s="1"/>
      <c r="T43" s="1"/>
      <c r="U43" s="3">
        <v>42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v>36.289926289926292</v>
      </c>
      <c r="AH43" s="15">
        <v>35.107241575760135</v>
      </c>
    </row>
    <row r="44" spans="1:34" x14ac:dyDescent="0.25">
      <c r="A44" s="8">
        <f t="shared" si="2"/>
        <v>1877</v>
      </c>
      <c r="C44" s="1">
        <v>10.17</v>
      </c>
      <c r="D44" s="1">
        <v>10.050000000000001</v>
      </c>
      <c r="E44" s="1"/>
      <c r="F44" s="1"/>
      <c r="H44" s="1"/>
      <c r="I44" s="1"/>
      <c r="J44" s="1"/>
      <c r="K44" s="1"/>
      <c r="L44" s="1"/>
      <c r="M44" s="3">
        <f>20*2240*0.000666880862193362</f>
        <v>29.876262626262616</v>
      </c>
      <c r="N44" s="1"/>
      <c r="O44" s="1"/>
      <c r="P44" s="1">
        <v>33.333333333333336</v>
      </c>
      <c r="Q44" s="1"/>
      <c r="S44" s="1"/>
      <c r="T44" s="1"/>
      <c r="U44" s="3">
        <v>39.952867242733696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v>30.750665438165441</v>
      </c>
      <c r="AH44" s="15">
        <v>35.864036075361014</v>
      </c>
    </row>
    <row r="45" spans="1:34" x14ac:dyDescent="0.25">
      <c r="A45" s="8">
        <f t="shared" si="2"/>
        <v>1878</v>
      </c>
      <c r="C45" s="1">
        <v>9.4600000000000009</v>
      </c>
      <c r="D45" s="1">
        <v>9.35</v>
      </c>
      <c r="E45" s="1"/>
      <c r="F45" s="1"/>
      <c r="H45" s="1"/>
      <c r="I45" s="1"/>
      <c r="J45" s="1"/>
      <c r="K45" s="1"/>
      <c r="L45" s="1"/>
      <c r="M45" s="1"/>
      <c r="N45" s="1"/>
      <c r="O45" s="1"/>
      <c r="P45" s="1">
        <v>31.25</v>
      </c>
      <c r="Q45" s="1"/>
      <c r="R45" s="1">
        <f>20*1.125</f>
        <v>22.5</v>
      </c>
      <c r="S45" s="1"/>
      <c r="T45" s="1"/>
      <c r="U45" s="3">
        <v>40</v>
      </c>
      <c r="W45" s="1"/>
      <c r="X45" s="1"/>
      <c r="Y45" s="1"/>
      <c r="AA45" s="1"/>
      <c r="AB45" s="1"/>
      <c r="AC45" s="1"/>
      <c r="AD45" s="1"/>
      <c r="AE45" s="1"/>
      <c r="AF45" s="1"/>
      <c r="AG45" s="1">
        <v>30.134111384111382</v>
      </c>
      <c r="AH45" s="15">
        <v>28.872706976454619</v>
      </c>
    </row>
    <row r="46" spans="1:34" x14ac:dyDescent="0.25">
      <c r="A46" s="8">
        <f t="shared" si="2"/>
        <v>1879</v>
      </c>
      <c r="C46" s="1">
        <v>8.77</v>
      </c>
      <c r="D46" s="1">
        <v>8.6300000000000008</v>
      </c>
      <c r="E46" s="1"/>
      <c r="F46" s="1"/>
      <c r="G46" s="1"/>
      <c r="H46" s="1"/>
      <c r="I46" s="1"/>
      <c r="J46" s="1"/>
      <c r="K46" s="1"/>
      <c r="L46" s="1"/>
      <c r="M46" s="3">
        <f>20*2240*0.000694444444444444</f>
        <v>31.111111111111093</v>
      </c>
      <c r="N46" s="1"/>
      <c r="O46" s="1"/>
      <c r="P46" s="1"/>
      <c r="Q46" s="1"/>
      <c r="S46" s="1"/>
      <c r="T46" s="1"/>
      <c r="U46" s="3">
        <v>40</v>
      </c>
      <c r="W46" s="1"/>
      <c r="X46" s="1"/>
      <c r="Y46" s="1"/>
      <c r="AA46" s="1"/>
      <c r="AB46" s="1"/>
      <c r="AC46" s="1"/>
      <c r="AD46" s="1"/>
      <c r="AE46" s="1"/>
      <c r="AF46" s="1"/>
      <c r="AG46" s="1">
        <v>34.208640458640467</v>
      </c>
      <c r="AH46" s="15">
        <v>31.376353108221334</v>
      </c>
    </row>
    <row r="47" spans="1:34" x14ac:dyDescent="0.25">
      <c r="A47" s="8">
        <f t="shared" si="2"/>
        <v>1880</v>
      </c>
      <c r="C47" s="1">
        <v>8.9499999999999993</v>
      </c>
      <c r="D47" s="1">
        <v>8.76</v>
      </c>
      <c r="E47" s="1"/>
      <c r="F47" s="1"/>
      <c r="G47" s="1"/>
      <c r="H47" s="1"/>
      <c r="I47" s="1"/>
      <c r="J47" s="1"/>
      <c r="K47" s="1"/>
      <c r="L47" s="1"/>
      <c r="M47" s="1">
        <f>20*2240*0.000744047619047619</f>
        <v>33.333333333333329</v>
      </c>
      <c r="N47" s="3">
        <f>20*2240*0.00153406692855668</f>
        <v>68.726198399339268</v>
      </c>
      <c r="O47" s="1"/>
      <c r="P47" s="1"/>
      <c r="Q47" s="1"/>
      <c r="S47" s="1"/>
      <c r="T47" s="1"/>
      <c r="U47" s="3">
        <v>40</v>
      </c>
      <c r="W47" s="1"/>
      <c r="X47" s="1"/>
      <c r="Y47" s="1"/>
      <c r="AA47" s="1"/>
      <c r="AB47" s="1"/>
      <c r="AC47" s="1"/>
      <c r="AD47" s="1"/>
      <c r="AE47" s="1"/>
      <c r="AF47" s="1"/>
      <c r="AG47" s="1">
        <v>32.522522522522529</v>
      </c>
      <c r="AH47" s="15">
        <v>33.138138751070954</v>
      </c>
    </row>
    <row r="48" spans="1:34" x14ac:dyDescent="0.25">
      <c r="A48" s="8">
        <f t="shared" si="2"/>
        <v>1881</v>
      </c>
      <c r="C48" s="1">
        <v>8.9700000000000006</v>
      </c>
      <c r="D48" s="1">
        <v>8.83</v>
      </c>
      <c r="E48" s="1"/>
      <c r="F48" s="1"/>
      <c r="G48" s="1"/>
      <c r="H48" s="1"/>
      <c r="I48" s="1"/>
      <c r="J48" s="1"/>
      <c r="K48" s="1"/>
      <c r="L48" s="1"/>
      <c r="M48" s="1">
        <f>20*2240*0.000793650793650794</f>
        <v>35.555555555555571</v>
      </c>
      <c r="N48" s="1"/>
      <c r="O48" s="1"/>
      <c r="P48" s="1">
        <v>17</v>
      </c>
      <c r="Q48" s="1"/>
      <c r="R48" s="1"/>
      <c r="S48" s="1"/>
      <c r="T48" s="1"/>
      <c r="U48" s="3">
        <v>32</v>
      </c>
      <c r="W48" s="1"/>
      <c r="X48" s="1"/>
      <c r="Y48" s="1"/>
      <c r="AA48" s="1"/>
      <c r="AB48" s="1"/>
      <c r="AC48" s="1"/>
      <c r="AD48" s="1"/>
      <c r="AE48" s="1"/>
      <c r="AF48" s="1"/>
      <c r="AG48" s="1">
        <v>25.716753685503694</v>
      </c>
      <c r="AH48" s="15">
        <v>30.703789493868886</v>
      </c>
    </row>
    <row r="49" spans="1:36" x14ac:dyDescent="0.25">
      <c r="A49" s="8">
        <f t="shared" si="2"/>
        <v>1882</v>
      </c>
      <c r="C49" s="1">
        <v>9.14</v>
      </c>
      <c r="D49" s="1">
        <v>8.99</v>
      </c>
      <c r="E49" s="1"/>
      <c r="F49" s="1"/>
      <c r="G49" s="1"/>
      <c r="H49" s="1"/>
      <c r="I49" s="1"/>
      <c r="J49" s="1"/>
      <c r="K49" s="1"/>
      <c r="L49" s="1"/>
      <c r="M49" s="1">
        <f>20*2240*0.000892857142857143</f>
        <v>40.000000000000007</v>
      </c>
      <c r="N49" s="1"/>
      <c r="O49" s="1"/>
      <c r="P49" s="1">
        <v>25</v>
      </c>
      <c r="Q49" s="1"/>
      <c r="R49" s="1"/>
      <c r="T49" s="1"/>
      <c r="U49" s="3">
        <v>30</v>
      </c>
      <c r="W49" s="1"/>
      <c r="X49" s="1"/>
      <c r="Y49" s="1"/>
      <c r="AA49" s="1"/>
      <c r="AB49" s="1"/>
      <c r="AC49" s="1"/>
      <c r="AD49" s="1"/>
      <c r="AE49" s="1"/>
      <c r="AF49" s="1"/>
      <c r="AG49" s="1">
        <v>21.563267813267814</v>
      </c>
      <c r="AH49" s="15">
        <v>27.076924420926531</v>
      </c>
    </row>
    <row r="50" spans="1:36" x14ac:dyDescent="0.25">
      <c r="A50" s="8">
        <f t="shared" si="2"/>
        <v>1883</v>
      </c>
      <c r="C50" s="1">
        <v>9.35</v>
      </c>
      <c r="D50" s="1">
        <v>9.1999999999999993</v>
      </c>
      <c r="E50" s="1"/>
      <c r="F50" s="1"/>
      <c r="G50" s="1"/>
      <c r="H50" s="1"/>
      <c r="I50" s="1"/>
      <c r="J50" s="1"/>
      <c r="K50" s="1"/>
      <c r="L50" s="1"/>
      <c r="M50" s="1">
        <f>20*2240*0.000922509225092251</f>
        <v>41.328413284132843</v>
      </c>
      <c r="N50" s="1"/>
      <c r="O50" s="1"/>
      <c r="P50" s="1">
        <v>30</v>
      </c>
      <c r="Q50" s="1"/>
      <c r="R50" s="1"/>
      <c r="T50" s="1"/>
      <c r="U50" s="3">
        <v>24.000950768042308</v>
      </c>
      <c r="W50" s="1"/>
      <c r="X50" s="1"/>
      <c r="Y50" s="1"/>
      <c r="AA50" s="1"/>
      <c r="AB50" s="1"/>
      <c r="AC50" s="1"/>
      <c r="AD50" s="1"/>
      <c r="AE50" s="1"/>
      <c r="AF50" s="1"/>
      <c r="AG50" s="1">
        <v>24.225276412776413</v>
      </c>
      <c r="AH50" s="15">
        <v>26.86544943173984</v>
      </c>
    </row>
    <row r="51" spans="1:36" x14ac:dyDescent="0.25">
      <c r="A51" s="8">
        <f t="shared" si="2"/>
        <v>1884</v>
      </c>
      <c r="C51" s="1">
        <v>9.2899999999999991</v>
      </c>
      <c r="D51" s="1">
        <v>9.18</v>
      </c>
      <c r="E51" s="1"/>
      <c r="F51" s="1"/>
      <c r="G51" s="1"/>
      <c r="H51" s="1"/>
      <c r="I51" s="1"/>
      <c r="J51" s="3">
        <f>20*2.63636363636364</f>
        <v>52.727272727272798</v>
      </c>
      <c r="K51" s="3"/>
      <c r="L51" s="3"/>
      <c r="M51" s="1">
        <f>20*2240*0.000951943277310924</f>
        <v>42.647058823529399</v>
      </c>
      <c r="N51" s="1"/>
      <c r="O51" s="1"/>
      <c r="P51" s="1"/>
      <c r="Q51" s="3"/>
      <c r="R51" s="1"/>
      <c r="T51" s="1"/>
      <c r="U51" s="3">
        <v>23.999881379555767</v>
      </c>
      <c r="W51" s="1"/>
      <c r="X51" s="1"/>
      <c r="Y51" s="1"/>
      <c r="AA51" s="3"/>
      <c r="AB51" s="1"/>
      <c r="AC51" s="1"/>
      <c r="AD51" s="3"/>
      <c r="AE51" s="1"/>
      <c r="AF51" s="3"/>
      <c r="AG51" s="1">
        <v>27.157555282555286</v>
      </c>
      <c r="AH51" s="15">
        <v>27.247783611797285</v>
      </c>
    </row>
    <row r="52" spans="1:36" x14ac:dyDescent="0.25">
      <c r="A52" s="8">
        <f t="shared" si="2"/>
        <v>1885</v>
      </c>
      <c r="C52" s="1">
        <v>8.9499999999999993</v>
      </c>
      <c r="D52" s="1">
        <v>8.83</v>
      </c>
      <c r="E52" s="1"/>
      <c r="F52" s="1"/>
      <c r="G52" s="1"/>
      <c r="H52" s="1"/>
      <c r="I52" s="1"/>
      <c r="J52" s="1"/>
      <c r="K52" s="1"/>
      <c r="L52" s="1">
        <v>20.361173814898418</v>
      </c>
      <c r="M52" s="1">
        <f>20*2240*0.000669642857142857</f>
        <v>29.999999999999996</v>
      </c>
      <c r="N52" s="1"/>
      <c r="O52" s="1"/>
      <c r="P52" s="1">
        <v>21.285714285714285</v>
      </c>
      <c r="Q52" s="1"/>
      <c r="R52" s="1">
        <f>20*1.125</f>
        <v>22.5</v>
      </c>
      <c r="S52" s="1"/>
      <c r="T52" s="1"/>
      <c r="U52" s="3">
        <v>22.000058721630111</v>
      </c>
      <c r="W52" s="1"/>
      <c r="X52" s="1"/>
      <c r="Y52" s="1"/>
      <c r="AA52" s="1"/>
      <c r="AB52" s="1"/>
      <c r="AC52" s="1"/>
      <c r="AD52" s="1"/>
      <c r="AE52" s="1"/>
      <c r="AF52" s="1"/>
      <c r="AG52" s="1">
        <v>24.26136363636364</v>
      </c>
      <c r="AH52" s="15">
        <v>27.202021265099351</v>
      </c>
    </row>
    <row r="53" spans="1:36" x14ac:dyDescent="0.25">
      <c r="A53" s="8">
        <f t="shared" si="2"/>
        <v>1886</v>
      </c>
      <c r="C53" s="1">
        <v>8.4499999999999993</v>
      </c>
      <c r="D53" s="1">
        <v>8.32</v>
      </c>
      <c r="E53" s="1"/>
      <c r="F53" s="1"/>
      <c r="G53" s="1"/>
      <c r="H53" s="1"/>
      <c r="I53" s="1"/>
      <c r="J53" s="1"/>
      <c r="K53" s="1"/>
      <c r="L53" s="1">
        <v>19.413333333333334</v>
      </c>
      <c r="M53" s="1">
        <f>20*2240*0.00078125</f>
        <v>35</v>
      </c>
      <c r="N53" s="1"/>
      <c r="O53" s="1"/>
      <c r="P53" s="1">
        <v>21.333333333333332</v>
      </c>
      <c r="Q53" s="1"/>
      <c r="S53" s="1"/>
      <c r="T53" s="1"/>
      <c r="U53" s="3">
        <v>20.999797714170121</v>
      </c>
      <c r="W53" s="1"/>
      <c r="X53" s="1"/>
      <c r="Y53" s="1"/>
      <c r="AA53" s="1"/>
      <c r="AB53" s="1"/>
      <c r="AC53" s="1"/>
      <c r="AD53" s="1"/>
      <c r="AE53" s="1"/>
      <c r="AF53" s="1"/>
      <c r="AG53" s="1">
        <v>20.810810810810814</v>
      </c>
      <c r="AH53" s="15">
        <v>24.590560684462801</v>
      </c>
    </row>
    <row r="54" spans="1:36" x14ac:dyDescent="0.25">
      <c r="A54" s="8">
        <f t="shared" si="2"/>
        <v>1887</v>
      </c>
      <c r="C54" s="1">
        <v>8.32</v>
      </c>
      <c r="D54" s="1">
        <v>8.19</v>
      </c>
      <c r="E54" s="1"/>
      <c r="F54" s="1"/>
      <c r="H54" s="1">
        <f>20*2240*0.000647600333966718</f>
        <v>29.012494961708967</v>
      </c>
      <c r="I54" s="1"/>
      <c r="J54" s="1"/>
      <c r="K54" s="1"/>
      <c r="L54" s="1">
        <v>18.584474885844749</v>
      </c>
      <c r="M54" s="1">
        <f>20*2240*0.00078125</f>
        <v>35</v>
      </c>
      <c r="N54" s="1"/>
      <c r="O54" s="1"/>
      <c r="P54" s="1">
        <v>22.400000000000002</v>
      </c>
      <c r="Q54" s="1"/>
      <c r="R54" s="1"/>
      <c r="S54" s="1"/>
      <c r="T54" s="1"/>
      <c r="U54" s="3"/>
      <c r="W54" s="1"/>
      <c r="X54" s="1"/>
      <c r="Y54" s="1"/>
      <c r="Z54" s="1"/>
      <c r="AA54" s="1"/>
      <c r="AB54" s="1"/>
      <c r="AC54" s="1"/>
      <c r="AD54" s="1"/>
      <c r="AE54" s="1"/>
      <c r="AG54" s="1">
        <v>21.776463963963966</v>
      </c>
      <c r="AH54" s="15">
        <v>25.17379483554771</v>
      </c>
    </row>
    <row r="55" spans="1:36" x14ac:dyDescent="0.25">
      <c r="A55" s="8">
        <f t="shared" si="2"/>
        <v>1888</v>
      </c>
      <c r="C55" s="1">
        <v>8.27</v>
      </c>
      <c r="D55" s="1">
        <v>8.27</v>
      </c>
      <c r="E55" s="1"/>
      <c r="F55" s="1"/>
      <c r="H55" s="1">
        <f>20*2240*0.000798573901574479</f>
        <v>35.776110790536663</v>
      </c>
      <c r="I55" s="1"/>
      <c r="J55" s="1"/>
      <c r="K55" s="1"/>
      <c r="L55" s="1">
        <v>18.455114822546971</v>
      </c>
      <c r="M55" s="1">
        <f>20*2240*0.00078125</f>
        <v>35</v>
      </c>
      <c r="N55" s="1"/>
      <c r="O55" s="1"/>
      <c r="P55" s="1">
        <v>25</v>
      </c>
      <c r="Q55" s="1"/>
      <c r="R55" s="1"/>
      <c r="T55" s="1"/>
      <c r="U55" s="3">
        <v>24</v>
      </c>
      <c r="W55" s="1"/>
      <c r="X55" s="1"/>
      <c r="Y55" s="1"/>
      <c r="Z55" s="1"/>
      <c r="AA55" s="1"/>
      <c r="AB55" s="1">
        <f>20*20*0.0893137254901961</f>
        <v>35.725490196078439</v>
      </c>
      <c r="AC55" s="1"/>
      <c r="AD55" s="1"/>
      <c r="AE55" s="1"/>
      <c r="AG55" s="1">
        <v>27.038288288288296</v>
      </c>
      <c r="AH55" s="15">
        <v>27.531715618048409</v>
      </c>
    </row>
    <row r="56" spans="1:36" x14ac:dyDescent="0.25">
      <c r="A56" s="8">
        <f t="shared" si="2"/>
        <v>1889</v>
      </c>
      <c r="C56" s="1">
        <v>10.06</v>
      </c>
      <c r="D56" s="1">
        <v>10.06</v>
      </c>
      <c r="E56" s="1"/>
      <c r="F56" s="1"/>
      <c r="H56" s="1">
        <f>20*2240*0.000810489166119501</f>
        <v>36.309914642153643</v>
      </c>
      <c r="I56" s="1"/>
      <c r="J56" s="1"/>
      <c r="K56" s="1">
        <v>19.205938827162207</v>
      </c>
      <c r="L56" s="1">
        <v>18.726114649681527</v>
      </c>
      <c r="M56" s="1">
        <f>20*2240*0.00078125</f>
        <v>35</v>
      </c>
      <c r="N56" s="1"/>
      <c r="O56" s="1"/>
      <c r="P56" s="1">
        <v>30</v>
      </c>
      <c r="Q56" s="1"/>
      <c r="R56" s="1">
        <f>20*0.825</f>
        <v>16.5</v>
      </c>
      <c r="S56" s="1"/>
      <c r="T56" s="1"/>
      <c r="U56" s="3">
        <v>23.999845982056911</v>
      </c>
      <c r="W56" s="1"/>
      <c r="X56" s="1"/>
      <c r="Y56" s="1"/>
      <c r="Z56" s="1"/>
      <c r="AA56" s="1"/>
      <c r="AB56" s="1">
        <f>20*20*0.103518123667377</f>
        <v>41.407249466950802</v>
      </c>
      <c r="AC56" s="1"/>
      <c r="AD56" s="1"/>
      <c r="AE56" s="1"/>
      <c r="AG56" s="1">
        <v>24.123157248157248</v>
      </c>
      <c r="AH56" s="15">
        <v>32.000009392963982</v>
      </c>
      <c r="AI56" s="15">
        <v>4.8945536445536444</v>
      </c>
    </row>
    <row r="57" spans="1:36" x14ac:dyDescent="0.25">
      <c r="A57" s="8">
        <f t="shared" si="2"/>
        <v>1890</v>
      </c>
      <c r="C57" s="1">
        <v>12.39</v>
      </c>
      <c r="D57" s="1">
        <v>12.39</v>
      </c>
      <c r="E57" s="1"/>
      <c r="F57" s="1"/>
      <c r="H57" s="1">
        <f>20*2240*0.000823135198135198</f>
        <v>36.876456876456871</v>
      </c>
      <c r="I57" s="1"/>
      <c r="J57" s="1"/>
      <c r="K57" s="1">
        <v>20.674813425262524</v>
      </c>
      <c r="L57" s="1">
        <v>20.163934426229506</v>
      </c>
      <c r="M57" s="1">
        <f>20*2240*0.000669642857142857</f>
        <v>29.999999999999996</v>
      </c>
      <c r="N57" s="1"/>
      <c r="O57" s="1"/>
      <c r="P57" s="1">
        <v>30</v>
      </c>
      <c r="Q57" s="1"/>
      <c r="R57" s="1"/>
      <c r="T57" s="1"/>
      <c r="U57" s="3">
        <v>21.147707979626485</v>
      </c>
      <c r="W57" s="1"/>
      <c r="X57" s="1"/>
      <c r="Y57" s="1"/>
      <c r="Z57" s="1"/>
      <c r="AA57" s="1"/>
      <c r="AB57" s="1">
        <f>20*20*0.142857142857143</f>
        <v>57.142857142857196</v>
      </c>
      <c r="AD57" s="1"/>
      <c r="AE57" s="1"/>
      <c r="AG57" s="1">
        <v>26.592956592956593</v>
      </c>
      <c r="AH57" s="15">
        <v>34.03307741637655</v>
      </c>
      <c r="AI57" s="15">
        <v>5.621672809172809</v>
      </c>
    </row>
    <row r="58" spans="1:36" x14ac:dyDescent="0.25">
      <c r="A58" s="8">
        <f t="shared" si="2"/>
        <v>1891</v>
      </c>
      <c r="C58" s="1">
        <v>11.96</v>
      </c>
      <c r="D58" s="1">
        <v>11.96</v>
      </c>
      <c r="E58" s="1"/>
      <c r="F58" s="1"/>
      <c r="H58" s="1">
        <f>20*2240*0.000700766541640872</f>
        <v>31.394341065511068</v>
      </c>
      <c r="I58" s="1"/>
      <c r="J58" s="1"/>
      <c r="K58" s="1">
        <v>20.689657054454468</v>
      </c>
      <c r="L58" s="1">
        <v>20.170212765957448</v>
      </c>
      <c r="M58" s="1">
        <f>20*2240*0.00170454545454545</f>
        <v>76.363636363636161</v>
      </c>
      <c r="N58" s="1"/>
      <c r="O58" s="1"/>
      <c r="P58" s="1"/>
      <c r="Q58" s="1"/>
      <c r="R58" s="1"/>
      <c r="S58" s="1"/>
      <c r="T58" s="1"/>
      <c r="U58" s="3">
        <v>24</v>
      </c>
      <c r="W58" s="1"/>
      <c r="X58" s="1"/>
      <c r="Y58" s="1"/>
      <c r="Z58" s="1"/>
      <c r="AA58" s="1"/>
      <c r="AB58" s="1">
        <f>20*20*0.125052631578947</f>
        <v>50.021052631578797</v>
      </c>
      <c r="AC58" s="1"/>
      <c r="AD58" s="1">
        <f>20*1.99115044247788</f>
        <v>39.823008849557603</v>
      </c>
      <c r="AE58" s="1"/>
      <c r="AG58" s="1">
        <v>18.453112203112205</v>
      </c>
      <c r="AH58" s="15">
        <v>29.03796621738314</v>
      </c>
      <c r="AI58" s="15">
        <v>5.1207386363636367</v>
      </c>
    </row>
    <row r="59" spans="1:36" x14ac:dyDescent="0.25">
      <c r="A59" s="8">
        <f t="shared" si="2"/>
        <v>1892</v>
      </c>
      <c r="C59" s="1">
        <v>10.89</v>
      </c>
      <c r="D59" s="1">
        <v>10.89</v>
      </c>
      <c r="E59" s="1"/>
      <c r="F59" s="1"/>
      <c r="H59" s="1">
        <f>20*2240*0.000624979417769874</f>
        <v>27.999077916090357</v>
      </c>
      <c r="I59" s="1"/>
      <c r="J59" s="1"/>
      <c r="K59" s="1">
        <v>20.571323483112266</v>
      </c>
      <c r="L59" s="1">
        <v>20.032467532467532</v>
      </c>
      <c r="M59" s="1">
        <f>20*2240*0.00068359375</f>
        <v>30.624999999999996</v>
      </c>
      <c r="N59" s="1"/>
      <c r="O59" s="1"/>
      <c r="P59" s="1">
        <v>20</v>
      </c>
      <c r="Q59" s="1"/>
      <c r="R59" s="1"/>
      <c r="S59" s="1"/>
      <c r="T59" s="1"/>
      <c r="U59" s="3">
        <v>28</v>
      </c>
      <c r="W59" s="3">
        <f>2240*20*0.00302029259084474</f>
        <v>135.30910806984434</v>
      </c>
      <c r="X59" s="1"/>
      <c r="Y59" s="1"/>
      <c r="Z59" s="1"/>
      <c r="AA59" s="1"/>
      <c r="AB59" s="1">
        <f>20*20*0.126875</f>
        <v>50.749999999999993</v>
      </c>
      <c r="AC59" s="1"/>
      <c r="AD59" s="1">
        <f>20*1.75</f>
        <v>35</v>
      </c>
      <c r="AE59" s="1"/>
      <c r="AG59" s="1">
        <v>19.207616707616708</v>
      </c>
      <c r="AH59" s="15">
        <v>22.095932105009805</v>
      </c>
      <c r="AI59" s="15">
        <v>4.5984336609336607</v>
      </c>
    </row>
    <row r="60" spans="1:36" x14ac:dyDescent="0.25">
      <c r="A60" s="8">
        <f t="shared" si="2"/>
        <v>1893</v>
      </c>
      <c r="C60" s="1">
        <v>9.77</v>
      </c>
      <c r="D60" s="1">
        <v>9.77</v>
      </c>
      <c r="E60" s="1"/>
      <c r="F60" s="1"/>
      <c r="H60" s="1">
        <f>20*2240*0.000669642857142857</f>
        <v>29.999999999999996</v>
      </c>
      <c r="I60" s="1"/>
      <c r="J60" s="1"/>
      <c r="K60" s="1">
        <v>15.906455908984222</v>
      </c>
      <c r="L60" s="1">
        <v>15.517241379310345</v>
      </c>
      <c r="M60" s="1">
        <f>20*2240*0.000698234349919743</f>
        <v>31.280898876404486</v>
      </c>
      <c r="N60" s="1"/>
      <c r="O60" s="1"/>
      <c r="P60" s="1">
        <v>20</v>
      </c>
      <c r="Q60" s="1"/>
      <c r="R60" s="1"/>
      <c r="S60" s="1"/>
      <c r="T60" s="1"/>
      <c r="U60" s="3"/>
      <c r="V60" s="1">
        <v>20.65573770491801</v>
      </c>
      <c r="W60" s="3">
        <f>2240*20*0.00261865793780687</f>
        <v>117.31587561374776</v>
      </c>
      <c r="X60" s="1"/>
      <c r="Y60" s="1"/>
      <c r="Z60" s="1"/>
      <c r="AA60" s="1"/>
      <c r="AB60" s="1">
        <f>20*20*0.125045045045045</f>
        <v>50.018018018017997</v>
      </c>
      <c r="AC60" s="1"/>
      <c r="AD60" s="1">
        <f>20*1.592</f>
        <v>31.840000000000003</v>
      </c>
      <c r="AE60" s="1"/>
      <c r="AG60" s="1">
        <v>18.153443766712989</v>
      </c>
      <c r="AH60" s="15">
        <v>22.046971357437112</v>
      </c>
      <c r="AI60" s="15">
        <v>4.0688753270218774</v>
      </c>
    </row>
    <row r="61" spans="1:36" x14ac:dyDescent="0.25">
      <c r="A61" s="8">
        <f t="shared" si="2"/>
        <v>1894</v>
      </c>
      <c r="C61" s="1">
        <v>10.41</v>
      </c>
      <c r="D61" s="1">
        <v>10.41</v>
      </c>
      <c r="E61" s="1"/>
      <c r="F61" s="1"/>
      <c r="H61" s="1">
        <f>20*2240*0.000669557779915422</f>
        <v>29.996188540210909</v>
      </c>
      <c r="I61" s="1"/>
      <c r="J61" s="1"/>
      <c r="K61" s="1">
        <v>12.449537333317233</v>
      </c>
      <c r="L61" s="1">
        <v>14.841628959276019</v>
      </c>
      <c r="M61" s="1">
        <f>20*2240*0.000669642857142857</f>
        <v>29.999999999999996</v>
      </c>
      <c r="N61" s="1"/>
      <c r="O61" s="1"/>
      <c r="P61" s="1">
        <v>28</v>
      </c>
      <c r="Q61" s="1"/>
      <c r="R61" s="1"/>
      <c r="S61" s="1"/>
      <c r="T61" s="1"/>
      <c r="U61" s="3">
        <v>23.999897877120645</v>
      </c>
      <c r="V61" s="1">
        <v>21.693693693693671</v>
      </c>
      <c r="X61" s="1"/>
      <c r="Y61" s="1"/>
      <c r="Z61" s="1"/>
      <c r="AA61" s="1"/>
      <c r="AB61" s="1"/>
      <c r="AC61" s="1"/>
      <c r="AD61" s="1">
        <f>20*1.5</f>
        <v>30</v>
      </c>
      <c r="AE61" s="1"/>
      <c r="AG61" s="1">
        <v>15.89216216184432</v>
      </c>
      <c r="AH61" s="15">
        <v>17.534207003079775</v>
      </c>
      <c r="AI61" s="15">
        <v>3.1909459458821274</v>
      </c>
    </row>
    <row r="62" spans="1:36" x14ac:dyDescent="0.25">
      <c r="A62" s="8">
        <f t="shared" si="2"/>
        <v>1895</v>
      </c>
      <c r="C62" s="1">
        <v>9.2100000000000009</v>
      </c>
      <c r="D62" s="1">
        <v>9.2100000000000009</v>
      </c>
      <c r="E62" s="1"/>
      <c r="F62" s="1"/>
      <c r="H62" s="1">
        <f>20*2240*0.000669642857142857</f>
        <v>29.999999999999996</v>
      </c>
      <c r="I62" s="1"/>
      <c r="J62" s="1"/>
      <c r="K62" s="1">
        <v>13.560604803684825</v>
      </c>
      <c r="L62" s="1">
        <v>13.235294117647058</v>
      </c>
      <c r="M62" s="1">
        <f>20*2240*0.000676207983193277</f>
        <v>30.294117647058808</v>
      </c>
      <c r="N62" s="1"/>
      <c r="O62" s="1"/>
      <c r="P62" s="1"/>
      <c r="Q62" s="1"/>
      <c r="R62" s="1"/>
      <c r="S62" s="1"/>
      <c r="T62" s="1"/>
      <c r="U62" s="3"/>
      <c r="V62" s="1">
        <v>21.963636363636347</v>
      </c>
      <c r="W62" s="1">
        <f>2240*20*0.00307692307692308</f>
        <v>137.84615384615398</v>
      </c>
      <c r="X62" s="1"/>
      <c r="Y62" s="1"/>
      <c r="Z62" s="1"/>
      <c r="AA62" s="1"/>
      <c r="AB62" s="1"/>
      <c r="AC62" s="1"/>
      <c r="AD62" s="1">
        <f>20*1.21428571428571</f>
        <v>24.285714285714199</v>
      </c>
      <c r="AE62" s="1"/>
      <c r="AG62" s="1">
        <v>16.366659628346415</v>
      </c>
      <c r="AH62" s="15">
        <v>18.031342443184862</v>
      </c>
      <c r="AI62" s="15">
        <v>4.2175622888431148</v>
      </c>
      <c r="AJ62" s="15">
        <v>3.6796833180194395</v>
      </c>
    </row>
    <row r="63" spans="1:36" x14ac:dyDescent="0.25">
      <c r="A63" s="8">
        <f t="shared" si="2"/>
        <v>1896</v>
      </c>
      <c r="C63" s="1">
        <v>8.73</v>
      </c>
      <c r="D63" s="1">
        <v>8.73</v>
      </c>
      <c r="E63" s="1"/>
      <c r="F63" s="1"/>
      <c r="H63" s="1">
        <f>20*2240*0.000781194721573622</f>
        <v>34.997523526498263</v>
      </c>
      <c r="I63" s="1"/>
      <c r="J63" s="1"/>
      <c r="K63" s="1">
        <v>12.557838517302814</v>
      </c>
      <c r="L63" s="1">
        <v>12.241379310344826</v>
      </c>
      <c r="M63" s="1">
        <f>20*2240*0.000668098121601582</f>
        <v>29.930795847750872</v>
      </c>
      <c r="N63" s="1"/>
      <c r="O63" s="1"/>
      <c r="P63" s="1">
        <v>26.400000000000002</v>
      </c>
      <c r="Q63" s="1"/>
      <c r="R63" s="1"/>
      <c r="S63" s="1"/>
      <c r="T63" s="1"/>
      <c r="U63" s="3"/>
      <c r="V63" s="1">
        <v>20.610687022900748</v>
      </c>
      <c r="W63" s="3">
        <f>2240*20*0.00380807311500381</f>
        <v>170.60167555217069</v>
      </c>
      <c r="Y63" s="1"/>
      <c r="Z63" s="1"/>
      <c r="AA63" s="1"/>
      <c r="AB63" s="1">
        <f>20*20*0.0492282958199357</f>
        <v>19.69131832797428</v>
      </c>
      <c r="AC63" s="1"/>
      <c r="AD63" s="1">
        <f>20*1.49542961608775</f>
        <v>29.908592321755002</v>
      </c>
      <c r="AE63" s="1"/>
      <c r="AG63" s="1">
        <v>22.972972972923461</v>
      </c>
      <c r="AH63" s="15">
        <v>21.145948769210928</v>
      </c>
      <c r="AI63" s="15">
        <v>4.8817567567462357</v>
      </c>
      <c r="AJ63" s="15">
        <v>3.7560238493352429</v>
      </c>
    </row>
    <row r="64" spans="1:36" x14ac:dyDescent="0.25">
      <c r="A64" s="8">
        <f t="shared" si="2"/>
        <v>1897</v>
      </c>
      <c r="C64" s="1">
        <v>8.82</v>
      </c>
      <c r="D64" s="1">
        <v>8.82</v>
      </c>
      <c r="E64" s="1"/>
      <c r="F64" s="1">
        <f>20*2240*0.00144300144300144</f>
        <v>64.646464646464509</v>
      </c>
      <c r="H64" s="1">
        <f>20*2240*0.000777925934905146</f>
        <v>34.851081883750538</v>
      </c>
      <c r="I64" s="1"/>
      <c r="J64" s="1"/>
      <c r="K64" s="1">
        <v>13.378438823527622</v>
      </c>
      <c r="L64" s="1">
        <v>13.038674033149171</v>
      </c>
      <c r="M64" s="1">
        <f>20*2240*0.000622209821428571</f>
        <v>27.874999999999979</v>
      </c>
      <c r="N64" s="1"/>
      <c r="O64" s="1"/>
      <c r="P64" s="1"/>
      <c r="Q64" s="1"/>
      <c r="R64" s="1"/>
      <c r="S64" s="1"/>
      <c r="T64" s="1"/>
      <c r="U64" s="3"/>
      <c r="V64" s="1">
        <v>22.344827586206879</v>
      </c>
      <c r="Y64" s="1"/>
      <c r="Z64" s="1"/>
      <c r="AA64" s="1"/>
      <c r="AB64" s="1">
        <f>20*20*0.0519021739130435</f>
        <v>20.760869565217398</v>
      </c>
      <c r="AC64" s="1"/>
      <c r="AD64" s="1">
        <f>20*1.80232558139535</f>
        <v>36.046511627907002</v>
      </c>
      <c r="AE64" s="1">
        <f>20*20*0.0776785714285714</f>
        <v>31.071428571428562</v>
      </c>
      <c r="AF64" s="1"/>
      <c r="AG64" s="1">
        <v>23.039147395411291</v>
      </c>
      <c r="AH64" s="15">
        <v>24.304544110069884</v>
      </c>
      <c r="AI64" s="15">
        <v>4.3006408471434412</v>
      </c>
      <c r="AJ64" s="15">
        <v>3.7849218721789457</v>
      </c>
    </row>
    <row r="65" spans="1:36" x14ac:dyDescent="0.25">
      <c r="A65" s="8">
        <f t="shared" si="2"/>
        <v>1898</v>
      </c>
      <c r="C65" s="1">
        <v>9.7899999999999991</v>
      </c>
      <c r="D65" s="1">
        <v>9.7899999999999991</v>
      </c>
      <c r="E65" s="1"/>
      <c r="F65" s="1"/>
      <c r="H65" s="1">
        <f>20*2240*0.000892857142857143</f>
        <v>40.000000000000007</v>
      </c>
      <c r="I65" s="1"/>
      <c r="J65" s="1"/>
      <c r="K65" s="1">
        <v>15.294756008576861</v>
      </c>
      <c r="L65" s="1">
        <v>14.907749077490775</v>
      </c>
      <c r="M65" s="1">
        <f>20*2240*0.000714285714285714</f>
        <v>31.999999999999986</v>
      </c>
      <c r="N65" s="1"/>
      <c r="O65" s="1"/>
      <c r="P65" s="1">
        <v>37</v>
      </c>
      <c r="Q65" s="1"/>
      <c r="R65" s="1"/>
      <c r="S65" s="1"/>
      <c r="T65" s="1"/>
      <c r="U65" s="3"/>
      <c r="V65" s="1">
        <v>22.153846153846132</v>
      </c>
      <c r="W65" s="3">
        <f>2240*20*0.00293040293040293</f>
        <v>131.28205128205127</v>
      </c>
      <c r="X65" s="1"/>
      <c r="Y65" s="1"/>
      <c r="Z65" s="1"/>
      <c r="AA65" s="1"/>
      <c r="AB65" s="1"/>
      <c r="AC65" s="1"/>
      <c r="AD65" s="1">
        <f>20*1.5</f>
        <v>30</v>
      </c>
      <c r="AE65" s="1">
        <f>20*20*0.0966666666666667</f>
        <v>38.666666666666686</v>
      </c>
      <c r="AF65" s="1"/>
      <c r="AG65" s="1">
        <v>20.021114864864863</v>
      </c>
      <c r="AH65" s="15">
        <v>24.819692423464691</v>
      </c>
      <c r="AI65" s="15">
        <v>4.0952280405405403</v>
      </c>
      <c r="AJ65" s="15">
        <v>3.7805099068335268</v>
      </c>
    </row>
    <row r="66" spans="1:36" x14ac:dyDescent="0.25">
      <c r="A66" s="8">
        <f t="shared" si="2"/>
        <v>1899</v>
      </c>
      <c r="C66" s="1">
        <v>10.53</v>
      </c>
      <c r="D66" s="1">
        <v>10.53</v>
      </c>
      <c r="E66" s="1"/>
      <c r="F66" s="1"/>
      <c r="H66" s="1">
        <f>20*2240*0.000892857142857143</f>
        <v>40.000000000000007</v>
      </c>
      <c r="I66" s="1"/>
      <c r="J66" s="1"/>
      <c r="K66" s="1">
        <v>18.74760295357563</v>
      </c>
      <c r="L66" s="1">
        <v>18.268215417106653</v>
      </c>
      <c r="M66" s="1">
        <f>20*2240*0.000841565349544073</f>
        <v>37.702127659574472</v>
      </c>
      <c r="N66" s="1"/>
      <c r="O66" s="1"/>
      <c r="P66" s="1"/>
      <c r="Q66" s="1">
        <f>20*0.959168624231228</f>
        <v>19.183372484624559</v>
      </c>
      <c r="S66" s="1">
        <f>20*0.508333333333333</f>
        <v>10.166666666666659</v>
      </c>
      <c r="T66" s="1"/>
      <c r="U66" s="3"/>
      <c r="V66" s="1">
        <v>29.999999999999972</v>
      </c>
      <c r="W66" s="1"/>
      <c r="X66" s="1"/>
      <c r="Y66" s="1"/>
      <c r="Z66" s="1"/>
      <c r="AA66" s="1"/>
      <c r="AB66" s="1"/>
      <c r="AC66" s="1"/>
      <c r="AD66" s="1">
        <f>20*1.83333333333333</f>
        <v>36.6666666666666</v>
      </c>
      <c r="AE66" s="1">
        <f>20*20*0.133628318584071</f>
        <v>53.451327433628407</v>
      </c>
      <c r="AF66" s="1"/>
      <c r="AG66" s="1">
        <v>22.363096080432108</v>
      </c>
      <c r="AH66" s="15">
        <v>25.872325011145783</v>
      </c>
      <c r="AI66" s="15">
        <v>4.6589783500900221</v>
      </c>
      <c r="AJ66" s="15">
        <v>4.1773638102119275</v>
      </c>
    </row>
    <row r="67" spans="1:36" x14ac:dyDescent="0.25">
      <c r="A67" s="8">
        <f t="shared" si="2"/>
        <v>1900</v>
      </c>
      <c r="C67" s="1">
        <v>16.52</v>
      </c>
      <c r="D67" s="1">
        <v>16.52</v>
      </c>
      <c r="E67" s="1"/>
      <c r="F67" s="1"/>
      <c r="H67" s="1">
        <f>20*2240*0.00100441693435966</f>
        <v>44.997878659312761</v>
      </c>
      <c r="I67" s="1"/>
      <c r="J67" s="1"/>
      <c r="K67" s="1">
        <v>27.453336810025814</v>
      </c>
      <c r="L67" s="1">
        <v>26.759906759906759</v>
      </c>
      <c r="M67" s="1">
        <f>20*2240*0.000871519930759244</f>
        <v>39.044092898014135</v>
      </c>
      <c r="N67" s="1"/>
      <c r="O67" s="3"/>
      <c r="P67" s="1"/>
      <c r="Q67" s="1">
        <f>20*0.809810870871919</f>
        <v>16.19621741743838</v>
      </c>
      <c r="R67" s="1"/>
      <c r="S67" s="1"/>
      <c r="T67" s="1"/>
      <c r="U67" s="3"/>
      <c r="V67" s="1">
        <v>29.999999999999968</v>
      </c>
      <c r="W67" s="1"/>
      <c r="X67" s="1"/>
      <c r="Y67" s="1"/>
      <c r="Z67" s="3"/>
      <c r="AA67" s="1"/>
      <c r="AB67" s="1">
        <f>20*20*0.194827586206897</f>
        <v>77.931034482758804</v>
      </c>
      <c r="AC67" s="1"/>
      <c r="AD67" s="1">
        <f>20*2.5</f>
        <v>50</v>
      </c>
      <c r="AE67" s="1">
        <f>20*20*0.133066666666667</f>
        <v>53.226666666666802</v>
      </c>
      <c r="AF67" s="1"/>
      <c r="AG67" s="1">
        <v>28.15945946016345</v>
      </c>
      <c r="AH67" s="15">
        <v>25.576405856393354</v>
      </c>
      <c r="AI67" s="15">
        <v>4.7442567568753642</v>
      </c>
      <c r="AJ67" s="15">
        <v>4.3900918693080158</v>
      </c>
    </row>
    <row r="68" spans="1:36" x14ac:dyDescent="0.25">
      <c r="A68" s="8">
        <f t="shared" si="2"/>
        <v>1901</v>
      </c>
      <c r="C68" s="1">
        <v>13.73</v>
      </c>
      <c r="D68" s="1">
        <v>13.73</v>
      </c>
      <c r="E68" s="1"/>
      <c r="F68" s="1"/>
      <c r="H68" s="1">
        <f>20*2240*0.000937522276874822</f>
        <v>42.000998003992024</v>
      </c>
      <c r="I68" s="1"/>
      <c r="J68" s="1"/>
      <c r="K68" s="1">
        <v>23.197603609782423</v>
      </c>
      <c r="L68" s="1">
        <v>22.615219721329044</v>
      </c>
      <c r="M68" s="1">
        <f>20*2240*0.000783828382838284</f>
        <v>35.115511551155123</v>
      </c>
      <c r="N68" s="1"/>
      <c r="O68" s="3">
        <v>55.696202531645575</v>
      </c>
      <c r="P68" s="1">
        <v>37</v>
      </c>
      <c r="Q68" s="1">
        <f>20*0.711357210179076</f>
        <v>14.227144203581521</v>
      </c>
      <c r="R68" s="1"/>
      <c r="T68" s="1"/>
      <c r="U68" s="3"/>
      <c r="V68" s="1">
        <v>39.499999999999964</v>
      </c>
      <c r="W68" s="1"/>
      <c r="X68" s="1"/>
      <c r="Y68" s="1"/>
      <c r="Z68" s="1"/>
      <c r="AA68" s="1"/>
      <c r="AB68" s="1">
        <f>20*20*0.0999348109517601</f>
        <v>39.973924380704041</v>
      </c>
      <c r="AC68" s="1"/>
      <c r="AD68" s="1">
        <f>20*1.04651162790698</f>
        <v>20.9302325581396</v>
      </c>
      <c r="AE68" s="1">
        <f>20*20*0.133333333333333</f>
        <v>53.333333333333201</v>
      </c>
      <c r="AF68" s="1"/>
      <c r="AG68" s="1">
        <v>30.669800235009294</v>
      </c>
      <c r="AH68" s="15">
        <v>32.123187608979094</v>
      </c>
      <c r="AI68" s="15">
        <v>5.3512411868375596</v>
      </c>
      <c r="AJ68" s="15">
        <v>3.9886270185617945</v>
      </c>
    </row>
    <row r="69" spans="1:36" x14ac:dyDescent="0.25">
      <c r="A69" s="8">
        <f t="shared" si="2"/>
        <v>1902</v>
      </c>
      <c r="C69" s="1">
        <v>12.19</v>
      </c>
      <c r="D69" s="1">
        <v>12.19</v>
      </c>
      <c r="E69" s="1">
        <f>20*2240*0.00182448458310527</f>
        <v>81.736909323116095</v>
      </c>
      <c r="F69" s="1">
        <f>20*2240*0.00112267540152156</f>
        <v>50.295857988165885</v>
      </c>
      <c r="H69" s="1">
        <f>20*2240*0.000892857142857143</f>
        <v>40.000000000000007</v>
      </c>
      <c r="I69" s="1"/>
      <c r="J69" s="1"/>
      <c r="K69" s="1">
        <v>18.603971537594557</v>
      </c>
      <c r="L69" s="1">
        <v>18.153200419727177</v>
      </c>
      <c r="M69" s="1">
        <f>20*2240*0.00038623595505618</f>
        <v>17.303370786516865</v>
      </c>
      <c r="N69" s="1"/>
      <c r="O69" s="1">
        <v>52</v>
      </c>
      <c r="P69" s="1"/>
      <c r="Q69" s="1">
        <f>20*0.666065919594191</f>
        <v>13.321318391883821</v>
      </c>
      <c r="R69" s="1"/>
      <c r="S69" s="1">
        <f>20*0.85</f>
        <v>17</v>
      </c>
      <c r="T69" s="1"/>
      <c r="U69" s="3"/>
      <c r="V69" s="1">
        <v>28.911564625850311</v>
      </c>
      <c r="W69" s="1"/>
      <c r="X69" s="1">
        <f>20*2240*0.00170150087614597</f>
        <v>76.227239251339455</v>
      </c>
      <c r="Y69" s="1"/>
      <c r="Z69" s="1">
        <f>20*2240*0.000532860034103042</f>
        <v>23.872129527816284</v>
      </c>
      <c r="AA69" s="1"/>
      <c r="AB69" s="1">
        <f>20*20*0.10625</f>
        <v>42.5</v>
      </c>
      <c r="AC69" s="1"/>
      <c r="AD69" s="1">
        <f>20*2</f>
        <v>40</v>
      </c>
      <c r="AE69" s="1">
        <f>20*20*0.174942263279446</f>
        <v>69.97690531177841</v>
      </c>
      <c r="AF69" s="1"/>
      <c r="AG69" s="1">
        <v>22.916666666666664</v>
      </c>
      <c r="AH69" s="15">
        <v>26.13685075450945</v>
      </c>
      <c r="AI69" s="15">
        <v>5.0710867117117111</v>
      </c>
      <c r="AJ69" s="15">
        <v>3.6821676400232746</v>
      </c>
    </row>
    <row r="70" spans="1:36" x14ac:dyDescent="0.25">
      <c r="A70" s="8">
        <f t="shared" si="2"/>
        <v>1903</v>
      </c>
      <c r="C70" s="1">
        <v>11.58</v>
      </c>
      <c r="D70" s="1">
        <v>11.7</v>
      </c>
      <c r="E70" s="3">
        <f>20*2240*0.00250079233024325</f>
        <v>112.03549639489759</v>
      </c>
      <c r="F70" s="1"/>
      <c r="H70" s="1">
        <f>20*2240*0.000684517105788166</f>
        <v>30.666366339309839</v>
      </c>
      <c r="I70" s="1"/>
      <c r="J70" s="1"/>
      <c r="K70" s="1">
        <v>17.576736639523446</v>
      </c>
      <c r="L70" s="1">
        <v>17.134445534838076</v>
      </c>
      <c r="M70" s="1">
        <f>20*2240*0.000681129012496937</f>
        <v>30.514579759862777</v>
      </c>
      <c r="N70" s="1"/>
      <c r="O70" s="1">
        <v>52.5</v>
      </c>
      <c r="P70" s="1"/>
      <c r="Q70" s="1">
        <f>20*0.643432730590577</f>
        <v>12.868654611811541</v>
      </c>
      <c r="R70" s="1"/>
      <c r="S70" s="1"/>
      <c r="T70" s="1"/>
      <c r="U70" s="3"/>
      <c r="V70" s="1">
        <v>24.863387978142054</v>
      </c>
      <c r="W70" s="1"/>
      <c r="X70" s="1">
        <f>20*2240*0.00220159805652034</f>
        <v>98.631592932111232</v>
      </c>
      <c r="Y70" s="1"/>
      <c r="Z70" s="1"/>
      <c r="AA70" s="1"/>
      <c r="AB70" s="1">
        <f>20*20*0.333925925925926</f>
        <v>133.5703703703704</v>
      </c>
      <c r="AC70" s="1"/>
      <c r="AD70" s="1"/>
      <c r="AE70" s="1">
        <f>20*20*0.21</f>
        <v>84</v>
      </c>
      <c r="AF70" s="1"/>
      <c r="AG70" s="1">
        <v>19.195064629842022</v>
      </c>
      <c r="AH70" s="15">
        <v>25.072018961954541</v>
      </c>
      <c r="AI70" s="15">
        <v>3.9626175088120839</v>
      </c>
      <c r="AJ70" s="15">
        <v>3.494618321770341</v>
      </c>
    </row>
    <row r="71" spans="1:36" x14ac:dyDescent="0.25">
      <c r="A71" s="8">
        <f t="shared" si="2"/>
        <v>1904</v>
      </c>
      <c r="C71" s="1">
        <v>11.02</v>
      </c>
      <c r="D71" s="1">
        <v>11.13</v>
      </c>
      <c r="E71" s="1">
        <f>20*2240*0.00178847738279445</f>
        <v>80.123786749191353</v>
      </c>
      <c r="F71" s="1">
        <f>20*2240*0.00156175512474178</f>
        <v>69.966629588431744</v>
      </c>
      <c r="H71" s="1">
        <f>20*2240*0.000781231358419433</f>
        <v>34.9991648571906</v>
      </c>
      <c r="I71" s="1">
        <f>20*2240*0.00151515151515152</f>
        <v>67.878787878788089</v>
      </c>
      <c r="J71" s="1"/>
      <c r="K71" s="1">
        <v>15.93995147984389</v>
      </c>
      <c r="L71" s="1">
        <v>15.538592027141645</v>
      </c>
      <c r="M71" s="1">
        <f>20*2240*0.0008848374679213</f>
        <v>39.640718562874241</v>
      </c>
      <c r="N71" s="1"/>
      <c r="O71" s="1">
        <v>47.266666666666666</v>
      </c>
      <c r="P71" s="1"/>
      <c r="Q71" s="1">
        <f>20*0.785169547576176</f>
        <v>15.70339095152352</v>
      </c>
      <c r="R71" s="1"/>
      <c r="S71" s="1"/>
      <c r="T71" s="1"/>
      <c r="U71" s="3"/>
      <c r="V71" s="1">
        <v>25.030303030303006</v>
      </c>
      <c r="W71" s="1"/>
      <c r="X71" s="1">
        <f>20*2240*0.00198595110793815</f>
        <v>88.970609635629117</v>
      </c>
      <c r="Y71" s="1"/>
      <c r="Z71" s="1"/>
      <c r="AA71" s="1"/>
      <c r="AB71" s="1">
        <f>20*20*0.143333333333333</f>
        <v>57.333333333333201</v>
      </c>
      <c r="AC71" s="1"/>
      <c r="AE71" s="1">
        <f>20*20*0.211382113821138</f>
        <v>84.552845528455194</v>
      </c>
      <c r="AF71" s="1"/>
      <c r="AG71" s="1">
        <v>22.017862277229348</v>
      </c>
      <c r="AH71" s="15">
        <v>25.01455232170629</v>
      </c>
      <c r="AI71" s="15">
        <v>4.2517251293960117</v>
      </c>
      <c r="AJ71" s="15">
        <v>3.40482913712624</v>
      </c>
    </row>
    <row r="72" spans="1:36" x14ac:dyDescent="0.25">
      <c r="A72" s="8">
        <f t="shared" ref="A72:A135" si="3">A71+1</f>
        <v>1905</v>
      </c>
      <c r="C72" s="1">
        <v>10.47</v>
      </c>
      <c r="D72" s="1">
        <v>10.56</v>
      </c>
      <c r="E72" s="1">
        <f>20*2240*0.00142625231910946</f>
        <v>63.89610389610381</v>
      </c>
      <c r="F72" s="1">
        <f>20*2240*0.00133928571428571</f>
        <v>59.999999999999808</v>
      </c>
      <c r="H72" s="1">
        <f>20*2240*0.00078125</f>
        <v>35</v>
      </c>
      <c r="I72" s="1">
        <f>20*2240*0.00136363636363636</f>
        <v>61.09090909090893</v>
      </c>
      <c r="J72" s="1"/>
      <c r="K72" s="1">
        <v>15.442764336803457</v>
      </c>
      <c r="L72" s="1">
        <v>15.05736981465137</v>
      </c>
      <c r="M72" s="1">
        <f>20*2240*0.000716722793335697</f>
        <v>32.109181141439223</v>
      </c>
      <c r="N72" s="1"/>
      <c r="O72" s="1"/>
      <c r="P72" s="1"/>
      <c r="Q72" s="1">
        <f>20*0.649750709024998</f>
        <v>12.995014180499959</v>
      </c>
      <c r="R72" s="1"/>
      <c r="S72" s="1"/>
      <c r="T72" s="1"/>
      <c r="U72" s="3">
        <v>12.000918310309032</v>
      </c>
      <c r="V72" s="1">
        <v>24.999999999999979</v>
      </c>
      <c r="W72" s="1"/>
      <c r="X72" s="1">
        <f>20*2240*0.00215771516034056</f>
        <v>96.665639183257085</v>
      </c>
      <c r="Y72" s="1"/>
      <c r="Z72" s="1"/>
      <c r="AA72" s="1"/>
      <c r="AB72" s="1">
        <f>20*20*0.183174603174603</f>
        <v>73.269841269841194</v>
      </c>
      <c r="AC72" s="1"/>
      <c r="AE72" s="1">
        <f>20*20*0.196763202725724</f>
        <v>78.705281090289603</v>
      </c>
      <c r="AF72" s="1"/>
      <c r="AG72" s="1">
        <v>19.415371621670154</v>
      </c>
      <c r="AH72" s="15">
        <v>23.489557951290251</v>
      </c>
      <c r="AI72" s="15">
        <v>3.9131756756854577</v>
      </c>
      <c r="AJ72" s="15">
        <v>3.3725041843183785</v>
      </c>
    </row>
    <row r="73" spans="1:36" x14ac:dyDescent="0.25">
      <c r="A73" s="8">
        <f t="shared" si="3"/>
        <v>1906</v>
      </c>
      <c r="C73" s="1">
        <v>10.82</v>
      </c>
      <c r="D73" s="1">
        <v>10.9</v>
      </c>
      <c r="E73" s="1">
        <f>20*2240*0.00267781498366079</f>
        <v>119.9661112680034</v>
      </c>
      <c r="F73" s="1">
        <f>20*2240*0.00133928571428571</f>
        <v>59.999999999999808</v>
      </c>
      <c r="H73" s="1">
        <f>20*2240*0.000714296575634086</f>
        <v>32.00048658840705</v>
      </c>
      <c r="I73" s="1"/>
      <c r="J73" s="1"/>
      <c r="K73" s="1">
        <v>15.730956952191296</v>
      </c>
      <c r="L73" s="1">
        <v>15.333333333333334</v>
      </c>
      <c r="M73" s="1">
        <f>20*2240*0.000763452024674769</f>
        <v>34.202650705429654</v>
      </c>
      <c r="N73" s="1"/>
      <c r="O73" s="1">
        <v>57.142857142857146</v>
      </c>
      <c r="P73" s="1"/>
      <c r="Q73" s="1">
        <f>20*0.687823141379925</f>
        <v>13.756462827598499</v>
      </c>
      <c r="R73" s="1"/>
      <c r="T73" s="1"/>
      <c r="U73" s="3">
        <v>10.565542825559501</v>
      </c>
      <c r="V73" s="1">
        <v>24.999999999999979</v>
      </c>
      <c r="W73" s="1"/>
      <c r="X73" s="1">
        <f>20*2240*0.00141136665340765</f>
        <v>63.229226072662726</v>
      </c>
      <c r="Y73" s="1"/>
      <c r="Z73" s="1"/>
      <c r="AA73" s="1">
        <f>20*2240*0.000748623428277904</f>
        <v>33.538329586850104</v>
      </c>
      <c r="AB73" s="1">
        <f>20*20*0.298083333333333</f>
        <v>119.23333333333319</v>
      </c>
      <c r="AC73" s="1"/>
      <c r="AE73" s="1">
        <f>20*20*0.16156282998944</f>
        <v>64.625131995776002</v>
      </c>
      <c r="AF73" s="1">
        <f>20*20*0.21301775147929</f>
        <v>85.207100591715999</v>
      </c>
      <c r="AG73" s="1">
        <v>22.757985257933541</v>
      </c>
      <c r="AH73" s="15">
        <v>23.799594297940921</v>
      </c>
      <c r="AI73" s="15">
        <v>3.9447174447084801</v>
      </c>
      <c r="AJ73" s="15">
        <v>3.9088094447141799</v>
      </c>
    </row>
    <row r="74" spans="1:36" x14ac:dyDescent="0.25">
      <c r="A74" s="8">
        <f t="shared" si="3"/>
        <v>1907</v>
      </c>
      <c r="C74" s="1">
        <v>12.63</v>
      </c>
      <c r="D74" s="1">
        <v>12.75</v>
      </c>
      <c r="E74" s="1">
        <f>20*2240*0.00214637579169599</f>
        <v>96.157635467980342</v>
      </c>
      <c r="F74" s="1">
        <f>20*2240*0.00133928571428571</f>
        <v>59.999999999999808</v>
      </c>
      <c r="H74" s="1">
        <f>20*2240*0.000669642857142857</f>
        <v>29.999999999999996</v>
      </c>
      <c r="I74" s="3"/>
      <c r="J74" s="1"/>
      <c r="K74" s="1">
        <v>18.086288038721978</v>
      </c>
      <c r="L74" s="1">
        <v>17.63959390862944</v>
      </c>
      <c r="M74" s="3">
        <f>20*2240*0.000752831844288449</f>
        <v>33.726866624122515</v>
      </c>
      <c r="N74" s="3"/>
      <c r="O74" s="1">
        <v>61.111111111111107</v>
      </c>
      <c r="P74" s="1"/>
      <c r="Q74" s="1">
        <f>20*0.790219415431949</f>
        <v>15.804388308638979</v>
      </c>
      <c r="R74" s="1">
        <f>20*1.13802633718095</f>
        <v>22.760526743619</v>
      </c>
      <c r="T74" s="1">
        <f>20*0.546054276907231</f>
        <v>10.92108553814462</v>
      </c>
      <c r="U74" s="3">
        <v>12.856030637151754</v>
      </c>
      <c r="V74" s="1">
        <v>24.999999999999979</v>
      </c>
      <c r="W74" s="1"/>
      <c r="X74" s="3">
        <f>20*2240*0.00134428678117999</f>
        <v>60.224047796863552</v>
      </c>
      <c r="Y74" s="1"/>
      <c r="Z74" s="1"/>
      <c r="AA74" s="1">
        <f>20*2240*0.000722769182684795</f>
        <v>32.380059384278816</v>
      </c>
      <c r="AB74" s="1">
        <f>20*20*0.285223367697594</f>
        <v>114.08934707903759</v>
      </c>
      <c r="AC74" s="1">
        <f>20*20*0.166666666666667</f>
        <v>66.666666666666799</v>
      </c>
      <c r="AD74" s="1">
        <f>20*0.96</f>
        <v>19.2</v>
      </c>
      <c r="AE74" s="1">
        <f>20*20*0.219089062953293</f>
        <v>87.635625181317195</v>
      </c>
      <c r="AF74" s="1">
        <f>20*20*0.169082125603865</f>
        <v>67.632850241546009</v>
      </c>
      <c r="AG74" s="1">
        <v>26.434459460120323</v>
      </c>
      <c r="AH74" s="15">
        <v>25.193874099446742</v>
      </c>
      <c r="AI74" s="15">
        <v>5.2216216217521625</v>
      </c>
      <c r="AJ74" s="15">
        <v>4.682240308651239</v>
      </c>
    </row>
    <row r="75" spans="1:36" x14ac:dyDescent="0.25">
      <c r="A75" s="8">
        <f t="shared" si="3"/>
        <v>1908</v>
      </c>
      <c r="C75" s="1">
        <v>12.65</v>
      </c>
      <c r="D75" s="1">
        <v>12.77</v>
      </c>
      <c r="E75" s="1">
        <f>20*2240*0.00102670432918645</f>
        <v>45.996353947552961</v>
      </c>
      <c r="F75" s="1">
        <f>20*2240*0.0015625</f>
        <v>70</v>
      </c>
      <c r="H75" s="1">
        <f>20*2240*0.00080354084079675</f>
        <v>35.998629667694402</v>
      </c>
      <c r="I75" s="3"/>
      <c r="J75" s="1"/>
      <c r="K75" s="1">
        <v>20.40980318655248</v>
      </c>
      <c r="L75" s="1">
        <v>19.892183288409704</v>
      </c>
      <c r="M75" s="1">
        <f>20*2240*0.000693611555318645</f>
        <v>31.073797678275298</v>
      </c>
      <c r="N75" s="1"/>
      <c r="O75" s="1"/>
      <c r="P75" s="1">
        <v>29.25</v>
      </c>
      <c r="Q75" s="1">
        <f>20*0.649087221095335</f>
        <v>12.981744421906701</v>
      </c>
      <c r="R75" s="1"/>
      <c r="U75" s="3">
        <v>11.780888030888031</v>
      </c>
      <c r="V75" s="1">
        <v>25.020576131687221</v>
      </c>
      <c r="W75" s="1"/>
      <c r="X75" s="1">
        <f>20*2240*0.00163934426229508</f>
        <v>73.442622950819583</v>
      </c>
      <c r="Y75" s="1"/>
      <c r="Z75" s="1"/>
      <c r="AA75" s="1">
        <f>20*2240*0.000729799159271368</f>
        <v>32.695002335357287</v>
      </c>
      <c r="AB75" s="1">
        <f>20*20*0.134713375796178</f>
        <v>53.885350318471204</v>
      </c>
      <c r="AC75" s="1"/>
      <c r="AD75" s="1">
        <f>20*2.35372340425532</f>
        <v>47.074468085106396</v>
      </c>
      <c r="AE75" s="1">
        <f>20*20*0.29415501905972</f>
        <v>117.66200762388802</v>
      </c>
      <c r="AF75" s="1">
        <f>20*20*0.383663366336634</f>
        <v>153.46534653465361</v>
      </c>
      <c r="AG75" s="1">
        <v>26.998742928897002</v>
      </c>
      <c r="AH75" s="15">
        <v>25.662952248757897</v>
      </c>
      <c r="AI75" s="15">
        <v>7.3632935260628187</v>
      </c>
      <c r="AJ75" s="15">
        <v>5.2565464870374132</v>
      </c>
    </row>
    <row r="76" spans="1:36" x14ac:dyDescent="0.25">
      <c r="A76" s="8">
        <f t="shared" si="3"/>
        <v>1909</v>
      </c>
      <c r="C76" s="1">
        <v>11.2</v>
      </c>
      <c r="D76" s="1">
        <v>11.3</v>
      </c>
      <c r="E76" s="1">
        <f>20*2240*0.00184289727126806</f>
        <v>82.561797752809085</v>
      </c>
      <c r="F76" s="1">
        <f>20*2240*0.00133928571428571</f>
        <v>59.999999999999808</v>
      </c>
      <c r="H76" s="1">
        <f>20*2240*0.000803529379609617</f>
        <v>35.998116206510844</v>
      </c>
      <c r="I76" s="1">
        <f>20*2240*0.0008035714</f>
        <v>35.999998720000001</v>
      </c>
      <c r="J76" s="1"/>
      <c r="K76" s="1">
        <v>16.604547998401003</v>
      </c>
      <c r="L76" s="1">
        <v>16.193870277975766</v>
      </c>
      <c r="M76" s="1">
        <f>20*2240*0.000643051145283288</f>
        <v>28.808691308691301</v>
      </c>
      <c r="N76" s="1"/>
      <c r="O76" s="1">
        <v>86.956521739130437</v>
      </c>
      <c r="P76" s="1">
        <v>30</v>
      </c>
      <c r="Q76" s="1">
        <f>20*0.685598377281947</f>
        <v>13.711967545638938</v>
      </c>
      <c r="S76" s="1"/>
      <c r="T76" s="1"/>
      <c r="U76" s="1"/>
      <c r="V76" s="1">
        <v>25.093525179856094</v>
      </c>
      <c r="W76" s="1"/>
      <c r="X76" s="1"/>
      <c r="Y76" s="1"/>
      <c r="Z76" s="1"/>
      <c r="AA76" s="1">
        <f>20*2240*0.000641710904675518</f>
        <v>28.748648529463203</v>
      </c>
      <c r="AB76" s="1">
        <f>20*20*0.236696950032446</f>
        <v>94.678780012978407</v>
      </c>
      <c r="AC76" s="1"/>
      <c r="AD76" s="1">
        <f>20*2.3352</f>
        <v>46.704000000000001</v>
      </c>
      <c r="AE76" s="1"/>
      <c r="AF76" s="1">
        <f>20*20*0.256436931079324</f>
        <v>102.57477243172961</v>
      </c>
      <c r="AG76" s="1">
        <v>21.978764478764479</v>
      </c>
      <c r="AH76" s="15">
        <v>24.059270830133876</v>
      </c>
      <c r="AI76" s="15">
        <v>5.4946911196911197</v>
      </c>
      <c r="AJ76" s="15">
        <v>4.6838264730501873</v>
      </c>
    </row>
    <row r="77" spans="1:36" x14ac:dyDescent="0.25">
      <c r="A77" s="8">
        <f t="shared" si="3"/>
        <v>1910</v>
      </c>
      <c r="C77" s="1">
        <v>11.63</v>
      </c>
      <c r="D77" s="1">
        <v>11.72</v>
      </c>
      <c r="E77" s="1">
        <f>20*2240*0.00257106644939345</f>
        <v>115.18377693282656</v>
      </c>
      <c r="F77" s="1"/>
      <c r="H77" s="1">
        <f>20*2240*0.000803564561231946</f>
        <v>35.999692343191178</v>
      </c>
      <c r="I77" s="1"/>
      <c r="J77" s="1"/>
      <c r="K77" s="1">
        <v>17.715655741369183</v>
      </c>
      <c r="L77" s="1">
        <v>17.276037873270212</v>
      </c>
      <c r="M77" s="3">
        <f>20*2240*0.000688873626373626</f>
        <v>30.861538461538448</v>
      </c>
      <c r="N77" s="3"/>
      <c r="O77" s="1"/>
      <c r="P77" s="1">
        <v>26</v>
      </c>
      <c r="Q77" s="1">
        <f>20*0.644710578842315</f>
        <v>12.894211576846299</v>
      </c>
      <c r="R77" s="1">
        <f>20*1.00884681049201</f>
        <v>20.1769362098402</v>
      </c>
      <c r="S77" s="1">
        <f>20*0.55</f>
        <v>11</v>
      </c>
      <c r="T77" s="1"/>
      <c r="U77" s="1">
        <v>13.670064874884151</v>
      </c>
      <c r="V77" s="1">
        <v>23.148148148148127</v>
      </c>
      <c r="W77" s="1"/>
      <c r="X77" s="1">
        <f>20*2240*0.000453141582895098</f>
        <v>20.300742913700393</v>
      </c>
      <c r="Y77" s="3"/>
      <c r="Z77" s="1"/>
      <c r="AA77" s="1">
        <f>20*2240*0.000638614865410163</f>
        <v>28.609945970375303</v>
      </c>
      <c r="AB77" s="1">
        <f>20*20*0.265610756608933</f>
        <v>106.24430264357321</v>
      </c>
      <c r="AC77" s="1"/>
      <c r="AD77" s="1"/>
      <c r="AE77" s="1"/>
      <c r="AF77" s="1">
        <f>20*20*0.144278606965174</f>
        <v>57.711442786069597</v>
      </c>
      <c r="AG77" s="1">
        <v>20.127550969062369</v>
      </c>
      <c r="AH77" s="15">
        <v>22.591573617090788</v>
      </c>
      <c r="AI77" s="15">
        <v>4.2159059462225237</v>
      </c>
      <c r="AJ77" s="15">
        <v>4.076466873012488</v>
      </c>
    </row>
    <row r="78" spans="1:36" x14ac:dyDescent="0.25">
      <c r="A78" s="8">
        <f t="shared" si="3"/>
        <v>1911</v>
      </c>
      <c r="C78" s="1">
        <v>11.31</v>
      </c>
      <c r="D78" s="1">
        <v>11.43</v>
      </c>
      <c r="E78" s="1">
        <f>20*2240*0.00189626834942299</f>
        <v>84.952822054149962</v>
      </c>
      <c r="F78" s="1">
        <f>20*2240*0.00133928571428571</f>
        <v>59.999999999999808</v>
      </c>
      <c r="H78" s="1">
        <f>20*2240*0.000803564290853443</f>
        <v>35.999680230234247</v>
      </c>
      <c r="I78" s="3"/>
      <c r="J78" s="1"/>
      <c r="K78" s="1">
        <v>17.018614535209874</v>
      </c>
      <c r="L78" s="1">
        <v>16.586599241466498</v>
      </c>
      <c r="M78" s="1">
        <f>20*2240*0.000682649868707749</f>
        <v>30.582714118107155</v>
      </c>
      <c r="N78" s="3"/>
      <c r="O78" s="1"/>
      <c r="P78" s="1">
        <v>36</v>
      </c>
      <c r="Q78" s="1">
        <f>20*0.718390804597701</f>
        <v>14.367816091954019</v>
      </c>
      <c r="R78" s="1"/>
      <c r="S78" s="1">
        <f>20*0.7</f>
        <v>14</v>
      </c>
      <c r="T78" s="1"/>
      <c r="U78" s="1"/>
      <c r="V78" s="1">
        <v>24.464516129032255</v>
      </c>
      <c r="W78" s="1"/>
      <c r="X78" s="1">
        <f>20*2240*0.00164402526607251</f>
        <v>73.652331920048454</v>
      </c>
      <c r="Y78" s="1">
        <f>20*2240*0.00143676194907021</f>
        <v>64.366935318345412</v>
      </c>
      <c r="Z78" s="1"/>
      <c r="AA78" s="1"/>
      <c r="AB78" s="1">
        <f>20*20*0.245755451713396</f>
        <v>98.302180685358394</v>
      </c>
      <c r="AC78" s="1"/>
      <c r="AD78" s="1"/>
      <c r="AE78" s="1"/>
      <c r="AF78" s="1">
        <f>20*20*0.248968363136176</f>
        <v>99.587345254470407</v>
      </c>
      <c r="AG78" s="1">
        <v>22.062248418690075</v>
      </c>
      <c r="AH78" s="15">
        <v>22.826851317100612</v>
      </c>
      <c r="AI78" s="15">
        <v>4.3841647498678995</v>
      </c>
      <c r="AJ78" s="15">
        <v>3.9363128595307129</v>
      </c>
    </row>
    <row r="79" spans="1:36" x14ac:dyDescent="0.25">
      <c r="A79" s="8">
        <f t="shared" si="3"/>
        <v>1912</v>
      </c>
      <c r="C79" s="1">
        <v>12.57</v>
      </c>
      <c r="D79" s="1">
        <v>12.7</v>
      </c>
      <c r="E79" s="1"/>
      <c r="F79" s="1">
        <f>20*2240*0.00133928571428571</f>
        <v>59.999999999999808</v>
      </c>
      <c r="H79" s="1">
        <f>20*2240*0.000892857142857143</f>
        <v>40.000000000000007</v>
      </c>
      <c r="I79" s="3"/>
      <c r="J79" s="1"/>
      <c r="K79" s="1"/>
      <c r="L79" s="1">
        <v>19.23076923076923</v>
      </c>
      <c r="M79" s="1">
        <f>20*2240*0.000739537578668364</f>
        <v>33.131283524342706</v>
      </c>
      <c r="N79" s="3"/>
      <c r="O79" s="1"/>
      <c r="P79" s="1">
        <v>38</v>
      </c>
      <c r="Q79" s="1">
        <f>20*0.802702702702703</f>
        <v>16.05405405405406</v>
      </c>
      <c r="R79" s="1"/>
      <c r="S79" s="1">
        <f>20*0.8875</f>
        <v>17.75</v>
      </c>
      <c r="T79" s="1"/>
      <c r="U79" s="1"/>
      <c r="V79" s="1">
        <v>29.699999999999996</v>
      </c>
      <c r="W79" s="1"/>
      <c r="X79" s="1"/>
      <c r="Y79" s="3"/>
      <c r="Z79" s="1"/>
      <c r="AA79" s="1"/>
      <c r="AB79" s="1">
        <f>20*20*0.26657287563309</f>
        <v>106.62915025323601</v>
      </c>
      <c r="AC79" s="1"/>
      <c r="AD79" s="1"/>
      <c r="AE79" s="1"/>
      <c r="AF79" s="1">
        <f>20*20*0.222682119205298</f>
        <v>89.072847682119203</v>
      </c>
      <c r="AG79" s="1">
        <v>24.186386847621439</v>
      </c>
      <c r="AH79" s="15">
        <v>22.957181986626924</v>
      </c>
      <c r="AI79" s="15">
        <v>4.4737825382883587</v>
      </c>
      <c r="AJ79" s="15">
        <v>4.5019566052434943</v>
      </c>
    </row>
    <row r="80" spans="1:36" x14ac:dyDescent="0.25">
      <c r="A80" s="8">
        <f t="shared" si="3"/>
        <v>1913</v>
      </c>
      <c r="C80" s="1">
        <v>13.82</v>
      </c>
      <c r="D80" s="1">
        <v>13.94</v>
      </c>
      <c r="E80" s="1"/>
      <c r="F80" s="1"/>
      <c r="H80" s="1">
        <f>20*2240*0.000848218537010081</f>
        <v>38.000190458051627</v>
      </c>
      <c r="I80" s="1"/>
      <c r="J80" s="1"/>
      <c r="K80" s="1"/>
      <c r="L80" s="1">
        <v>23.381754793724578</v>
      </c>
      <c r="M80" s="1">
        <f>20*2240*0.000850937788666212</f>
        <v>38.122012932246299</v>
      </c>
      <c r="N80" s="3"/>
      <c r="O80" s="1"/>
      <c r="P80" s="1">
        <v>53</v>
      </c>
      <c r="Q80" s="1"/>
      <c r="R80" s="1"/>
      <c r="T80" s="1"/>
      <c r="U80" s="1"/>
      <c r="V80" s="1">
        <v>27.720000000000002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>
        <v>27.791709979203294</v>
      </c>
      <c r="AH80" s="15">
        <v>23.804562991246669</v>
      </c>
      <c r="AI80" s="15">
        <v>4.7990839397077849</v>
      </c>
      <c r="AJ80" s="15">
        <v>4.686740980955773</v>
      </c>
    </row>
    <row r="81" spans="1:36" x14ac:dyDescent="0.25">
      <c r="A81" s="8">
        <f t="shared" si="3"/>
        <v>1914</v>
      </c>
      <c r="C81" s="1"/>
      <c r="D81" s="1">
        <v>13.65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>
        <v>17.625000000000004</v>
      </c>
      <c r="AH81" s="15">
        <v>25.426778018204903</v>
      </c>
      <c r="AI81" s="15">
        <v>3.6835937500000004</v>
      </c>
      <c r="AJ81" s="15">
        <v>4.7464985222842957</v>
      </c>
    </row>
    <row r="82" spans="1:36" x14ac:dyDescent="0.25">
      <c r="A82" s="8">
        <f t="shared" si="3"/>
        <v>1915</v>
      </c>
      <c r="C82" s="1"/>
      <c r="D82" s="1">
        <v>16.96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>
        <v>24.562500000000004</v>
      </c>
      <c r="AH82" s="15">
        <v>26.678853145284243</v>
      </c>
      <c r="AI82" s="15">
        <v>3.6738281250000004</v>
      </c>
      <c r="AJ82" s="15">
        <v>4.4212804400765862</v>
      </c>
    </row>
    <row r="83" spans="1:36" x14ac:dyDescent="0.25">
      <c r="A83" s="8">
        <f t="shared" si="3"/>
        <v>1916</v>
      </c>
      <c r="C83" s="1"/>
      <c r="D83" s="1">
        <v>24.64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>
        <v>30.000000000000004</v>
      </c>
      <c r="AH83" s="15">
        <v>27.49455304611881</v>
      </c>
      <c r="AI83" s="15">
        <v>3.3339843750000004</v>
      </c>
      <c r="AJ83" s="15">
        <v>4.4957627685930515</v>
      </c>
    </row>
    <row r="84" spans="1:36" x14ac:dyDescent="0.25">
      <c r="A84" s="8">
        <f t="shared" si="3"/>
        <v>1917</v>
      </c>
      <c r="C84" s="1"/>
      <c r="D84" s="1">
        <v>27.16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>
        <v>33.750000000000007</v>
      </c>
      <c r="AH84" s="15">
        <v>41.928981553121304</v>
      </c>
      <c r="AI84" s="15">
        <v>3.6074218750000004</v>
      </c>
      <c r="AJ84" s="15">
        <v>4.9543351592534481</v>
      </c>
    </row>
    <row r="85" spans="1:36" x14ac:dyDescent="0.25">
      <c r="A85" s="8">
        <f t="shared" si="3"/>
        <v>1918</v>
      </c>
      <c r="C85" s="1"/>
      <c r="D85" s="1">
        <v>30.6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>
        <v>50.378906250000007</v>
      </c>
      <c r="AH85" s="15">
        <v>39.975795715841699</v>
      </c>
      <c r="AI85" s="15">
        <v>3.9199218750000004</v>
      </c>
      <c r="AJ85" s="15">
        <v>5.8073726940093549</v>
      </c>
    </row>
    <row r="86" spans="1:36" x14ac:dyDescent="0.25">
      <c r="A86" s="8">
        <f t="shared" si="3"/>
        <v>1919</v>
      </c>
      <c r="C86" s="1"/>
      <c r="D86" s="1">
        <v>46.2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v>31.816406250000004</v>
      </c>
      <c r="AH86" s="15">
        <v>46.287458706937237</v>
      </c>
      <c r="AI86" s="15">
        <v>4.7949218750000009</v>
      </c>
      <c r="AJ86" s="15">
        <v>5.9626656965427447</v>
      </c>
    </row>
    <row r="87" spans="1:36" x14ac:dyDescent="0.25">
      <c r="A87" s="8">
        <f t="shared" si="3"/>
        <v>1920</v>
      </c>
      <c r="C87" s="1"/>
      <c r="D87" s="1">
        <v>79.8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v>37.957031250000007</v>
      </c>
      <c r="AH87" s="15">
        <v>65.023519295938499</v>
      </c>
      <c r="AI87" s="15">
        <v>7.5000000000000009</v>
      </c>
    </row>
    <row r="88" spans="1:36" x14ac:dyDescent="0.25">
      <c r="A88" s="8">
        <f t="shared" si="3"/>
        <v>1921</v>
      </c>
      <c r="C88" s="1"/>
      <c r="D88" s="1">
        <v>34.83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v>32.0234375</v>
      </c>
      <c r="AI88" s="15">
        <v>7.5000000000000009</v>
      </c>
    </row>
    <row r="89" spans="1:36" x14ac:dyDescent="0.25">
      <c r="A89" s="8">
        <f t="shared" si="3"/>
        <v>1922</v>
      </c>
      <c r="C89" s="1"/>
      <c r="D89" s="1">
        <v>24.16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v>29.250000000000004</v>
      </c>
      <c r="AI89" s="15">
        <v>13.500000000000002</v>
      </c>
    </row>
    <row r="90" spans="1:36" x14ac:dyDescent="0.25">
      <c r="A90" s="8">
        <f t="shared" si="3"/>
        <v>1923</v>
      </c>
      <c r="C90" s="1"/>
      <c r="D90" s="1">
        <v>25.13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>
        <v>27.000000000000004</v>
      </c>
      <c r="AI90" s="15">
        <v>13.125000000000002</v>
      </c>
    </row>
    <row r="91" spans="1:36" x14ac:dyDescent="0.25">
      <c r="A91" s="8">
        <f t="shared" si="3"/>
        <v>1924</v>
      </c>
      <c r="C91" s="1"/>
      <c r="D91" s="1">
        <v>23.38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>
        <v>25.875000000000004</v>
      </c>
      <c r="AI91" s="15">
        <v>11.250000000000002</v>
      </c>
    </row>
    <row r="92" spans="1:36" x14ac:dyDescent="0.25">
      <c r="A92" s="8">
        <f t="shared" si="3"/>
        <v>1925</v>
      </c>
      <c r="C92" s="1"/>
      <c r="D92" s="1">
        <v>20.079999999999998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>
        <v>22.406250000000004</v>
      </c>
      <c r="AI92" s="15">
        <v>8.9062500000000018</v>
      </c>
    </row>
    <row r="93" spans="1:36" x14ac:dyDescent="0.25">
      <c r="A93" s="8">
        <f t="shared" si="3"/>
        <v>1926</v>
      </c>
      <c r="C93" s="1"/>
      <c r="D93" s="1">
        <v>18.59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>
        <v>17.410156250000004</v>
      </c>
      <c r="AI93" s="15">
        <v>7.9687500000000009</v>
      </c>
    </row>
    <row r="94" spans="1:36" x14ac:dyDescent="0.25">
      <c r="A94" s="8">
        <f t="shared" si="3"/>
        <v>1927</v>
      </c>
      <c r="C94" s="1"/>
      <c r="D94" s="1">
        <v>17.8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v>14.386718750000004</v>
      </c>
      <c r="AI94" s="15">
        <v>7.4062500000000009</v>
      </c>
    </row>
    <row r="95" spans="1:36" x14ac:dyDescent="0.25">
      <c r="A95" s="8">
        <f t="shared" si="3"/>
        <v>1928</v>
      </c>
      <c r="C95" s="1"/>
      <c r="D95" s="1">
        <v>15.67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v>12.642578125000002</v>
      </c>
      <c r="AI95" s="15">
        <v>7.2187500000000009</v>
      </c>
    </row>
    <row r="96" spans="1:36" x14ac:dyDescent="0.25">
      <c r="A96" s="8">
        <f t="shared" si="3"/>
        <v>1929</v>
      </c>
      <c r="C96" s="1"/>
      <c r="D96" s="1">
        <v>16.13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v>12.945312500000004</v>
      </c>
      <c r="AI96" s="15">
        <v>7.3125000000000009</v>
      </c>
    </row>
    <row r="97" spans="1:35" x14ac:dyDescent="0.25">
      <c r="A97" s="8">
        <f t="shared" si="3"/>
        <v>1930</v>
      </c>
      <c r="C97" s="1"/>
      <c r="D97" s="1">
        <v>16.64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v>10.661764705882351</v>
      </c>
      <c r="AI97" s="15">
        <v>7.0257352941176467</v>
      </c>
    </row>
    <row r="98" spans="1:35" x14ac:dyDescent="0.25">
      <c r="A98" s="8">
        <f t="shared" si="3"/>
        <v>1931</v>
      </c>
      <c r="C98" s="1"/>
      <c r="D98" s="1">
        <v>15.98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v>10.022058823529411</v>
      </c>
      <c r="AI98" s="15">
        <v>6.617647058823529</v>
      </c>
    </row>
    <row r="99" spans="1:35" x14ac:dyDescent="0.25">
      <c r="A99" s="8">
        <f t="shared" si="3"/>
        <v>1932</v>
      </c>
      <c r="C99" s="1"/>
      <c r="D99" s="1">
        <v>16.27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5" x14ac:dyDescent="0.25">
      <c r="A100" s="8">
        <f t="shared" si="3"/>
        <v>1933</v>
      </c>
      <c r="C100" s="1"/>
      <c r="D100" s="1">
        <v>16.079999999999998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5" x14ac:dyDescent="0.25">
      <c r="A101" s="8">
        <f t="shared" si="3"/>
        <v>1934</v>
      </c>
      <c r="C101" s="1"/>
      <c r="D101" s="1">
        <v>16.079999999999998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5" x14ac:dyDescent="0.25">
      <c r="A102" s="8">
        <f t="shared" si="3"/>
        <v>1935</v>
      </c>
      <c r="C102" s="1"/>
      <c r="D102" s="1">
        <v>16.3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5" x14ac:dyDescent="0.25">
      <c r="A103" s="8">
        <f t="shared" si="3"/>
        <v>1936</v>
      </c>
      <c r="C103" s="1"/>
      <c r="D103" s="1">
        <v>16.98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5" x14ac:dyDescent="0.25">
      <c r="A104" s="8">
        <f t="shared" si="3"/>
        <v>1937</v>
      </c>
      <c r="C104" s="1"/>
      <c r="D104" s="1">
        <v>19.05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5" x14ac:dyDescent="0.25">
      <c r="A105" s="8">
        <f t="shared" si="3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5" x14ac:dyDescent="0.25">
      <c r="A106" s="8">
        <f t="shared" si="3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5" x14ac:dyDescent="0.25">
      <c r="A107" s="8">
        <f t="shared" si="3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5" x14ac:dyDescent="0.25">
      <c r="A108" s="8">
        <f t="shared" si="3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5" x14ac:dyDescent="0.25">
      <c r="A109" s="8">
        <f t="shared" si="3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5" x14ac:dyDescent="0.25">
      <c r="A110" s="8">
        <f t="shared" si="3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5" x14ac:dyDescent="0.25">
      <c r="A111" s="8">
        <f t="shared" si="3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5" x14ac:dyDescent="0.25">
      <c r="A112" s="8">
        <f t="shared" si="3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5">
      <c r="A113" s="8">
        <f t="shared" si="3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5">
      <c r="A114" s="8">
        <f t="shared" si="3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5">
      <c r="A115" s="8">
        <f t="shared" si="3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5">
      <c r="A116" s="8">
        <f t="shared" si="3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5">
      <c r="A117" s="8">
        <f t="shared" si="3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5">
      <c r="A118" s="8">
        <f t="shared" si="3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5">
      <c r="A119" s="8">
        <f t="shared" si="3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5">
      <c r="A120" s="8">
        <f t="shared" si="3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5">
      <c r="A121" s="8">
        <f t="shared" si="3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5">
      <c r="A122" s="8">
        <f t="shared" si="3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5">
      <c r="A123" s="8">
        <f t="shared" si="3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5">
      <c r="A124" s="8">
        <f t="shared" si="3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5">
      <c r="A125" s="8">
        <f t="shared" si="3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5">
      <c r="A126" s="8">
        <f t="shared" si="3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5">
      <c r="A127" s="8">
        <f t="shared" si="3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5">
      <c r="A128" s="8">
        <f t="shared" si="3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5">
      <c r="A129" s="8">
        <f t="shared" si="3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5">
      <c r="A130" s="8">
        <f t="shared" si="3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5">
      <c r="A131" s="8">
        <f t="shared" si="3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5">
      <c r="A132" s="8">
        <f t="shared" si="3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5">
      <c r="A133" s="8">
        <f t="shared" si="3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5">
      <c r="A134" s="8">
        <f t="shared" si="3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5">
      <c r="A135" s="8">
        <f t="shared" si="3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5">
      <c r="A136" s="8">
        <f t="shared" ref="A136:A145" si="4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5">
      <c r="A137" s="8">
        <f t="shared" si="4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5">
      <c r="A138" s="8">
        <f t="shared" si="4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5">
      <c r="A139" s="8">
        <f t="shared" si="4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5">
      <c r="A140" s="8">
        <f t="shared" si="4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5">
      <c r="A141" s="8">
        <f t="shared" si="4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5">
      <c r="A142" s="8">
        <f t="shared" si="4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5">
      <c r="A143" s="8">
        <f t="shared" si="4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5">
      <c r="A144" s="8">
        <f t="shared" si="4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5">
      <c r="A145" s="8">
        <f t="shared" si="4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3:32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3:32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3:32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3:32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3:32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3:32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3:32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3:32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3:32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3:32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3:32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3:32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3:32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3:32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3:32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3:32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3:32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3:32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3:32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3:32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3:32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3:32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3:32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3:32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3:32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3:32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3:32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3:32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3:32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3:32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3:32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3:32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3:32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3:32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3:32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3:32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3:32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3:32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3:32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3:32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3:32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3:32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3:32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3:32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3:32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3:32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3:32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3:32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3:32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3:32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3:32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3:32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3:32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3:32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3:32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3:32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3:32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3:32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3:32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3:32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3:32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3:32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3:32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3:32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3:32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3:32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3:32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3:32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3:32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3:32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3:32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3:32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3:32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3:32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3:32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3:32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3:32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3:32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3:32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3:32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3:32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3:32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3:32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3:32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3:32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3:32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3:32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3:32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3:32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3:32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3:32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3:32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3:32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3:32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3:32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S1" sqref="S1:S1048576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Coal (All)</vt:lpstr>
      <vt:lpstr>Graphs (All)</vt:lpstr>
      <vt:lpstr>Collective Graph (All)</vt:lpstr>
      <vt:lpstr>Coal (Adjusted)</vt:lpstr>
      <vt:lpstr>Graph - 1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2018-11-18T11:55:12Z</dcterms:modified>
</cp:coreProperties>
</file>