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32" windowHeight="9060" tabRatio="800"/>
  </bookViews>
  <sheets>
    <sheet name="Intro" sheetId="27" r:id="rId1"/>
    <sheet name="Ispahan - Prices (Imports)" sheetId="24" r:id="rId2"/>
    <sheet name="Ispahan - Prices (Exports)" sheetId="25" r:id="rId3"/>
    <sheet name="Ispahan - Prices (Bazaar-Local)" sheetId="26" r:id="rId4"/>
    <sheet name="Imports - Data (Raw &amp; Adjusted)" sheetId="1" r:id="rId5"/>
    <sheet name="Exports - Data (Raw &amp; Adjusted)" sheetId="20" r:id="rId6"/>
    <sheet name="Imports - Prices (Raw&amp;Adjusted)" sheetId="23" r:id="rId7"/>
    <sheet name="Exports - Prices (Raw&amp;Adjusted)" sheetId="21" r:id="rId8"/>
    <sheet name="Bazaar(Local) - Prices(Raw&amp;Adj)" sheetId="22" r:id="rId9"/>
  </sheets>
  <calcPr calcId="152511"/>
</workbook>
</file>

<file path=xl/calcChain.xml><?xml version="1.0" encoding="utf-8"?>
<calcChain xmlns="http://schemas.openxmlformats.org/spreadsheetml/2006/main">
  <c r="C37" i="22" l="1"/>
  <c r="G5" i="22" l="1"/>
  <c r="G6" i="22"/>
  <c r="F41" i="22"/>
  <c r="G13" i="1"/>
  <c r="D12" i="1"/>
  <c r="D35" i="1"/>
  <c r="D37" i="1"/>
  <c r="D19" i="1" s="1"/>
  <c r="D13" i="1"/>
  <c r="D36" i="1"/>
  <c r="G23" i="1"/>
  <c r="D23" i="1"/>
  <c r="D22" i="1"/>
  <c r="G22" i="1"/>
  <c r="G21" i="1"/>
  <c r="D34" i="1"/>
  <c r="D33" i="1"/>
  <c r="J12" i="1"/>
  <c r="G12" i="1"/>
  <c r="G16" i="1"/>
  <c r="K9" i="20"/>
  <c r="I9" i="20"/>
  <c r="F9" i="20"/>
  <c r="C9" i="20"/>
  <c r="J4" i="1"/>
  <c r="G4" i="1"/>
  <c r="D4" i="1"/>
  <c r="F31" i="1"/>
  <c r="J24" i="1"/>
  <c r="G24" i="1"/>
  <c r="D24" i="1"/>
  <c r="C5" i="23"/>
  <c r="C39" i="22"/>
  <c r="G37" i="22"/>
  <c r="F37" i="22"/>
  <c r="E37" i="22"/>
  <c r="D37" i="22"/>
  <c r="C5" i="22"/>
  <c r="F29" i="1"/>
  <c r="C4" i="23" l="1"/>
  <c r="C3" i="23"/>
  <c r="F27" i="20"/>
  <c r="F26" i="20"/>
  <c r="D27" i="20"/>
  <c r="D26" i="20"/>
  <c r="F25" i="20" s="1"/>
  <c r="D22" i="20"/>
  <c r="D21" i="20"/>
  <c r="D5" i="22" l="1"/>
  <c r="D27" i="21"/>
  <c r="D3" i="21" s="1"/>
  <c r="K8" i="20"/>
  <c r="K7" i="20"/>
  <c r="K6" i="20"/>
  <c r="K5" i="20"/>
  <c r="K4" i="20"/>
  <c r="H9" i="20"/>
  <c r="H8" i="20"/>
  <c r="H7" i="20"/>
  <c r="H6" i="20"/>
  <c r="H5" i="20"/>
  <c r="H4" i="20"/>
  <c r="E5" i="20"/>
  <c r="E6" i="20"/>
  <c r="E7" i="20"/>
  <c r="E8" i="20"/>
  <c r="E9" i="20"/>
  <c r="E4" i="20"/>
  <c r="L20" i="1"/>
  <c r="L24" i="1"/>
  <c r="L23" i="1"/>
  <c r="L22" i="1"/>
  <c r="L21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H3" i="21" l="1"/>
  <c r="H7" i="21"/>
  <c r="F5" i="21"/>
  <c r="G3" i="21"/>
  <c r="G7" i="21"/>
  <c r="G4" i="21"/>
  <c r="C3" i="21"/>
  <c r="F3" i="21"/>
  <c r="H5" i="21"/>
  <c r="F4" i="21"/>
  <c r="E3" i="21"/>
  <c r="H8" i="21"/>
  <c r="G5" i="21"/>
  <c r="C4" i="21"/>
  <c r="D53" i="22"/>
  <c r="D54" i="22"/>
  <c r="E15" i="22"/>
  <c r="C15" i="22" l="1"/>
  <c r="D27" i="22"/>
  <c r="D40" i="22"/>
  <c r="C40" i="22"/>
  <c r="D39" i="22"/>
  <c r="D36" i="22"/>
  <c r="C36" i="22"/>
  <c r="D35" i="22"/>
  <c r="C35" i="22"/>
  <c r="C34" i="22"/>
  <c r="D34" i="22" l="1"/>
  <c r="D33" i="22"/>
  <c r="C33" i="22"/>
  <c r="D32" i="22"/>
  <c r="C32" i="22"/>
  <c r="D31" i="22"/>
  <c r="C31" i="22"/>
  <c r="D29" i="22"/>
  <c r="C29" i="22"/>
  <c r="D28" i="22"/>
  <c r="C28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4" i="22"/>
  <c r="C4" i="22"/>
  <c r="D3" i="22"/>
  <c r="C3" i="22"/>
  <c r="C6" i="21"/>
  <c r="E21" i="22" l="1"/>
  <c r="E20" i="22"/>
  <c r="E19" i="22"/>
  <c r="E18" i="22"/>
  <c r="E17" i="22"/>
  <c r="E16" i="22"/>
  <c r="E14" i="22"/>
  <c r="E13" i="22"/>
  <c r="E12" i="22"/>
  <c r="E11" i="22"/>
  <c r="E10" i="22"/>
  <c r="E9" i="22"/>
  <c r="E8" i="22"/>
  <c r="E7" i="22"/>
  <c r="E6" i="22"/>
  <c r="E5" i="22"/>
  <c r="E4" i="22"/>
  <c r="E3" i="22"/>
  <c r="E40" i="22"/>
  <c r="E39" i="22"/>
  <c r="E38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F9" i="22"/>
  <c r="F5" i="22"/>
  <c r="F22" i="22"/>
  <c r="F21" i="22"/>
  <c r="F20" i="22"/>
  <c r="F19" i="22"/>
  <c r="F18" i="22"/>
  <c r="F17" i="22"/>
  <c r="F16" i="22"/>
  <c r="F3" i="22"/>
  <c r="F4" i="22"/>
  <c r="F6" i="22"/>
  <c r="F7" i="22"/>
  <c r="F8" i="22"/>
  <c r="F10" i="22"/>
  <c r="F11" i="22"/>
  <c r="F12" i="22"/>
  <c r="F13" i="22"/>
  <c r="F14" i="22"/>
  <c r="F15" i="22"/>
  <c r="G11" i="22"/>
  <c r="G41" i="22"/>
  <c r="G40" i="22"/>
  <c r="G39" i="22"/>
  <c r="G38" i="22"/>
  <c r="G36" i="22"/>
  <c r="G35" i="22"/>
  <c r="G34" i="22"/>
  <c r="G33" i="22"/>
  <c r="G32" i="22"/>
  <c r="G31" i="22"/>
  <c r="G30" i="22"/>
  <c r="G29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0" i="22"/>
  <c r="G9" i="22"/>
  <c r="G8" i="22"/>
  <c r="G7" i="22"/>
  <c r="G4" i="22"/>
  <c r="G3" i="22"/>
  <c r="F35" i="22"/>
  <c r="F34" i="22"/>
  <c r="F31" i="22"/>
  <c r="F40" i="22"/>
  <c r="F39" i="22"/>
  <c r="F38" i="22"/>
  <c r="F36" i="22"/>
  <c r="F33" i="22"/>
  <c r="F32" i="22"/>
  <c r="F30" i="22"/>
  <c r="F29" i="22"/>
  <c r="F28" i="22"/>
  <c r="F27" i="22"/>
  <c r="F26" i="22"/>
  <c r="F25" i="22"/>
  <c r="F24" i="22"/>
  <c r="F23" i="22"/>
  <c r="D5" i="20" l="1"/>
  <c r="C5" i="20"/>
  <c r="E17" i="1"/>
  <c r="D17" i="1"/>
  <c r="F4" i="1" l="1"/>
</calcChain>
</file>

<file path=xl/comments1.xml><?xml version="1.0" encoding="utf-8"?>
<comments xmlns="http://schemas.openxmlformats.org/spreadsheetml/2006/main">
  <authors>
    <author>Author</author>
  </authors>
  <commentList>
    <comment ref="L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piece is 23 yards long and 18 inches wide.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confirm if these are Shiraz Man or Shah Man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confirm if these are Shiraz Man or Shah Man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 for 1906-07 mentions quantities of imports only.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quantities are mentioned in the text and tables.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OR at 0.008 £/Lbs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Using the same as 1902-03 due to no-mention.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quantities of exports and imports tables are available.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quantities of exports and imports tables are available.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Unusually high due to a relatively small crop.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piece is 23 yards long and 18 inches wide.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Using the same as 1902-03 due to no-mention.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confirm if these are Shiraz Man or Shah Man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to confirm if these are Shiraz or Ispahan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multiple factor of 8 is where the prices are quoted in 1 / 8th of man.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Prices are quoted as per 100.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Prices are quoted as per 1000.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Using the same as 1902-03 due to no-mention.
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case has 30 packets of 6 candles each (pg. 13 of 'Ispahan and Yezd, 1905-06')</t>
        </r>
      </text>
    </comment>
  </commentList>
</comments>
</file>

<file path=xl/sharedStrings.xml><?xml version="1.0" encoding="utf-8"?>
<sst xmlns="http://schemas.openxmlformats.org/spreadsheetml/2006/main" count="604" uniqueCount="200">
  <si>
    <t>Articles</t>
  </si>
  <si>
    <t>Units</t>
  </si>
  <si>
    <t>Quantity</t>
  </si>
  <si>
    <t>Number</t>
  </si>
  <si>
    <t>Rice</t>
  </si>
  <si>
    <t>Spices</t>
  </si>
  <si>
    <t>Cotton</t>
  </si>
  <si>
    <t>Piece</t>
  </si>
  <si>
    <t>Total (from regions)</t>
  </si>
  <si>
    <t>Barley</t>
  </si>
  <si>
    <t>cwt</t>
  </si>
  <si>
    <t>Opium</t>
  </si>
  <si>
    <t>Source</t>
  </si>
  <si>
    <t>Value (Sterling)</t>
  </si>
  <si>
    <t>Year</t>
  </si>
  <si>
    <t>Price (Sterling)</t>
  </si>
  <si>
    <t>Units (Price)</t>
  </si>
  <si>
    <t>£/Gallon</t>
  </si>
  <si>
    <t>Wood</t>
  </si>
  <si>
    <t>Matches</t>
  </si>
  <si>
    <t>Sugar, loaf</t>
  </si>
  <si>
    <t>Ispahan, 1911-12</t>
  </si>
  <si>
    <t>Sugar, moist</t>
  </si>
  <si>
    <t>Copper</t>
  </si>
  <si>
    <t>Velvets</t>
  </si>
  <si>
    <t>Indigo</t>
  </si>
  <si>
    <t>Yarns</t>
  </si>
  <si>
    <t>Glassware</t>
  </si>
  <si>
    <t>Candles</t>
  </si>
  <si>
    <t>Paper</t>
  </si>
  <si>
    <t xml:space="preserve">Yellow metal </t>
  </si>
  <si>
    <t>Tea</t>
  </si>
  <si>
    <t xml:space="preserve">Iron </t>
  </si>
  <si>
    <r>
      <rPr>
        <sz val="11"/>
        <rFont val="Calibri"/>
        <family val="2"/>
        <scheme val="minor"/>
      </rPr>
      <t xml:space="preserve">Kerosene oil </t>
    </r>
  </si>
  <si>
    <r>
      <rPr>
        <sz val="11"/>
        <rFont val="Calibri"/>
        <family val="2"/>
        <scheme val="minor"/>
      </rPr>
      <t>Velveteens</t>
    </r>
  </si>
  <si>
    <t>Ispahan, 1912-13</t>
  </si>
  <si>
    <t>Almonds</t>
  </si>
  <si>
    <t>Skins and pelts</t>
  </si>
  <si>
    <t>Ispahan, 1910-11</t>
  </si>
  <si>
    <t>Almonds, shelled</t>
  </si>
  <si>
    <t>£/Lbs</t>
  </si>
  <si>
    <t>Almonds, whole</t>
  </si>
  <si>
    <t>Units of conversion</t>
  </si>
  <si>
    <t>ForEx - 1912-13</t>
  </si>
  <si>
    <t>l.</t>
  </si>
  <si>
    <t>krans</t>
  </si>
  <si>
    <t>ForEx - 1906-07</t>
  </si>
  <si>
    <t>ForEx - 1905-06</t>
  </si>
  <si>
    <t>man</t>
  </si>
  <si>
    <t>lbs.</t>
  </si>
  <si>
    <t>ton</t>
  </si>
  <si>
    <t>Ispahan, 1905-06</t>
  </si>
  <si>
    <t>Ispahan, 1901-02</t>
  </si>
  <si>
    <t>Ispahan, 1902-03</t>
  </si>
  <si>
    <t>ForEx - 1901-02</t>
  </si>
  <si>
    <t>ForEx - 1902-03</t>
  </si>
  <si>
    <t>Tobacco</t>
  </si>
  <si>
    <t>Ispahan, 1898-99</t>
  </si>
  <si>
    <t>ForEx - 1898-99</t>
  </si>
  <si>
    <t>Ispahan, 1895-96</t>
  </si>
  <si>
    <t>kran</t>
  </si>
  <si>
    <t>shahi</t>
  </si>
  <si>
    <t>Peas</t>
  </si>
  <si>
    <t>Pistachios</t>
  </si>
  <si>
    <t>Nuts</t>
  </si>
  <si>
    <t>Melon seeds</t>
  </si>
  <si>
    <t>Cheese</t>
  </si>
  <si>
    <t>Raisins</t>
  </si>
  <si>
    <t>Walnuts</t>
  </si>
  <si>
    <t>Butter</t>
  </si>
  <si>
    <t>Soap</t>
  </si>
  <si>
    <t>Vinegar</t>
  </si>
  <si>
    <t>Dates</t>
  </si>
  <si>
    <t>Melon</t>
  </si>
  <si>
    <t>Pomegranates</t>
  </si>
  <si>
    <t>Apples</t>
  </si>
  <si>
    <t>Charcoal</t>
  </si>
  <si>
    <t>Grapes</t>
  </si>
  <si>
    <t>Sugar, Marseilles</t>
  </si>
  <si>
    <t>Eggs</t>
  </si>
  <si>
    <t>Meat, mutton</t>
  </si>
  <si>
    <t>Meat, beef</t>
  </si>
  <si>
    <t>Tea, black</t>
  </si>
  <si>
    <t>Tea, white</t>
  </si>
  <si>
    <r>
      <t>Milk</t>
    </r>
    <r>
      <rPr>
        <sz val="11.5"/>
        <rFont val="Times New Roman"/>
        <family val="1"/>
      </rPr>
      <t/>
    </r>
  </si>
  <si>
    <r>
      <t>Candles</t>
    </r>
    <r>
      <rPr>
        <sz val="11.5"/>
        <rFont val="Times New Roman"/>
        <family val="1"/>
      </rPr>
      <t/>
    </r>
  </si>
  <si>
    <t>Tobacco, Shiraz</t>
  </si>
  <si>
    <t>Tobacco, Ispahan</t>
  </si>
  <si>
    <t>Sun-dried bricks</t>
  </si>
  <si>
    <t>ForEx - 1895-96</t>
  </si>
  <si>
    <t>shah man</t>
  </si>
  <si>
    <t>shiraz man</t>
  </si>
  <si>
    <t>ForEx - 1896-97</t>
  </si>
  <si>
    <t>Ispahan, 1896-97</t>
  </si>
  <si>
    <t>Candles, Ispahan</t>
  </si>
  <si>
    <t>Ispahan, 1894-95</t>
  </si>
  <si>
    <t>Indigo, spurious</t>
  </si>
  <si>
    <t>Indigo, true</t>
  </si>
  <si>
    <t>Kerosine Oil</t>
  </si>
  <si>
    <t>Clothing, karbaz</t>
  </si>
  <si>
    <t>£/Piece</t>
  </si>
  <si>
    <t>Ispahan, 1893-94</t>
  </si>
  <si>
    <t>ForEx - 1893-94</t>
  </si>
  <si>
    <t>Ispahan, 1892-93</t>
  </si>
  <si>
    <t>ForEx - 1892-93</t>
  </si>
  <si>
    <t>£/Number</t>
  </si>
  <si>
    <t>Prices and Wages in London &amp; Southern England, 1259-1914</t>
  </si>
  <si>
    <t>A1) Original Prices</t>
  </si>
  <si>
    <t>Currency/units</t>
  </si>
  <si>
    <t>£/Cwt</t>
  </si>
  <si>
    <t>Comment</t>
  </si>
  <si>
    <t>Good</t>
  </si>
  <si>
    <t xml:space="preserve">Silk, tissues </t>
  </si>
  <si>
    <t xml:space="preserve">Kerosene oil </t>
  </si>
  <si>
    <t>Velveteens</t>
  </si>
  <si>
    <t>1910-11</t>
  </si>
  <si>
    <t>1911-12</t>
  </si>
  <si>
    <t>1912-13</t>
  </si>
  <si>
    <t>1895-96</t>
  </si>
  <si>
    <t>1901-02</t>
  </si>
  <si>
    <t>1902-03</t>
  </si>
  <si>
    <t>1905-06</t>
  </si>
  <si>
    <t>1894-95</t>
  </si>
  <si>
    <t>1898-99</t>
  </si>
  <si>
    <t>Bread</t>
  </si>
  <si>
    <t>Straw, chopped</t>
  </si>
  <si>
    <t>Peaches, dried</t>
  </si>
  <si>
    <t>Apricots, dried</t>
  </si>
  <si>
    <t>Peas, dried</t>
  </si>
  <si>
    <t>Beans</t>
  </si>
  <si>
    <t>1892-93</t>
  </si>
  <si>
    <t>1893-94</t>
  </si>
  <si>
    <t>1896-97</t>
  </si>
  <si>
    <t>Price (Units)</t>
  </si>
  <si>
    <t>Place of Origin</t>
  </si>
  <si>
    <t>Ispahan</t>
  </si>
  <si>
    <t>Shiraz</t>
  </si>
  <si>
    <t>Sugar</t>
  </si>
  <si>
    <t>Marseilles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</si>
  <si>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</si>
  <si>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</si>
  <si>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</si>
  <si>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</si>
  <si>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</si>
  <si>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</si>
  <si>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</si>
  <si>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Sources:</t>
  </si>
  <si>
    <t>Robert White Stevens, On the Stowage of Ships and their Cargoes, London, Longmans, Green, &amp; Co., 7th edition, 1894.</t>
  </si>
  <si>
    <t xml:space="preserve"> </t>
  </si>
  <si>
    <t>box</t>
  </si>
  <si>
    <t>tin</t>
  </si>
  <si>
    <t>lbs</t>
  </si>
  <si>
    <t>box, bale, halfload</t>
  </si>
  <si>
    <t>load</t>
  </si>
  <si>
    <t>Skins</t>
  </si>
  <si>
    <t>bundle</t>
  </si>
  <si>
    <t>bale</t>
  </si>
  <si>
    <t>cwt.</t>
  </si>
  <si>
    <t>piece</t>
  </si>
  <si>
    <t>£/Lbs.</t>
  </si>
  <si>
    <t>Gallon</t>
  </si>
  <si>
    <t>case</t>
  </si>
  <si>
    <t>gallon</t>
  </si>
  <si>
    <t>cwts.</t>
  </si>
  <si>
    <t>Cwts.</t>
  </si>
  <si>
    <t>£/Cwt.</t>
  </si>
  <si>
    <t xml:space="preserve">Wool, cloth </t>
  </si>
  <si>
    <t xml:space="preserve">Glass, window </t>
  </si>
  <si>
    <t>Cotton, piece-goods</t>
  </si>
  <si>
    <t>number</t>
  </si>
  <si>
    <t>Gum, tragacanth</t>
  </si>
  <si>
    <t>bag</t>
  </si>
  <si>
    <t>drum / tin</t>
  </si>
  <si>
    <t>Some errors were detected in the process and corrected. Please note that observations not recorded for some of the years listed above were not available in the source reports.</t>
  </si>
  <si>
    <t xml:space="preserve">Ispahan - Prices (Imports) </t>
  </si>
  <si>
    <t xml:space="preserve">Ispahan - Prices (Exports) </t>
  </si>
  <si>
    <t>- rearranges the adjusted data on bazaar (local) prices in single series for each commodity.</t>
  </si>
  <si>
    <t>Exports - Data (Raw &amp; Adjusted)</t>
  </si>
  <si>
    <t>Imports - Data (Raw &amp; Adjusted)</t>
  </si>
  <si>
    <t>- contains the raw and adjusted data on prices of imports taken directly from the sources described below.</t>
  </si>
  <si>
    <t>- contains the raw and adjusted data on prices of exports taken directly from the sources described below.</t>
  </si>
  <si>
    <t>- contains the raw and adjusted data on prices from bazaar (local) taken directly from the sources described below.</t>
  </si>
  <si>
    <t>Reports of British consuls published in: the British House of Commons papers in the diplomatic &amp; consular reports on trade and finance.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</si>
  <si>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Ispahan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1895-96 </t>
    </r>
    <r>
      <rPr>
        <sz val="10"/>
        <rFont val="Arial"/>
        <family val="2"/>
      </rPr>
      <t>to</t>
    </r>
    <r>
      <rPr>
        <b/>
        <i/>
        <sz val="10"/>
        <rFont val="Arial"/>
        <family val="2"/>
      </rPr>
      <t xml:space="preserve"> 1912-13</t>
    </r>
    <r>
      <rPr>
        <sz val="10"/>
        <rFont val="Arial"/>
        <family val="2"/>
      </rPr>
      <t>.  The data were compiled by British consuls.</t>
    </r>
  </si>
  <si>
    <t>packet</t>
  </si>
  <si>
    <t>Ispahan - Prices (Bazaar-Local)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</si>
  <si>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</si>
  <si>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</si>
  <si>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Bazaar (Local) - Prices (Raw &amp; Adjusted)</t>
  </si>
  <si>
    <t>Imports - Prices (Raw &amp; Adjusted)</t>
  </si>
  <si>
    <t>Exports - Prices (Raw &amp; Adjusted)</t>
  </si>
  <si>
    <t>Cotton, raw</t>
  </si>
  <si>
    <t>Glass, window</t>
  </si>
  <si>
    <t>Tobacco, tumbeki</t>
  </si>
  <si>
    <t>Plushes</t>
  </si>
  <si>
    <t>Tobacco, Tumbeki</t>
  </si>
  <si>
    <t>half load</t>
  </si>
  <si>
    <t>metric ton</t>
  </si>
  <si>
    <t>long ton</t>
  </si>
  <si>
    <t>Wool, cloth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</si>
</sst>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0"/>
    <numFmt numFmtId="167" formatCode="0.000"/>
    <numFmt numFmtId="168" formatCode="_(* #,##0.0000_);_(* \(#,##0.0000\);_(* &quot;-&quot;??_);_(@_)"/>
    <numFmt numFmtId="169" formatCode="_(* #,##0.00000_);_(* \(#,##0.00000\);_(* &quot;-&quot;??_);_(@_)"/>
    <numFmt numFmtId="170" formatCode="0.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7" fillId="0" borderId="0">
      <alignment vertical="top"/>
    </xf>
    <xf numFmtId="4" fontId="26" fillId="0" borderId="0" applyFont="0" applyFill="0" applyBorder="0" applyAlignment="0" applyProtection="0"/>
    <xf numFmtId="0" fontId="26" fillId="0" borderId="0">
      <alignment vertical="top"/>
    </xf>
  </cellStyleXfs>
  <cellXfs count="10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3" fillId="0" borderId="0" xfId="0" applyFont="1"/>
    <xf numFmtId="0" fontId="0" fillId="0" borderId="0" xfId="0" applyFont="1"/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1" fillId="0" borderId="0" xfId="1" applyNumberFormat="1" applyFont="1" applyFill="1" applyBorder="1"/>
    <xf numFmtId="164" fontId="6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5" fontId="0" fillId="0" borderId="0" xfId="1" applyNumberFormat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4" fillId="0" borderId="0" xfId="1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/>
    </xf>
    <xf numFmtId="0" fontId="4" fillId="0" borderId="0" xfId="0" applyFont="1"/>
    <xf numFmtId="0" fontId="8" fillId="0" borderId="0" xfId="0" applyFont="1" applyAlignment="1"/>
    <xf numFmtId="164" fontId="8" fillId="0" borderId="0" xfId="1" applyNumberFormat="1" applyFont="1" applyAlignment="1"/>
    <xf numFmtId="164" fontId="15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0" xfId="1" applyNumberFormat="1" applyFont="1" applyBorder="1" applyAlignment="1"/>
    <xf numFmtId="164" fontId="6" fillId="0" borderId="0" xfId="1" applyNumberFormat="1" applyFont="1" applyFill="1" applyAlignment="1">
      <alignment horizontal="left"/>
    </xf>
    <xf numFmtId="164" fontId="16" fillId="0" borderId="0" xfId="1" applyNumberFormat="1" applyFont="1" applyFill="1" applyAlignment="1">
      <alignment horizontal="left"/>
    </xf>
    <xf numFmtId="1" fontId="0" fillId="0" borderId="0" xfId="0" applyNumberFormat="1"/>
    <xf numFmtId="0" fontId="11" fillId="0" borderId="0" xfId="2" applyFont="1" applyBorder="1" applyAlignment="1">
      <alignment horizontal="left" vertical="top"/>
    </xf>
    <xf numFmtId="164" fontId="1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/>
    <xf numFmtId="0" fontId="8" fillId="0" borderId="0" xfId="0" applyFont="1" applyAlignment="1">
      <alignment horizontal="center"/>
    </xf>
    <xf numFmtId="0" fontId="18" fillId="0" borderId="0" xfId="3" applyFont="1" applyBorder="1" applyAlignment="1">
      <alignment horizontal="left" vertical="center"/>
    </xf>
    <xf numFmtId="0" fontId="17" fillId="0" borderId="0" xfId="3" applyAlignment="1"/>
    <xf numFmtId="0" fontId="19" fillId="0" borderId="0" xfId="3" applyFont="1" applyAlignment="1"/>
    <xf numFmtId="0" fontId="20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right"/>
    </xf>
    <xf numFmtId="0" fontId="22" fillId="2" borderId="0" xfId="3" applyFont="1" applyFill="1" applyBorder="1" applyAlignment="1">
      <alignment horizontal="left"/>
    </xf>
    <xf numFmtId="0" fontId="21" fillId="2" borderId="0" xfId="3" applyFont="1" applyFill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2" fillId="2" borderId="0" xfId="3" applyFont="1" applyFill="1" applyBorder="1" applyAlignment="1">
      <alignment horizontal="left" wrapText="1"/>
    </xf>
    <xf numFmtId="0" fontId="22" fillId="0" borderId="0" xfId="3" applyFont="1" applyBorder="1" applyAlignment="1">
      <alignment horizontal="right"/>
    </xf>
    <xf numFmtId="0" fontId="23" fillId="2" borderId="0" xfId="3" applyFont="1" applyFill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0" xfId="3" applyFont="1" applyAlignment="1"/>
    <xf numFmtId="0" fontId="22" fillId="2" borderId="0" xfId="3" applyFont="1" applyFill="1" applyBorder="1" applyAlignment="1">
      <alignment horizontal="right"/>
    </xf>
    <xf numFmtId="0" fontId="24" fillId="0" borderId="0" xfId="3" applyFont="1" applyBorder="1" applyAlignment="1">
      <alignment horizontal="right"/>
    </xf>
    <xf numFmtId="0" fontId="25" fillId="0" borderId="0" xfId="3" applyFont="1" applyBorder="1" applyAlignment="1">
      <alignment horizontal="center"/>
    </xf>
    <xf numFmtId="0" fontId="21" fillId="2" borderId="0" xfId="3" applyFont="1" applyFill="1" applyBorder="1" applyAlignment="1" applyProtection="1">
      <alignment horizontal="right"/>
    </xf>
    <xf numFmtId="2" fontId="25" fillId="0" borderId="0" xfId="3" applyNumberFormat="1" applyFont="1" applyBorder="1" applyAlignment="1" applyProtection="1">
      <alignment horizontal="center"/>
    </xf>
    <xf numFmtId="2" fontId="25" fillId="0" borderId="0" xfId="3" applyNumberFormat="1" applyFont="1" applyAlignment="1"/>
    <xf numFmtId="0" fontId="25" fillId="0" borderId="0" xfId="3" applyFont="1" applyBorder="1" applyAlignment="1" applyProtection="1">
      <alignment horizontal="center"/>
    </xf>
    <xf numFmtId="0" fontId="17" fillId="0" borderId="0" xfId="3" applyAlignment="1" applyProtection="1"/>
    <xf numFmtId="43" fontId="4" fillId="0" borderId="0" xfId="1" applyNumberFormat="1" applyFont="1" applyBorder="1" applyAlignment="1">
      <alignment horizontal="right" vertical="center" wrapText="1"/>
    </xf>
    <xf numFmtId="0" fontId="27" fillId="2" borderId="0" xfId="3" applyFont="1" applyFill="1" applyBorder="1" applyAlignment="1">
      <alignment horizontal="left"/>
    </xf>
    <xf numFmtId="166" fontId="25" fillId="0" borderId="0" xfId="3" applyNumberFormat="1" applyFont="1" applyBorder="1" applyAlignment="1" applyProtection="1">
      <alignment horizontal="center"/>
    </xf>
    <xf numFmtId="167" fontId="25" fillId="0" borderId="0" xfId="3" applyNumberFormat="1" applyFont="1" applyBorder="1" applyAlignment="1" applyProtection="1">
      <alignment horizontal="center"/>
    </xf>
    <xf numFmtId="167" fontId="25" fillId="0" borderId="0" xfId="3" applyNumberFormat="1" applyFont="1" applyAlignment="1"/>
    <xf numFmtId="167" fontId="25" fillId="0" borderId="0" xfId="3" applyNumberFormat="1" applyFont="1" applyBorder="1" applyAlignment="1">
      <alignment horizontal="center"/>
    </xf>
    <xf numFmtId="167" fontId="17" fillId="0" borderId="0" xfId="3" applyNumberFormat="1" applyAlignment="1"/>
    <xf numFmtId="0" fontId="21" fillId="0" borderId="0" xfId="3" applyFont="1" applyBorder="1" applyAlignment="1">
      <alignment horizontal="left"/>
    </xf>
    <xf numFmtId="0" fontId="21" fillId="2" borderId="0" xfId="3" applyFont="1" applyFill="1" applyBorder="1" applyAlignment="1">
      <alignment horizontal="left"/>
    </xf>
    <xf numFmtId="0" fontId="19" fillId="0" borderId="0" xfId="3" applyFont="1" applyAlignment="1">
      <alignment horizontal="left"/>
    </xf>
    <xf numFmtId="0" fontId="26" fillId="0" borderId="0" xfId="5" applyFont="1" applyAlignment="1"/>
    <xf numFmtId="0" fontId="26" fillId="0" borderId="0" xfId="5" applyAlignment="1"/>
    <xf numFmtId="0" fontId="26" fillId="0" borderId="0" xfId="5" applyFont="1" applyBorder="1" applyAlignment="1"/>
    <xf numFmtId="0" fontId="26" fillId="0" borderId="0" xfId="5" applyBorder="1" applyAlignment="1"/>
    <xf numFmtId="0" fontId="29" fillId="0" borderId="0" xfId="5" applyFont="1" applyAlignment="1"/>
    <xf numFmtId="0" fontId="26" fillId="0" borderId="0" xfId="5" quotePrefix="1" applyFont="1" applyAlignment="1"/>
    <xf numFmtId="0" fontId="26" fillId="0" borderId="0" xfId="5" applyFont="1" applyAlignment="1">
      <alignment horizontal="left"/>
    </xf>
    <xf numFmtId="2" fontId="0" fillId="0" borderId="0" xfId="0" applyNumberFormat="1" applyFill="1"/>
    <xf numFmtId="0" fontId="3" fillId="0" borderId="0" xfId="0" applyFont="1" applyFill="1"/>
    <xf numFmtId="168" fontId="5" fillId="0" borderId="0" xfId="1" applyNumberFormat="1" applyFont="1" applyFill="1"/>
    <xf numFmtId="169" fontId="5" fillId="0" borderId="0" xfId="1" applyNumberFormat="1" applyFont="1" applyFill="1"/>
    <xf numFmtId="4" fontId="0" fillId="0" borderId="0" xfId="0" applyNumberFormat="1" applyFill="1"/>
    <xf numFmtId="0" fontId="0" fillId="0" borderId="0" xfId="0" applyFill="1" applyAlignment="1">
      <alignment vertical="center"/>
    </xf>
    <xf numFmtId="167" fontId="25" fillId="0" borderId="0" xfId="3" applyNumberFormat="1" applyFont="1" applyFill="1" applyBorder="1" applyAlignment="1" applyProtection="1">
      <alignment horizontal="center"/>
    </xf>
    <xf numFmtId="165" fontId="0" fillId="3" borderId="0" xfId="1" applyNumberFormat="1" applyFont="1" applyFill="1"/>
    <xf numFmtId="0" fontId="22" fillId="0" borderId="0" xfId="3" applyFont="1" applyBorder="1" applyAlignment="1">
      <alignment horizontal="right" wrapText="1"/>
    </xf>
    <xf numFmtId="0" fontId="22" fillId="2" borderId="0" xfId="3" applyFont="1" applyFill="1" applyBorder="1" applyAlignment="1">
      <alignment horizontal="center" wrapText="1"/>
    </xf>
    <xf numFmtId="0" fontId="23" fillId="2" borderId="0" xfId="3" applyFont="1" applyFill="1" applyBorder="1" applyAlignment="1">
      <alignment horizontal="center" wrapText="1"/>
    </xf>
    <xf numFmtId="0" fontId="23" fillId="0" borderId="0" xfId="3" applyFont="1" applyBorder="1" applyAlignment="1">
      <alignment horizontal="center" wrapText="1"/>
    </xf>
    <xf numFmtId="0" fontId="22" fillId="0" borderId="0" xfId="3" applyFont="1" applyBorder="1" applyAlignment="1">
      <alignment horizontal="center" wrapText="1"/>
    </xf>
    <xf numFmtId="0" fontId="22" fillId="0" borderId="0" xfId="3" applyFont="1" applyAlignment="1">
      <alignment wrapText="1"/>
    </xf>
    <xf numFmtId="167" fontId="25" fillId="0" borderId="0" xfId="3" applyNumberFormat="1" applyFont="1" applyFill="1" applyAlignment="1"/>
    <xf numFmtId="170" fontId="0" fillId="0" borderId="0" xfId="0" applyNumberFormat="1"/>
    <xf numFmtId="0" fontId="26" fillId="0" borderId="0" xfId="5" applyFont="1" applyAlignment="1">
      <alignment horizontal="left" vertical="top" wrapText="1"/>
    </xf>
    <xf numFmtId="0" fontId="26" fillId="0" borderId="0" xfId="5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6">
    <cellStyle name="Comma" xfId="1" builtinId="3"/>
    <cellStyle name="Comma 2" xfId="4"/>
    <cellStyle name="Normal" xfId="0" builtinId="0"/>
    <cellStyle name="Normal 2" xfId="2"/>
    <cellStyle name="Normal 3" xfId="3"/>
    <cellStyle name="Normal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B8" sqref="B8"/>
    </sheetView>
  </sheetViews>
  <sheetFormatPr defaultRowHeight="13.2" x14ac:dyDescent="0.25"/>
  <cols>
    <col min="1" max="2" width="8.88671875" style="69"/>
    <col min="3" max="3" width="16.6640625" style="69" customWidth="1"/>
    <col min="4" max="16384" width="8.88671875" style="69"/>
  </cols>
  <sheetData>
    <row r="1" spans="1:4" x14ac:dyDescent="0.25">
      <c r="A1" s="68" t="s">
        <v>139</v>
      </c>
    </row>
    <row r="2" spans="1:4" x14ac:dyDescent="0.25">
      <c r="A2" s="68" t="s">
        <v>140</v>
      </c>
    </row>
    <row r="4" spans="1:4" x14ac:dyDescent="0.25">
      <c r="A4" s="68" t="s">
        <v>183</v>
      </c>
    </row>
    <row r="5" spans="1:4" x14ac:dyDescent="0.25">
      <c r="A5" s="68" t="s">
        <v>141</v>
      </c>
    </row>
    <row r="6" spans="1:4" s="71" customFormat="1" x14ac:dyDescent="0.25">
      <c r="A6" s="70"/>
    </row>
    <row r="7" spans="1:4" x14ac:dyDescent="0.25">
      <c r="A7" s="68" t="s">
        <v>142</v>
      </c>
    </row>
    <row r="8" spans="1:4" x14ac:dyDescent="0.25">
      <c r="A8" s="68" t="s">
        <v>173</v>
      </c>
    </row>
    <row r="9" spans="1:4" x14ac:dyDescent="0.25">
      <c r="A9" s="68"/>
    </row>
    <row r="10" spans="1:4" x14ac:dyDescent="0.25">
      <c r="A10" s="72" t="s">
        <v>143</v>
      </c>
    </row>
    <row r="11" spans="1:4" x14ac:dyDescent="0.25">
      <c r="A11" s="92" t="s">
        <v>174</v>
      </c>
      <c r="B11" s="92"/>
      <c r="C11" s="92"/>
      <c r="D11" s="73" t="s">
        <v>144</v>
      </c>
    </row>
    <row r="12" spans="1:4" x14ac:dyDescent="0.25">
      <c r="A12" s="92" t="s">
        <v>175</v>
      </c>
      <c r="B12" s="92"/>
      <c r="C12" s="92"/>
      <c r="D12" s="73" t="s">
        <v>145</v>
      </c>
    </row>
    <row r="13" spans="1:4" x14ac:dyDescent="0.25">
      <c r="A13" s="92" t="s">
        <v>185</v>
      </c>
      <c r="B13" s="92"/>
      <c r="C13" s="92"/>
      <c r="D13" s="73" t="s">
        <v>176</v>
      </c>
    </row>
    <row r="14" spans="1:4" x14ac:dyDescent="0.25">
      <c r="A14" s="92" t="s">
        <v>178</v>
      </c>
      <c r="B14" s="92"/>
      <c r="C14" s="92"/>
      <c r="D14" s="73" t="s">
        <v>186</v>
      </c>
    </row>
    <row r="15" spans="1:4" x14ac:dyDescent="0.25">
      <c r="A15" s="92" t="s">
        <v>177</v>
      </c>
      <c r="B15" s="92"/>
      <c r="C15" s="92"/>
      <c r="D15" s="73" t="s">
        <v>187</v>
      </c>
    </row>
    <row r="16" spans="1:4" x14ac:dyDescent="0.25">
      <c r="A16" s="92" t="s">
        <v>189</v>
      </c>
      <c r="B16" s="92"/>
      <c r="C16" s="92"/>
      <c r="D16" s="73" t="s">
        <v>179</v>
      </c>
    </row>
    <row r="17" spans="1:16" x14ac:dyDescent="0.25">
      <c r="A17" s="92" t="s">
        <v>190</v>
      </c>
      <c r="B17" s="92"/>
      <c r="C17" s="92"/>
      <c r="D17" s="73" t="s">
        <v>180</v>
      </c>
    </row>
    <row r="18" spans="1:16" x14ac:dyDescent="0.25">
      <c r="A18" s="74" t="s">
        <v>188</v>
      </c>
      <c r="B18" s="74"/>
      <c r="C18" s="74"/>
      <c r="D18" s="73" t="s">
        <v>181</v>
      </c>
    </row>
    <row r="20" spans="1:16" x14ac:dyDescent="0.25">
      <c r="A20" s="72" t="s">
        <v>146</v>
      </c>
    </row>
    <row r="21" spans="1:16" x14ac:dyDescent="0.25">
      <c r="A21" s="91" t="s">
        <v>182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1:16" x14ac:dyDescent="0.25">
      <c r="A22" s="69" t="s">
        <v>147</v>
      </c>
    </row>
    <row r="23" spans="1:16" x14ac:dyDescent="0.25">
      <c r="C23" s="68" t="s">
        <v>148</v>
      </c>
    </row>
  </sheetData>
  <mergeCells count="8">
    <mergeCell ref="A21:P21"/>
    <mergeCell ref="A13:C13"/>
    <mergeCell ref="A11:C11"/>
    <mergeCell ref="A12:C12"/>
    <mergeCell ref="A14:C14"/>
    <mergeCell ref="A15:C15"/>
    <mergeCell ref="A16:C16"/>
    <mergeCell ref="A17:C17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5"/>
  <sheetViews>
    <sheetView workbookViewId="0">
      <pane xSplit="2" ySplit="7" topLeftCell="I8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Q11" sqref="Q11"/>
    </sheetView>
  </sheetViews>
  <sheetFormatPr defaultColWidth="9.6640625" defaultRowHeight="12" x14ac:dyDescent="0.2"/>
  <cols>
    <col min="1" max="1" width="6.44140625" style="38" customWidth="1"/>
    <col min="2" max="2" width="13.88671875" style="37" customWidth="1"/>
    <col min="3" max="3" width="14.33203125" style="37" customWidth="1"/>
    <col min="4" max="20" width="9.6640625" style="37"/>
    <col min="21" max="21" width="12" style="37" customWidth="1"/>
    <col min="22" max="22" width="12.77734375" style="37" customWidth="1"/>
    <col min="23" max="23" width="11.109375" style="37" customWidth="1"/>
    <col min="24" max="24" width="12" style="37" customWidth="1"/>
    <col min="25" max="25" width="9.6640625" style="37"/>
    <col min="26" max="26" width="15.33203125" style="37" customWidth="1"/>
    <col min="27" max="27" width="15.21875" style="37" customWidth="1"/>
    <col min="28" max="28" width="21.44140625" style="37" customWidth="1"/>
    <col min="29" max="44" width="9.6640625" style="37"/>
    <col min="45" max="46" width="13.44140625" style="37" customWidth="1"/>
    <col min="47" max="47" width="9.6640625" style="37"/>
    <col min="48" max="48" width="13.88671875" style="37" customWidth="1"/>
    <col min="49" max="49" width="10.6640625" style="37" customWidth="1"/>
    <col min="50" max="50" width="17.33203125" style="37" customWidth="1"/>
    <col min="51" max="52" width="12.6640625" style="37" customWidth="1"/>
    <col min="53" max="53" width="11.21875" style="37" customWidth="1"/>
    <col min="54" max="54" width="18.33203125" style="37" customWidth="1"/>
    <col min="55" max="55" width="12.88671875" style="37" customWidth="1"/>
    <col min="56" max="57" width="13.21875" style="37" customWidth="1"/>
    <col min="58" max="58" width="10.88671875" style="37" customWidth="1"/>
    <col min="59" max="59" width="11.109375" style="37" customWidth="1"/>
    <col min="60" max="60" width="15.21875" style="37" customWidth="1"/>
    <col min="61" max="61" width="9.6640625" style="37"/>
    <col min="62" max="62" width="11" style="37" customWidth="1"/>
    <col min="63" max="63" width="10.77734375" style="37" customWidth="1"/>
    <col min="64" max="64" width="11.44140625" style="37" customWidth="1"/>
    <col min="65" max="65" width="4" style="37" customWidth="1"/>
    <col min="66" max="256" width="9.6640625" style="37"/>
    <col min="257" max="257" width="6.44140625" style="37" customWidth="1"/>
    <col min="258" max="258" width="13.88671875" style="37" customWidth="1"/>
    <col min="259" max="259" width="14.33203125" style="37" customWidth="1"/>
    <col min="260" max="276" width="9.6640625" style="37"/>
    <col min="277" max="277" width="12" style="37" customWidth="1"/>
    <col min="278" max="278" width="12.77734375" style="37" customWidth="1"/>
    <col min="279" max="279" width="11.109375" style="37" customWidth="1"/>
    <col min="280" max="280" width="12" style="37" customWidth="1"/>
    <col min="281" max="281" width="9.6640625" style="37"/>
    <col min="282" max="282" width="15.33203125" style="37" customWidth="1"/>
    <col min="283" max="283" width="15.21875" style="37" customWidth="1"/>
    <col min="284" max="284" width="21.44140625" style="37" customWidth="1"/>
    <col min="285" max="300" width="9.6640625" style="37"/>
    <col min="301" max="302" width="13.44140625" style="37" customWidth="1"/>
    <col min="303" max="303" width="9.6640625" style="37"/>
    <col min="304" max="304" width="13.88671875" style="37" customWidth="1"/>
    <col min="305" max="305" width="10.6640625" style="37" customWidth="1"/>
    <col min="306" max="306" width="17.33203125" style="37" customWidth="1"/>
    <col min="307" max="308" width="12.6640625" style="37" customWidth="1"/>
    <col min="309" max="309" width="11.21875" style="37" customWidth="1"/>
    <col min="310" max="310" width="18.33203125" style="37" customWidth="1"/>
    <col min="311" max="311" width="12.88671875" style="37" customWidth="1"/>
    <col min="312" max="313" width="13.21875" style="37" customWidth="1"/>
    <col min="314" max="314" width="10.88671875" style="37" customWidth="1"/>
    <col min="315" max="315" width="11.109375" style="37" customWidth="1"/>
    <col min="316" max="316" width="15.21875" style="37" customWidth="1"/>
    <col min="317" max="317" width="9.6640625" style="37"/>
    <col min="318" max="318" width="11" style="37" customWidth="1"/>
    <col min="319" max="319" width="10.77734375" style="37" customWidth="1"/>
    <col min="320" max="320" width="11.44140625" style="37" customWidth="1"/>
    <col min="321" max="321" width="4" style="37" customWidth="1"/>
    <col min="322" max="512" width="9.6640625" style="37"/>
    <col min="513" max="513" width="6.44140625" style="37" customWidth="1"/>
    <col min="514" max="514" width="13.88671875" style="37" customWidth="1"/>
    <col min="515" max="515" width="14.33203125" style="37" customWidth="1"/>
    <col min="516" max="532" width="9.6640625" style="37"/>
    <col min="533" max="533" width="12" style="37" customWidth="1"/>
    <col min="534" max="534" width="12.77734375" style="37" customWidth="1"/>
    <col min="535" max="535" width="11.109375" style="37" customWidth="1"/>
    <col min="536" max="536" width="12" style="37" customWidth="1"/>
    <col min="537" max="537" width="9.6640625" style="37"/>
    <col min="538" max="538" width="15.33203125" style="37" customWidth="1"/>
    <col min="539" max="539" width="15.21875" style="37" customWidth="1"/>
    <col min="540" max="540" width="21.44140625" style="37" customWidth="1"/>
    <col min="541" max="556" width="9.6640625" style="37"/>
    <col min="557" max="558" width="13.44140625" style="37" customWidth="1"/>
    <col min="559" max="559" width="9.6640625" style="37"/>
    <col min="560" max="560" width="13.88671875" style="37" customWidth="1"/>
    <col min="561" max="561" width="10.6640625" style="37" customWidth="1"/>
    <col min="562" max="562" width="17.33203125" style="37" customWidth="1"/>
    <col min="563" max="564" width="12.6640625" style="37" customWidth="1"/>
    <col min="565" max="565" width="11.21875" style="37" customWidth="1"/>
    <col min="566" max="566" width="18.33203125" style="37" customWidth="1"/>
    <col min="567" max="567" width="12.88671875" style="37" customWidth="1"/>
    <col min="568" max="569" width="13.21875" style="37" customWidth="1"/>
    <col min="570" max="570" width="10.88671875" style="37" customWidth="1"/>
    <col min="571" max="571" width="11.109375" style="37" customWidth="1"/>
    <col min="572" max="572" width="15.21875" style="37" customWidth="1"/>
    <col min="573" max="573" width="9.6640625" style="37"/>
    <col min="574" max="574" width="11" style="37" customWidth="1"/>
    <col min="575" max="575" width="10.77734375" style="37" customWidth="1"/>
    <col min="576" max="576" width="11.44140625" style="37" customWidth="1"/>
    <col min="577" max="577" width="4" style="37" customWidth="1"/>
    <col min="578" max="768" width="9.6640625" style="37"/>
    <col min="769" max="769" width="6.44140625" style="37" customWidth="1"/>
    <col min="770" max="770" width="13.88671875" style="37" customWidth="1"/>
    <col min="771" max="771" width="14.33203125" style="37" customWidth="1"/>
    <col min="772" max="788" width="9.6640625" style="37"/>
    <col min="789" max="789" width="12" style="37" customWidth="1"/>
    <col min="790" max="790" width="12.77734375" style="37" customWidth="1"/>
    <col min="791" max="791" width="11.109375" style="37" customWidth="1"/>
    <col min="792" max="792" width="12" style="37" customWidth="1"/>
    <col min="793" max="793" width="9.6640625" style="37"/>
    <col min="794" max="794" width="15.33203125" style="37" customWidth="1"/>
    <col min="795" max="795" width="15.21875" style="37" customWidth="1"/>
    <col min="796" max="796" width="21.44140625" style="37" customWidth="1"/>
    <col min="797" max="812" width="9.6640625" style="37"/>
    <col min="813" max="814" width="13.44140625" style="37" customWidth="1"/>
    <col min="815" max="815" width="9.6640625" style="37"/>
    <col min="816" max="816" width="13.88671875" style="37" customWidth="1"/>
    <col min="817" max="817" width="10.6640625" style="37" customWidth="1"/>
    <col min="818" max="818" width="17.33203125" style="37" customWidth="1"/>
    <col min="819" max="820" width="12.6640625" style="37" customWidth="1"/>
    <col min="821" max="821" width="11.21875" style="37" customWidth="1"/>
    <col min="822" max="822" width="18.33203125" style="37" customWidth="1"/>
    <col min="823" max="823" width="12.88671875" style="37" customWidth="1"/>
    <col min="824" max="825" width="13.21875" style="37" customWidth="1"/>
    <col min="826" max="826" width="10.88671875" style="37" customWidth="1"/>
    <col min="827" max="827" width="11.109375" style="37" customWidth="1"/>
    <col min="828" max="828" width="15.21875" style="37" customWidth="1"/>
    <col min="829" max="829" width="9.6640625" style="37"/>
    <col min="830" max="830" width="11" style="37" customWidth="1"/>
    <col min="831" max="831" width="10.77734375" style="37" customWidth="1"/>
    <col min="832" max="832" width="11.44140625" style="37" customWidth="1"/>
    <col min="833" max="833" width="4" style="37" customWidth="1"/>
    <col min="834" max="1024" width="9.6640625" style="37"/>
    <col min="1025" max="1025" width="6.44140625" style="37" customWidth="1"/>
    <col min="1026" max="1026" width="13.88671875" style="37" customWidth="1"/>
    <col min="1027" max="1027" width="14.33203125" style="37" customWidth="1"/>
    <col min="1028" max="1044" width="9.6640625" style="37"/>
    <col min="1045" max="1045" width="12" style="37" customWidth="1"/>
    <col min="1046" max="1046" width="12.77734375" style="37" customWidth="1"/>
    <col min="1047" max="1047" width="11.109375" style="37" customWidth="1"/>
    <col min="1048" max="1048" width="12" style="37" customWidth="1"/>
    <col min="1049" max="1049" width="9.6640625" style="37"/>
    <col min="1050" max="1050" width="15.33203125" style="37" customWidth="1"/>
    <col min="1051" max="1051" width="15.21875" style="37" customWidth="1"/>
    <col min="1052" max="1052" width="21.44140625" style="37" customWidth="1"/>
    <col min="1053" max="1068" width="9.6640625" style="37"/>
    <col min="1069" max="1070" width="13.44140625" style="37" customWidth="1"/>
    <col min="1071" max="1071" width="9.6640625" style="37"/>
    <col min="1072" max="1072" width="13.88671875" style="37" customWidth="1"/>
    <col min="1073" max="1073" width="10.6640625" style="37" customWidth="1"/>
    <col min="1074" max="1074" width="17.33203125" style="37" customWidth="1"/>
    <col min="1075" max="1076" width="12.6640625" style="37" customWidth="1"/>
    <col min="1077" max="1077" width="11.21875" style="37" customWidth="1"/>
    <col min="1078" max="1078" width="18.33203125" style="37" customWidth="1"/>
    <col min="1079" max="1079" width="12.88671875" style="37" customWidth="1"/>
    <col min="1080" max="1081" width="13.21875" style="37" customWidth="1"/>
    <col min="1082" max="1082" width="10.88671875" style="37" customWidth="1"/>
    <col min="1083" max="1083" width="11.109375" style="37" customWidth="1"/>
    <col min="1084" max="1084" width="15.21875" style="37" customWidth="1"/>
    <col min="1085" max="1085" width="9.6640625" style="37"/>
    <col min="1086" max="1086" width="11" style="37" customWidth="1"/>
    <col min="1087" max="1087" width="10.77734375" style="37" customWidth="1"/>
    <col min="1088" max="1088" width="11.44140625" style="37" customWidth="1"/>
    <col min="1089" max="1089" width="4" style="37" customWidth="1"/>
    <col min="1090" max="1280" width="9.6640625" style="37"/>
    <col min="1281" max="1281" width="6.44140625" style="37" customWidth="1"/>
    <col min="1282" max="1282" width="13.88671875" style="37" customWidth="1"/>
    <col min="1283" max="1283" width="14.33203125" style="37" customWidth="1"/>
    <col min="1284" max="1300" width="9.6640625" style="37"/>
    <col min="1301" max="1301" width="12" style="37" customWidth="1"/>
    <col min="1302" max="1302" width="12.77734375" style="37" customWidth="1"/>
    <col min="1303" max="1303" width="11.109375" style="37" customWidth="1"/>
    <col min="1304" max="1304" width="12" style="37" customWidth="1"/>
    <col min="1305" max="1305" width="9.6640625" style="37"/>
    <col min="1306" max="1306" width="15.33203125" style="37" customWidth="1"/>
    <col min="1307" max="1307" width="15.21875" style="37" customWidth="1"/>
    <col min="1308" max="1308" width="21.44140625" style="37" customWidth="1"/>
    <col min="1309" max="1324" width="9.6640625" style="37"/>
    <col min="1325" max="1326" width="13.44140625" style="37" customWidth="1"/>
    <col min="1327" max="1327" width="9.6640625" style="37"/>
    <col min="1328" max="1328" width="13.88671875" style="37" customWidth="1"/>
    <col min="1329" max="1329" width="10.6640625" style="37" customWidth="1"/>
    <col min="1330" max="1330" width="17.33203125" style="37" customWidth="1"/>
    <col min="1331" max="1332" width="12.6640625" style="37" customWidth="1"/>
    <col min="1333" max="1333" width="11.21875" style="37" customWidth="1"/>
    <col min="1334" max="1334" width="18.33203125" style="37" customWidth="1"/>
    <col min="1335" max="1335" width="12.88671875" style="37" customWidth="1"/>
    <col min="1336" max="1337" width="13.21875" style="37" customWidth="1"/>
    <col min="1338" max="1338" width="10.88671875" style="37" customWidth="1"/>
    <col min="1339" max="1339" width="11.109375" style="37" customWidth="1"/>
    <col min="1340" max="1340" width="15.21875" style="37" customWidth="1"/>
    <col min="1341" max="1341" width="9.6640625" style="37"/>
    <col min="1342" max="1342" width="11" style="37" customWidth="1"/>
    <col min="1343" max="1343" width="10.77734375" style="37" customWidth="1"/>
    <col min="1344" max="1344" width="11.44140625" style="37" customWidth="1"/>
    <col min="1345" max="1345" width="4" style="37" customWidth="1"/>
    <col min="1346" max="1536" width="9.6640625" style="37"/>
    <col min="1537" max="1537" width="6.44140625" style="37" customWidth="1"/>
    <col min="1538" max="1538" width="13.88671875" style="37" customWidth="1"/>
    <col min="1539" max="1539" width="14.33203125" style="37" customWidth="1"/>
    <col min="1540" max="1556" width="9.6640625" style="37"/>
    <col min="1557" max="1557" width="12" style="37" customWidth="1"/>
    <col min="1558" max="1558" width="12.77734375" style="37" customWidth="1"/>
    <col min="1559" max="1559" width="11.109375" style="37" customWidth="1"/>
    <col min="1560" max="1560" width="12" style="37" customWidth="1"/>
    <col min="1561" max="1561" width="9.6640625" style="37"/>
    <col min="1562" max="1562" width="15.33203125" style="37" customWidth="1"/>
    <col min="1563" max="1563" width="15.21875" style="37" customWidth="1"/>
    <col min="1564" max="1564" width="21.44140625" style="37" customWidth="1"/>
    <col min="1565" max="1580" width="9.6640625" style="37"/>
    <col min="1581" max="1582" width="13.44140625" style="37" customWidth="1"/>
    <col min="1583" max="1583" width="9.6640625" style="37"/>
    <col min="1584" max="1584" width="13.88671875" style="37" customWidth="1"/>
    <col min="1585" max="1585" width="10.6640625" style="37" customWidth="1"/>
    <col min="1586" max="1586" width="17.33203125" style="37" customWidth="1"/>
    <col min="1587" max="1588" width="12.6640625" style="37" customWidth="1"/>
    <col min="1589" max="1589" width="11.21875" style="37" customWidth="1"/>
    <col min="1590" max="1590" width="18.33203125" style="37" customWidth="1"/>
    <col min="1591" max="1591" width="12.88671875" style="37" customWidth="1"/>
    <col min="1592" max="1593" width="13.21875" style="37" customWidth="1"/>
    <col min="1594" max="1594" width="10.88671875" style="37" customWidth="1"/>
    <col min="1595" max="1595" width="11.109375" style="37" customWidth="1"/>
    <col min="1596" max="1596" width="15.21875" style="37" customWidth="1"/>
    <col min="1597" max="1597" width="9.6640625" style="37"/>
    <col min="1598" max="1598" width="11" style="37" customWidth="1"/>
    <col min="1599" max="1599" width="10.77734375" style="37" customWidth="1"/>
    <col min="1600" max="1600" width="11.44140625" style="37" customWidth="1"/>
    <col min="1601" max="1601" width="4" style="37" customWidth="1"/>
    <col min="1602" max="1792" width="9.6640625" style="37"/>
    <col min="1793" max="1793" width="6.44140625" style="37" customWidth="1"/>
    <col min="1794" max="1794" width="13.88671875" style="37" customWidth="1"/>
    <col min="1795" max="1795" width="14.33203125" style="37" customWidth="1"/>
    <col min="1796" max="1812" width="9.6640625" style="37"/>
    <col min="1813" max="1813" width="12" style="37" customWidth="1"/>
    <col min="1814" max="1814" width="12.77734375" style="37" customWidth="1"/>
    <col min="1815" max="1815" width="11.109375" style="37" customWidth="1"/>
    <col min="1816" max="1816" width="12" style="37" customWidth="1"/>
    <col min="1817" max="1817" width="9.6640625" style="37"/>
    <col min="1818" max="1818" width="15.33203125" style="37" customWidth="1"/>
    <col min="1819" max="1819" width="15.21875" style="37" customWidth="1"/>
    <col min="1820" max="1820" width="21.44140625" style="37" customWidth="1"/>
    <col min="1821" max="1836" width="9.6640625" style="37"/>
    <col min="1837" max="1838" width="13.44140625" style="37" customWidth="1"/>
    <col min="1839" max="1839" width="9.6640625" style="37"/>
    <col min="1840" max="1840" width="13.88671875" style="37" customWidth="1"/>
    <col min="1841" max="1841" width="10.6640625" style="37" customWidth="1"/>
    <col min="1842" max="1842" width="17.33203125" style="37" customWidth="1"/>
    <col min="1843" max="1844" width="12.6640625" style="37" customWidth="1"/>
    <col min="1845" max="1845" width="11.21875" style="37" customWidth="1"/>
    <col min="1846" max="1846" width="18.33203125" style="37" customWidth="1"/>
    <col min="1847" max="1847" width="12.88671875" style="37" customWidth="1"/>
    <col min="1848" max="1849" width="13.21875" style="37" customWidth="1"/>
    <col min="1850" max="1850" width="10.88671875" style="37" customWidth="1"/>
    <col min="1851" max="1851" width="11.109375" style="37" customWidth="1"/>
    <col min="1852" max="1852" width="15.21875" style="37" customWidth="1"/>
    <col min="1853" max="1853" width="9.6640625" style="37"/>
    <col min="1854" max="1854" width="11" style="37" customWidth="1"/>
    <col min="1855" max="1855" width="10.77734375" style="37" customWidth="1"/>
    <col min="1856" max="1856" width="11.44140625" style="37" customWidth="1"/>
    <col min="1857" max="1857" width="4" style="37" customWidth="1"/>
    <col min="1858" max="2048" width="9.6640625" style="37"/>
    <col min="2049" max="2049" width="6.44140625" style="37" customWidth="1"/>
    <col min="2050" max="2050" width="13.88671875" style="37" customWidth="1"/>
    <col min="2051" max="2051" width="14.33203125" style="37" customWidth="1"/>
    <col min="2052" max="2068" width="9.6640625" style="37"/>
    <col min="2069" max="2069" width="12" style="37" customWidth="1"/>
    <col min="2070" max="2070" width="12.77734375" style="37" customWidth="1"/>
    <col min="2071" max="2071" width="11.109375" style="37" customWidth="1"/>
    <col min="2072" max="2072" width="12" style="37" customWidth="1"/>
    <col min="2073" max="2073" width="9.6640625" style="37"/>
    <col min="2074" max="2074" width="15.33203125" style="37" customWidth="1"/>
    <col min="2075" max="2075" width="15.21875" style="37" customWidth="1"/>
    <col min="2076" max="2076" width="21.44140625" style="37" customWidth="1"/>
    <col min="2077" max="2092" width="9.6640625" style="37"/>
    <col min="2093" max="2094" width="13.44140625" style="37" customWidth="1"/>
    <col min="2095" max="2095" width="9.6640625" style="37"/>
    <col min="2096" max="2096" width="13.88671875" style="37" customWidth="1"/>
    <col min="2097" max="2097" width="10.6640625" style="37" customWidth="1"/>
    <col min="2098" max="2098" width="17.33203125" style="37" customWidth="1"/>
    <col min="2099" max="2100" width="12.6640625" style="37" customWidth="1"/>
    <col min="2101" max="2101" width="11.21875" style="37" customWidth="1"/>
    <col min="2102" max="2102" width="18.33203125" style="37" customWidth="1"/>
    <col min="2103" max="2103" width="12.88671875" style="37" customWidth="1"/>
    <col min="2104" max="2105" width="13.21875" style="37" customWidth="1"/>
    <col min="2106" max="2106" width="10.88671875" style="37" customWidth="1"/>
    <col min="2107" max="2107" width="11.109375" style="37" customWidth="1"/>
    <col min="2108" max="2108" width="15.21875" style="37" customWidth="1"/>
    <col min="2109" max="2109" width="9.6640625" style="37"/>
    <col min="2110" max="2110" width="11" style="37" customWidth="1"/>
    <col min="2111" max="2111" width="10.77734375" style="37" customWidth="1"/>
    <col min="2112" max="2112" width="11.44140625" style="37" customWidth="1"/>
    <col min="2113" max="2113" width="4" style="37" customWidth="1"/>
    <col min="2114" max="2304" width="9.6640625" style="37"/>
    <col min="2305" max="2305" width="6.44140625" style="37" customWidth="1"/>
    <col min="2306" max="2306" width="13.88671875" style="37" customWidth="1"/>
    <col min="2307" max="2307" width="14.33203125" style="37" customWidth="1"/>
    <col min="2308" max="2324" width="9.6640625" style="37"/>
    <col min="2325" max="2325" width="12" style="37" customWidth="1"/>
    <col min="2326" max="2326" width="12.77734375" style="37" customWidth="1"/>
    <col min="2327" max="2327" width="11.109375" style="37" customWidth="1"/>
    <col min="2328" max="2328" width="12" style="37" customWidth="1"/>
    <col min="2329" max="2329" width="9.6640625" style="37"/>
    <col min="2330" max="2330" width="15.33203125" style="37" customWidth="1"/>
    <col min="2331" max="2331" width="15.21875" style="37" customWidth="1"/>
    <col min="2332" max="2332" width="21.44140625" style="37" customWidth="1"/>
    <col min="2333" max="2348" width="9.6640625" style="37"/>
    <col min="2349" max="2350" width="13.44140625" style="37" customWidth="1"/>
    <col min="2351" max="2351" width="9.6640625" style="37"/>
    <col min="2352" max="2352" width="13.88671875" style="37" customWidth="1"/>
    <col min="2353" max="2353" width="10.6640625" style="37" customWidth="1"/>
    <col min="2354" max="2354" width="17.33203125" style="37" customWidth="1"/>
    <col min="2355" max="2356" width="12.6640625" style="37" customWidth="1"/>
    <col min="2357" max="2357" width="11.21875" style="37" customWidth="1"/>
    <col min="2358" max="2358" width="18.33203125" style="37" customWidth="1"/>
    <col min="2359" max="2359" width="12.88671875" style="37" customWidth="1"/>
    <col min="2360" max="2361" width="13.21875" style="37" customWidth="1"/>
    <col min="2362" max="2362" width="10.88671875" style="37" customWidth="1"/>
    <col min="2363" max="2363" width="11.109375" style="37" customWidth="1"/>
    <col min="2364" max="2364" width="15.21875" style="37" customWidth="1"/>
    <col min="2365" max="2365" width="9.6640625" style="37"/>
    <col min="2366" max="2366" width="11" style="37" customWidth="1"/>
    <col min="2367" max="2367" width="10.77734375" style="37" customWidth="1"/>
    <col min="2368" max="2368" width="11.44140625" style="37" customWidth="1"/>
    <col min="2369" max="2369" width="4" style="37" customWidth="1"/>
    <col min="2370" max="2560" width="9.6640625" style="37"/>
    <col min="2561" max="2561" width="6.44140625" style="37" customWidth="1"/>
    <col min="2562" max="2562" width="13.88671875" style="37" customWidth="1"/>
    <col min="2563" max="2563" width="14.33203125" style="37" customWidth="1"/>
    <col min="2564" max="2580" width="9.6640625" style="37"/>
    <col min="2581" max="2581" width="12" style="37" customWidth="1"/>
    <col min="2582" max="2582" width="12.77734375" style="37" customWidth="1"/>
    <col min="2583" max="2583" width="11.109375" style="37" customWidth="1"/>
    <col min="2584" max="2584" width="12" style="37" customWidth="1"/>
    <col min="2585" max="2585" width="9.6640625" style="37"/>
    <col min="2586" max="2586" width="15.33203125" style="37" customWidth="1"/>
    <col min="2587" max="2587" width="15.21875" style="37" customWidth="1"/>
    <col min="2588" max="2588" width="21.44140625" style="37" customWidth="1"/>
    <col min="2589" max="2604" width="9.6640625" style="37"/>
    <col min="2605" max="2606" width="13.44140625" style="37" customWidth="1"/>
    <col min="2607" max="2607" width="9.6640625" style="37"/>
    <col min="2608" max="2608" width="13.88671875" style="37" customWidth="1"/>
    <col min="2609" max="2609" width="10.6640625" style="37" customWidth="1"/>
    <col min="2610" max="2610" width="17.33203125" style="37" customWidth="1"/>
    <col min="2611" max="2612" width="12.6640625" style="37" customWidth="1"/>
    <col min="2613" max="2613" width="11.21875" style="37" customWidth="1"/>
    <col min="2614" max="2614" width="18.33203125" style="37" customWidth="1"/>
    <col min="2615" max="2615" width="12.88671875" style="37" customWidth="1"/>
    <col min="2616" max="2617" width="13.21875" style="37" customWidth="1"/>
    <col min="2618" max="2618" width="10.88671875" style="37" customWidth="1"/>
    <col min="2619" max="2619" width="11.109375" style="37" customWidth="1"/>
    <col min="2620" max="2620" width="15.21875" style="37" customWidth="1"/>
    <col min="2621" max="2621" width="9.6640625" style="37"/>
    <col min="2622" max="2622" width="11" style="37" customWidth="1"/>
    <col min="2623" max="2623" width="10.77734375" style="37" customWidth="1"/>
    <col min="2624" max="2624" width="11.44140625" style="37" customWidth="1"/>
    <col min="2625" max="2625" width="4" style="37" customWidth="1"/>
    <col min="2626" max="2816" width="9.6640625" style="37"/>
    <col min="2817" max="2817" width="6.44140625" style="37" customWidth="1"/>
    <col min="2818" max="2818" width="13.88671875" style="37" customWidth="1"/>
    <col min="2819" max="2819" width="14.33203125" style="37" customWidth="1"/>
    <col min="2820" max="2836" width="9.6640625" style="37"/>
    <col min="2837" max="2837" width="12" style="37" customWidth="1"/>
    <col min="2838" max="2838" width="12.77734375" style="37" customWidth="1"/>
    <col min="2839" max="2839" width="11.109375" style="37" customWidth="1"/>
    <col min="2840" max="2840" width="12" style="37" customWidth="1"/>
    <col min="2841" max="2841" width="9.6640625" style="37"/>
    <col min="2842" max="2842" width="15.33203125" style="37" customWidth="1"/>
    <col min="2843" max="2843" width="15.21875" style="37" customWidth="1"/>
    <col min="2844" max="2844" width="21.44140625" style="37" customWidth="1"/>
    <col min="2845" max="2860" width="9.6640625" style="37"/>
    <col min="2861" max="2862" width="13.44140625" style="37" customWidth="1"/>
    <col min="2863" max="2863" width="9.6640625" style="37"/>
    <col min="2864" max="2864" width="13.88671875" style="37" customWidth="1"/>
    <col min="2865" max="2865" width="10.6640625" style="37" customWidth="1"/>
    <col min="2866" max="2866" width="17.33203125" style="37" customWidth="1"/>
    <col min="2867" max="2868" width="12.6640625" style="37" customWidth="1"/>
    <col min="2869" max="2869" width="11.21875" style="37" customWidth="1"/>
    <col min="2870" max="2870" width="18.33203125" style="37" customWidth="1"/>
    <col min="2871" max="2871" width="12.88671875" style="37" customWidth="1"/>
    <col min="2872" max="2873" width="13.21875" style="37" customWidth="1"/>
    <col min="2874" max="2874" width="10.88671875" style="37" customWidth="1"/>
    <col min="2875" max="2875" width="11.109375" style="37" customWidth="1"/>
    <col min="2876" max="2876" width="15.21875" style="37" customWidth="1"/>
    <col min="2877" max="2877" width="9.6640625" style="37"/>
    <col min="2878" max="2878" width="11" style="37" customWidth="1"/>
    <col min="2879" max="2879" width="10.77734375" style="37" customWidth="1"/>
    <col min="2880" max="2880" width="11.44140625" style="37" customWidth="1"/>
    <col min="2881" max="2881" width="4" style="37" customWidth="1"/>
    <col min="2882" max="3072" width="9.6640625" style="37"/>
    <col min="3073" max="3073" width="6.44140625" style="37" customWidth="1"/>
    <col min="3074" max="3074" width="13.88671875" style="37" customWidth="1"/>
    <col min="3075" max="3075" width="14.33203125" style="37" customWidth="1"/>
    <col min="3076" max="3092" width="9.6640625" style="37"/>
    <col min="3093" max="3093" width="12" style="37" customWidth="1"/>
    <col min="3094" max="3094" width="12.77734375" style="37" customWidth="1"/>
    <col min="3095" max="3095" width="11.109375" style="37" customWidth="1"/>
    <col min="3096" max="3096" width="12" style="37" customWidth="1"/>
    <col min="3097" max="3097" width="9.6640625" style="37"/>
    <col min="3098" max="3098" width="15.33203125" style="37" customWidth="1"/>
    <col min="3099" max="3099" width="15.21875" style="37" customWidth="1"/>
    <col min="3100" max="3100" width="21.44140625" style="37" customWidth="1"/>
    <col min="3101" max="3116" width="9.6640625" style="37"/>
    <col min="3117" max="3118" width="13.44140625" style="37" customWidth="1"/>
    <col min="3119" max="3119" width="9.6640625" style="37"/>
    <col min="3120" max="3120" width="13.88671875" style="37" customWidth="1"/>
    <col min="3121" max="3121" width="10.6640625" style="37" customWidth="1"/>
    <col min="3122" max="3122" width="17.33203125" style="37" customWidth="1"/>
    <col min="3123" max="3124" width="12.6640625" style="37" customWidth="1"/>
    <col min="3125" max="3125" width="11.21875" style="37" customWidth="1"/>
    <col min="3126" max="3126" width="18.33203125" style="37" customWidth="1"/>
    <col min="3127" max="3127" width="12.88671875" style="37" customWidth="1"/>
    <col min="3128" max="3129" width="13.21875" style="37" customWidth="1"/>
    <col min="3130" max="3130" width="10.88671875" style="37" customWidth="1"/>
    <col min="3131" max="3131" width="11.109375" style="37" customWidth="1"/>
    <col min="3132" max="3132" width="15.21875" style="37" customWidth="1"/>
    <col min="3133" max="3133" width="9.6640625" style="37"/>
    <col min="3134" max="3134" width="11" style="37" customWidth="1"/>
    <col min="3135" max="3135" width="10.77734375" style="37" customWidth="1"/>
    <col min="3136" max="3136" width="11.44140625" style="37" customWidth="1"/>
    <col min="3137" max="3137" width="4" style="37" customWidth="1"/>
    <col min="3138" max="3328" width="9.6640625" style="37"/>
    <col min="3329" max="3329" width="6.44140625" style="37" customWidth="1"/>
    <col min="3330" max="3330" width="13.88671875" style="37" customWidth="1"/>
    <col min="3331" max="3331" width="14.33203125" style="37" customWidth="1"/>
    <col min="3332" max="3348" width="9.6640625" style="37"/>
    <col min="3349" max="3349" width="12" style="37" customWidth="1"/>
    <col min="3350" max="3350" width="12.77734375" style="37" customWidth="1"/>
    <col min="3351" max="3351" width="11.109375" style="37" customWidth="1"/>
    <col min="3352" max="3352" width="12" style="37" customWidth="1"/>
    <col min="3353" max="3353" width="9.6640625" style="37"/>
    <col min="3354" max="3354" width="15.33203125" style="37" customWidth="1"/>
    <col min="3355" max="3355" width="15.21875" style="37" customWidth="1"/>
    <col min="3356" max="3356" width="21.44140625" style="37" customWidth="1"/>
    <col min="3357" max="3372" width="9.6640625" style="37"/>
    <col min="3373" max="3374" width="13.44140625" style="37" customWidth="1"/>
    <col min="3375" max="3375" width="9.6640625" style="37"/>
    <col min="3376" max="3376" width="13.88671875" style="37" customWidth="1"/>
    <col min="3377" max="3377" width="10.6640625" style="37" customWidth="1"/>
    <col min="3378" max="3378" width="17.33203125" style="37" customWidth="1"/>
    <col min="3379" max="3380" width="12.6640625" style="37" customWidth="1"/>
    <col min="3381" max="3381" width="11.21875" style="37" customWidth="1"/>
    <col min="3382" max="3382" width="18.33203125" style="37" customWidth="1"/>
    <col min="3383" max="3383" width="12.88671875" style="37" customWidth="1"/>
    <col min="3384" max="3385" width="13.21875" style="37" customWidth="1"/>
    <col min="3386" max="3386" width="10.88671875" style="37" customWidth="1"/>
    <col min="3387" max="3387" width="11.109375" style="37" customWidth="1"/>
    <col min="3388" max="3388" width="15.21875" style="37" customWidth="1"/>
    <col min="3389" max="3389" width="9.6640625" style="37"/>
    <col min="3390" max="3390" width="11" style="37" customWidth="1"/>
    <col min="3391" max="3391" width="10.77734375" style="37" customWidth="1"/>
    <col min="3392" max="3392" width="11.44140625" style="37" customWidth="1"/>
    <col min="3393" max="3393" width="4" style="37" customWidth="1"/>
    <col min="3394" max="3584" width="9.6640625" style="37"/>
    <col min="3585" max="3585" width="6.44140625" style="37" customWidth="1"/>
    <col min="3586" max="3586" width="13.88671875" style="37" customWidth="1"/>
    <col min="3587" max="3587" width="14.33203125" style="37" customWidth="1"/>
    <col min="3588" max="3604" width="9.6640625" style="37"/>
    <col min="3605" max="3605" width="12" style="37" customWidth="1"/>
    <col min="3606" max="3606" width="12.77734375" style="37" customWidth="1"/>
    <col min="3607" max="3607" width="11.109375" style="37" customWidth="1"/>
    <col min="3608" max="3608" width="12" style="37" customWidth="1"/>
    <col min="3609" max="3609" width="9.6640625" style="37"/>
    <col min="3610" max="3610" width="15.33203125" style="37" customWidth="1"/>
    <col min="3611" max="3611" width="15.21875" style="37" customWidth="1"/>
    <col min="3612" max="3612" width="21.44140625" style="37" customWidth="1"/>
    <col min="3613" max="3628" width="9.6640625" style="37"/>
    <col min="3629" max="3630" width="13.44140625" style="37" customWidth="1"/>
    <col min="3631" max="3631" width="9.6640625" style="37"/>
    <col min="3632" max="3632" width="13.88671875" style="37" customWidth="1"/>
    <col min="3633" max="3633" width="10.6640625" style="37" customWidth="1"/>
    <col min="3634" max="3634" width="17.33203125" style="37" customWidth="1"/>
    <col min="3635" max="3636" width="12.6640625" style="37" customWidth="1"/>
    <col min="3637" max="3637" width="11.21875" style="37" customWidth="1"/>
    <col min="3638" max="3638" width="18.33203125" style="37" customWidth="1"/>
    <col min="3639" max="3639" width="12.88671875" style="37" customWidth="1"/>
    <col min="3640" max="3641" width="13.21875" style="37" customWidth="1"/>
    <col min="3642" max="3642" width="10.88671875" style="37" customWidth="1"/>
    <col min="3643" max="3643" width="11.109375" style="37" customWidth="1"/>
    <col min="3644" max="3644" width="15.21875" style="37" customWidth="1"/>
    <col min="3645" max="3645" width="9.6640625" style="37"/>
    <col min="3646" max="3646" width="11" style="37" customWidth="1"/>
    <col min="3647" max="3647" width="10.77734375" style="37" customWidth="1"/>
    <col min="3648" max="3648" width="11.44140625" style="37" customWidth="1"/>
    <col min="3649" max="3649" width="4" style="37" customWidth="1"/>
    <col min="3650" max="3840" width="9.6640625" style="37"/>
    <col min="3841" max="3841" width="6.44140625" style="37" customWidth="1"/>
    <col min="3842" max="3842" width="13.88671875" style="37" customWidth="1"/>
    <col min="3843" max="3843" width="14.33203125" style="37" customWidth="1"/>
    <col min="3844" max="3860" width="9.6640625" style="37"/>
    <col min="3861" max="3861" width="12" style="37" customWidth="1"/>
    <col min="3862" max="3862" width="12.77734375" style="37" customWidth="1"/>
    <col min="3863" max="3863" width="11.109375" style="37" customWidth="1"/>
    <col min="3864" max="3864" width="12" style="37" customWidth="1"/>
    <col min="3865" max="3865" width="9.6640625" style="37"/>
    <col min="3866" max="3866" width="15.33203125" style="37" customWidth="1"/>
    <col min="3867" max="3867" width="15.21875" style="37" customWidth="1"/>
    <col min="3868" max="3868" width="21.44140625" style="37" customWidth="1"/>
    <col min="3869" max="3884" width="9.6640625" style="37"/>
    <col min="3885" max="3886" width="13.44140625" style="37" customWidth="1"/>
    <col min="3887" max="3887" width="9.6640625" style="37"/>
    <col min="3888" max="3888" width="13.88671875" style="37" customWidth="1"/>
    <col min="3889" max="3889" width="10.6640625" style="37" customWidth="1"/>
    <col min="3890" max="3890" width="17.33203125" style="37" customWidth="1"/>
    <col min="3891" max="3892" width="12.6640625" style="37" customWidth="1"/>
    <col min="3893" max="3893" width="11.21875" style="37" customWidth="1"/>
    <col min="3894" max="3894" width="18.33203125" style="37" customWidth="1"/>
    <col min="3895" max="3895" width="12.88671875" style="37" customWidth="1"/>
    <col min="3896" max="3897" width="13.21875" style="37" customWidth="1"/>
    <col min="3898" max="3898" width="10.88671875" style="37" customWidth="1"/>
    <col min="3899" max="3899" width="11.109375" style="37" customWidth="1"/>
    <col min="3900" max="3900" width="15.21875" style="37" customWidth="1"/>
    <col min="3901" max="3901" width="9.6640625" style="37"/>
    <col min="3902" max="3902" width="11" style="37" customWidth="1"/>
    <col min="3903" max="3903" width="10.77734375" style="37" customWidth="1"/>
    <col min="3904" max="3904" width="11.44140625" style="37" customWidth="1"/>
    <col min="3905" max="3905" width="4" style="37" customWidth="1"/>
    <col min="3906" max="4096" width="9.6640625" style="37"/>
    <col min="4097" max="4097" width="6.44140625" style="37" customWidth="1"/>
    <col min="4098" max="4098" width="13.88671875" style="37" customWidth="1"/>
    <col min="4099" max="4099" width="14.33203125" style="37" customWidth="1"/>
    <col min="4100" max="4116" width="9.6640625" style="37"/>
    <col min="4117" max="4117" width="12" style="37" customWidth="1"/>
    <col min="4118" max="4118" width="12.77734375" style="37" customWidth="1"/>
    <col min="4119" max="4119" width="11.109375" style="37" customWidth="1"/>
    <col min="4120" max="4120" width="12" style="37" customWidth="1"/>
    <col min="4121" max="4121" width="9.6640625" style="37"/>
    <col min="4122" max="4122" width="15.33203125" style="37" customWidth="1"/>
    <col min="4123" max="4123" width="15.21875" style="37" customWidth="1"/>
    <col min="4124" max="4124" width="21.44140625" style="37" customWidth="1"/>
    <col min="4125" max="4140" width="9.6640625" style="37"/>
    <col min="4141" max="4142" width="13.44140625" style="37" customWidth="1"/>
    <col min="4143" max="4143" width="9.6640625" style="37"/>
    <col min="4144" max="4144" width="13.88671875" style="37" customWidth="1"/>
    <col min="4145" max="4145" width="10.6640625" style="37" customWidth="1"/>
    <col min="4146" max="4146" width="17.33203125" style="37" customWidth="1"/>
    <col min="4147" max="4148" width="12.6640625" style="37" customWidth="1"/>
    <col min="4149" max="4149" width="11.21875" style="37" customWidth="1"/>
    <col min="4150" max="4150" width="18.33203125" style="37" customWidth="1"/>
    <col min="4151" max="4151" width="12.88671875" style="37" customWidth="1"/>
    <col min="4152" max="4153" width="13.21875" style="37" customWidth="1"/>
    <col min="4154" max="4154" width="10.88671875" style="37" customWidth="1"/>
    <col min="4155" max="4155" width="11.109375" style="37" customWidth="1"/>
    <col min="4156" max="4156" width="15.21875" style="37" customWidth="1"/>
    <col min="4157" max="4157" width="9.6640625" style="37"/>
    <col min="4158" max="4158" width="11" style="37" customWidth="1"/>
    <col min="4159" max="4159" width="10.77734375" style="37" customWidth="1"/>
    <col min="4160" max="4160" width="11.44140625" style="37" customWidth="1"/>
    <col min="4161" max="4161" width="4" style="37" customWidth="1"/>
    <col min="4162" max="4352" width="9.6640625" style="37"/>
    <col min="4353" max="4353" width="6.44140625" style="37" customWidth="1"/>
    <col min="4354" max="4354" width="13.88671875" style="37" customWidth="1"/>
    <col min="4355" max="4355" width="14.33203125" style="37" customWidth="1"/>
    <col min="4356" max="4372" width="9.6640625" style="37"/>
    <col min="4373" max="4373" width="12" style="37" customWidth="1"/>
    <col min="4374" max="4374" width="12.77734375" style="37" customWidth="1"/>
    <col min="4375" max="4375" width="11.109375" style="37" customWidth="1"/>
    <col min="4376" max="4376" width="12" style="37" customWidth="1"/>
    <col min="4377" max="4377" width="9.6640625" style="37"/>
    <col min="4378" max="4378" width="15.33203125" style="37" customWidth="1"/>
    <col min="4379" max="4379" width="15.21875" style="37" customWidth="1"/>
    <col min="4380" max="4380" width="21.44140625" style="37" customWidth="1"/>
    <col min="4381" max="4396" width="9.6640625" style="37"/>
    <col min="4397" max="4398" width="13.44140625" style="37" customWidth="1"/>
    <col min="4399" max="4399" width="9.6640625" style="37"/>
    <col min="4400" max="4400" width="13.88671875" style="37" customWidth="1"/>
    <col min="4401" max="4401" width="10.6640625" style="37" customWidth="1"/>
    <col min="4402" max="4402" width="17.33203125" style="37" customWidth="1"/>
    <col min="4403" max="4404" width="12.6640625" style="37" customWidth="1"/>
    <col min="4405" max="4405" width="11.21875" style="37" customWidth="1"/>
    <col min="4406" max="4406" width="18.33203125" style="37" customWidth="1"/>
    <col min="4407" max="4407" width="12.88671875" style="37" customWidth="1"/>
    <col min="4408" max="4409" width="13.21875" style="37" customWidth="1"/>
    <col min="4410" max="4410" width="10.88671875" style="37" customWidth="1"/>
    <col min="4411" max="4411" width="11.109375" style="37" customWidth="1"/>
    <col min="4412" max="4412" width="15.21875" style="37" customWidth="1"/>
    <col min="4413" max="4413" width="9.6640625" style="37"/>
    <col min="4414" max="4414" width="11" style="37" customWidth="1"/>
    <col min="4415" max="4415" width="10.77734375" style="37" customWidth="1"/>
    <col min="4416" max="4416" width="11.44140625" style="37" customWidth="1"/>
    <col min="4417" max="4417" width="4" style="37" customWidth="1"/>
    <col min="4418" max="4608" width="9.6640625" style="37"/>
    <col min="4609" max="4609" width="6.44140625" style="37" customWidth="1"/>
    <col min="4610" max="4610" width="13.88671875" style="37" customWidth="1"/>
    <col min="4611" max="4611" width="14.33203125" style="37" customWidth="1"/>
    <col min="4612" max="4628" width="9.6640625" style="37"/>
    <col min="4629" max="4629" width="12" style="37" customWidth="1"/>
    <col min="4630" max="4630" width="12.77734375" style="37" customWidth="1"/>
    <col min="4631" max="4631" width="11.109375" style="37" customWidth="1"/>
    <col min="4632" max="4632" width="12" style="37" customWidth="1"/>
    <col min="4633" max="4633" width="9.6640625" style="37"/>
    <col min="4634" max="4634" width="15.33203125" style="37" customWidth="1"/>
    <col min="4635" max="4635" width="15.21875" style="37" customWidth="1"/>
    <col min="4636" max="4636" width="21.44140625" style="37" customWidth="1"/>
    <col min="4637" max="4652" width="9.6640625" style="37"/>
    <col min="4653" max="4654" width="13.44140625" style="37" customWidth="1"/>
    <col min="4655" max="4655" width="9.6640625" style="37"/>
    <col min="4656" max="4656" width="13.88671875" style="37" customWidth="1"/>
    <col min="4657" max="4657" width="10.6640625" style="37" customWidth="1"/>
    <col min="4658" max="4658" width="17.33203125" style="37" customWidth="1"/>
    <col min="4659" max="4660" width="12.6640625" style="37" customWidth="1"/>
    <col min="4661" max="4661" width="11.21875" style="37" customWidth="1"/>
    <col min="4662" max="4662" width="18.33203125" style="37" customWidth="1"/>
    <col min="4663" max="4663" width="12.88671875" style="37" customWidth="1"/>
    <col min="4664" max="4665" width="13.21875" style="37" customWidth="1"/>
    <col min="4666" max="4666" width="10.88671875" style="37" customWidth="1"/>
    <col min="4667" max="4667" width="11.109375" style="37" customWidth="1"/>
    <col min="4668" max="4668" width="15.21875" style="37" customWidth="1"/>
    <col min="4669" max="4669" width="9.6640625" style="37"/>
    <col min="4670" max="4670" width="11" style="37" customWidth="1"/>
    <col min="4671" max="4671" width="10.77734375" style="37" customWidth="1"/>
    <col min="4672" max="4672" width="11.44140625" style="37" customWidth="1"/>
    <col min="4673" max="4673" width="4" style="37" customWidth="1"/>
    <col min="4674" max="4864" width="9.6640625" style="37"/>
    <col min="4865" max="4865" width="6.44140625" style="37" customWidth="1"/>
    <col min="4866" max="4866" width="13.88671875" style="37" customWidth="1"/>
    <col min="4867" max="4867" width="14.33203125" style="37" customWidth="1"/>
    <col min="4868" max="4884" width="9.6640625" style="37"/>
    <col min="4885" max="4885" width="12" style="37" customWidth="1"/>
    <col min="4886" max="4886" width="12.77734375" style="37" customWidth="1"/>
    <col min="4887" max="4887" width="11.109375" style="37" customWidth="1"/>
    <col min="4888" max="4888" width="12" style="37" customWidth="1"/>
    <col min="4889" max="4889" width="9.6640625" style="37"/>
    <col min="4890" max="4890" width="15.33203125" style="37" customWidth="1"/>
    <col min="4891" max="4891" width="15.21875" style="37" customWidth="1"/>
    <col min="4892" max="4892" width="21.44140625" style="37" customWidth="1"/>
    <col min="4893" max="4908" width="9.6640625" style="37"/>
    <col min="4909" max="4910" width="13.44140625" style="37" customWidth="1"/>
    <col min="4911" max="4911" width="9.6640625" style="37"/>
    <col min="4912" max="4912" width="13.88671875" style="37" customWidth="1"/>
    <col min="4913" max="4913" width="10.6640625" style="37" customWidth="1"/>
    <col min="4914" max="4914" width="17.33203125" style="37" customWidth="1"/>
    <col min="4915" max="4916" width="12.6640625" style="37" customWidth="1"/>
    <col min="4917" max="4917" width="11.21875" style="37" customWidth="1"/>
    <col min="4918" max="4918" width="18.33203125" style="37" customWidth="1"/>
    <col min="4919" max="4919" width="12.88671875" style="37" customWidth="1"/>
    <col min="4920" max="4921" width="13.21875" style="37" customWidth="1"/>
    <col min="4922" max="4922" width="10.88671875" style="37" customWidth="1"/>
    <col min="4923" max="4923" width="11.109375" style="37" customWidth="1"/>
    <col min="4924" max="4924" width="15.21875" style="37" customWidth="1"/>
    <col min="4925" max="4925" width="9.6640625" style="37"/>
    <col min="4926" max="4926" width="11" style="37" customWidth="1"/>
    <col min="4927" max="4927" width="10.77734375" style="37" customWidth="1"/>
    <col min="4928" max="4928" width="11.44140625" style="37" customWidth="1"/>
    <col min="4929" max="4929" width="4" style="37" customWidth="1"/>
    <col min="4930" max="5120" width="9.6640625" style="37"/>
    <col min="5121" max="5121" width="6.44140625" style="37" customWidth="1"/>
    <col min="5122" max="5122" width="13.88671875" style="37" customWidth="1"/>
    <col min="5123" max="5123" width="14.33203125" style="37" customWidth="1"/>
    <col min="5124" max="5140" width="9.6640625" style="37"/>
    <col min="5141" max="5141" width="12" style="37" customWidth="1"/>
    <col min="5142" max="5142" width="12.77734375" style="37" customWidth="1"/>
    <col min="5143" max="5143" width="11.109375" style="37" customWidth="1"/>
    <col min="5144" max="5144" width="12" style="37" customWidth="1"/>
    <col min="5145" max="5145" width="9.6640625" style="37"/>
    <col min="5146" max="5146" width="15.33203125" style="37" customWidth="1"/>
    <col min="5147" max="5147" width="15.21875" style="37" customWidth="1"/>
    <col min="5148" max="5148" width="21.44140625" style="37" customWidth="1"/>
    <col min="5149" max="5164" width="9.6640625" style="37"/>
    <col min="5165" max="5166" width="13.44140625" style="37" customWidth="1"/>
    <col min="5167" max="5167" width="9.6640625" style="37"/>
    <col min="5168" max="5168" width="13.88671875" style="37" customWidth="1"/>
    <col min="5169" max="5169" width="10.6640625" style="37" customWidth="1"/>
    <col min="5170" max="5170" width="17.33203125" style="37" customWidth="1"/>
    <col min="5171" max="5172" width="12.6640625" style="37" customWidth="1"/>
    <col min="5173" max="5173" width="11.21875" style="37" customWidth="1"/>
    <col min="5174" max="5174" width="18.33203125" style="37" customWidth="1"/>
    <col min="5175" max="5175" width="12.88671875" style="37" customWidth="1"/>
    <col min="5176" max="5177" width="13.21875" style="37" customWidth="1"/>
    <col min="5178" max="5178" width="10.88671875" style="37" customWidth="1"/>
    <col min="5179" max="5179" width="11.109375" style="37" customWidth="1"/>
    <col min="5180" max="5180" width="15.21875" style="37" customWidth="1"/>
    <col min="5181" max="5181" width="9.6640625" style="37"/>
    <col min="5182" max="5182" width="11" style="37" customWidth="1"/>
    <col min="5183" max="5183" width="10.77734375" style="37" customWidth="1"/>
    <col min="5184" max="5184" width="11.44140625" style="37" customWidth="1"/>
    <col min="5185" max="5185" width="4" style="37" customWidth="1"/>
    <col min="5186" max="5376" width="9.6640625" style="37"/>
    <col min="5377" max="5377" width="6.44140625" style="37" customWidth="1"/>
    <col min="5378" max="5378" width="13.88671875" style="37" customWidth="1"/>
    <col min="5379" max="5379" width="14.33203125" style="37" customWidth="1"/>
    <col min="5380" max="5396" width="9.6640625" style="37"/>
    <col min="5397" max="5397" width="12" style="37" customWidth="1"/>
    <col min="5398" max="5398" width="12.77734375" style="37" customWidth="1"/>
    <col min="5399" max="5399" width="11.109375" style="37" customWidth="1"/>
    <col min="5400" max="5400" width="12" style="37" customWidth="1"/>
    <col min="5401" max="5401" width="9.6640625" style="37"/>
    <col min="5402" max="5402" width="15.33203125" style="37" customWidth="1"/>
    <col min="5403" max="5403" width="15.21875" style="37" customWidth="1"/>
    <col min="5404" max="5404" width="21.44140625" style="37" customWidth="1"/>
    <col min="5405" max="5420" width="9.6640625" style="37"/>
    <col min="5421" max="5422" width="13.44140625" style="37" customWidth="1"/>
    <col min="5423" max="5423" width="9.6640625" style="37"/>
    <col min="5424" max="5424" width="13.88671875" style="37" customWidth="1"/>
    <col min="5425" max="5425" width="10.6640625" style="37" customWidth="1"/>
    <col min="5426" max="5426" width="17.33203125" style="37" customWidth="1"/>
    <col min="5427" max="5428" width="12.6640625" style="37" customWidth="1"/>
    <col min="5429" max="5429" width="11.21875" style="37" customWidth="1"/>
    <col min="5430" max="5430" width="18.33203125" style="37" customWidth="1"/>
    <col min="5431" max="5431" width="12.88671875" style="37" customWidth="1"/>
    <col min="5432" max="5433" width="13.21875" style="37" customWidth="1"/>
    <col min="5434" max="5434" width="10.88671875" style="37" customWidth="1"/>
    <col min="5435" max="5435" width="11.109375" style="37" customWidth="1"/>
    <col min="5436" max="5436" width="15.21875" style="37" customWidth="1"/>
    <col min="5437" max="5437" width="9.6640625" style="37"/>
    <col min="5438" max="5438" width="11" style="37" customWidth="1"/>
    <col min="5439" max="5439" width="10.77734375" style="37" customWidth="1"/>
    <col min="5440" max="5440" width="11.44140625" style="37" customWidth="1"/>
    <col min="5441" max="5441" width="4" style="37" customWidth="1"/>
    <col min="5442" max="5632" width="9.6640625" style="37"/>
    <col min="5633" max="5633" width="6.44140625" style="37" customWidth="1"/>
    <col min="5634" max="5634" width="13.88671875" style="37" customWidth="1"/>
    <col min="5635" max="5635" width="14.33203125" style="37" customWidth="1"/>
    <col min="5636" max="5652" width="9.6640625" style="37"/>
    <col min="5653" max="5653" width="12" style="37" customWidth="1"/>
    <col min="5654" max="5654" width="12.77734375" style="37" customWidth="1"/>
    <col min="5655" max="5655" width="11.109375" style="37" customWidth="1"/>
    <col min="5656" max="5656" width="12" style="37" customWidth="1"/>
    <col min="5657" max="5657" width="9.6640625" style="37"/>
    <col min="5658" max="5658" width="15.33203125" style="37" customWidth="1"/>
    <col min="5659" max="5659" width="15.21875" style="37" customWidth="1"/>
    <col min="5660" max="5660" width="21.44140625" style="37" customWidth="1"/>
    <col min="5661" max="5676" width="9.6640625" style="37"/>
    <col min="5677" max="5678" width="13.44140625" style="37" customWidth="1"/>
    <col min="5679" max="5679" width="9.6640625" style="37"/>
    <col min="5680" max="5680" width="13.88671875" style="37" customWidth="1"/>
    <col min="5681" max="5681" width="10.6640625" style="37" customWidth="1"/>
    <col min="5682" max="5682" width="17.33203125" style="37" customWidth="1"/>
    <col min="5683" max="5684" width="12.6640625" style="37" customWidth="1"/>
    <col min="5685" max="5685" width="11.21875" style="37" customWidth="1"/>
    <col min="5686" max="5686" width="18.33203125" style="37" customWidth="1"/>
    <col min="5687" max="5687" width="12.88671875" style="37" customWidth="1"/>
    <col min="5688" max="5689" width="13.21875" style="37" customWidth="1"/>
    <col min="5690" max="5690" width="10.88671875" style="37" customWidth="1"/>
    <col min="5691" max="5691" width="11.109375" style="37" customWidth="1"/>
    <col min="5692" max="5692" width="15.21875" style="37" customWidth="1"/>
    <col min="5693" max="5693" width="9.6640625" style="37"/>
    <col min="5694" max="5694" width="11" style="37" customWidth="1"/>
    <col min="5695" max="5695" width="10.77734375" style="37" customWidth="1"/>
    <col min="5696" max="5696" width="11.44140625" style="37" customWidth="1"/>
    <col min="5697" max="5697" width="4" style="37" customWidth="1"/>
    <col min="5698" max="5888" width="9.6640625" style="37"/>
    <col min="5889" max="5889" width="6.44140625" style="37" customWidth="1"/>
    <col min="5890" max="5890" width="13.88671875" style="37" customWidth="1"/>
    <col min="5891" max="5891" width="14.33203125" style="37" customWidth="1"/>
    <col min="5892" max="5908" width="9.6640625" style="37"/>
    <col min="5909" max="5909" width="12" style="37" customWidth="1"/>
    <col min="5910" max="5910" width="12.77734375" style="37" customWidth="1"/>
    <col min="5911" max="5911" width="11.109375" style="37" customWidth="1"/>
    <col min="5912" max="5912" width="12" style="37" customWidth="1"/>
    <col min="5913" max="5913" width="9.6640625" style="37"/>
    <col min="5914" max="5914" width="15.33203125" style="37" customWidth="1"/>
    <col min="5915" max="5915" width="15.21875" style="37" customWidth="1"/>
    <col min="5916" max="5916" width="21.44140625" style="37" customWidth="1"/>
    <col min="5917" max="5932" width="9.6640625" style="37"/>
    <col min="5933" max="5934" width="13.44140625" style="37" customWidth="1"/>
    <col min="5935" max="5935" width="9.6640625" style="37"/>
    <col min="5936" max="5936" width="13.88671875" style="37" customWidth="1"/>
    <col min="5937" max="5937" width="10.6640625" style="37" customWidth="1"/>
    <col min="5938" max="5938" width="17.33203125" style="37" customWidth="1"/>
    <col min="5939" max="5940" width="12.6640625" style="37" customWidth="1"/>
    <col min="5941" max="5941" width="11.21875" style="37" customWidth="1"/>
    <col min="5942" max="5942" width="18.33203125" style="37" customWidth="1"/>
    <col min="5943" max="5943" width="12.88671875" style="37" customWidth="1"/>
    <col min="5944" max="5945" width="13.21875" style="37" customWidth="1"/>
    <col min="5946" max="5946" width="10.88671875" style="37" customWidth="1"/>
    <col min="5947" max="5947" width="11.109375" style="37" customWidth="1"/>
    <col min="5948" max="5948" width="15.21875" style="37" customWidth="1"/>
    <col min="5949" max="5949" width="9.6640625" style="37"/>
    <col min="5950" max="5950" width="11" style="37" customWidth="1"/>
    <col min="5951" max="5951" width="10.77734375" style="37" customWidth="1"/>
    <col min="5952" max="5952" width="11.44140625" style="37" customWidth="1"/>
    <col min="5953" max="5953" width="4" style="37" customWidth="1"/>
    <col min="5954" max="6144" width="9.6640625" style="37"/>
    <col min="6145" max="6145" width="6.44140625" style="37" customWidth="1"/>
    <col min="6146" max="6146" width="13.88671875" style="37" customWidth="1"/>
    <col min="6147" max="6147" width="14.33203125" style="37" customWidth="1"/>
    <col min="6148" max="6164" width="9.6640625" style="37"/>
    <col min="6165" max="6165" width="12" style="37" customWidth="1"/>
    <col min="6166" max="6166" width="12.77734375" style="37" customWidth="1"/>
    <col min="6167" max="6167" width="11.109375" style="37" customWidth="1"/>
    <col min="6168" max="6168" width="12" style="37" customWidth="1"/>
    <col min="6169" max="6169" width="9.6640625" style="37"/>
    <col min="6170" max="6170" width="15.33203125" style="37" customWidth="1"/>
    <col min="6171" max="6171" width="15.21875" style="37" customWidth="1"/>
    <col min="6172" max="6172" width="21.44140625" style="37" customWidth="1"/>
    <col min="6173" max="6188" width="9.6640625" style="37"/>
    <col min="6189" max="6190" width="13.44140625" style="37" customWidth="1"/>
    <col min="6191" max="6191" width="9.6640625" style="37"/>
    <col min="6192" max="6192" width="13.88671875" style="37" customWidth="1"/>
    <col min="6193" max="6193" width="10.6640625" style="37" customWidth="1"/>
    <col min="6194" max="6194" width="17.33203125" style="37" customWidth="1"/>
    <col min="6195" max="6196" width="12.6640625" style="37" customWidth="1"/>
    <col min="6197" max="6197" width="11.21875" style="37" customWidth="1"/>
    <col min="6198" max="6198" width="18.33203125" style="37" customWidth="1"/>
    <col min="6199" max="6199" width="12.88671875" style="37" customWidth="1"/>
    <col min="6200" max="6201" width="13.21875" style="37" customWidth="1"/>
    <col min="6202" max="6202" width="10.88671875" style="37" customWidth="1"/>
    <col min="6203" max="6203" width="11.109375" style="37" customWidth="1"/>
    <col min="6204" max="6204" width="15.21875" style="37" customWidth="1"/>
    <col min="6205" max="6205" width="9.6640625" style="37"/>
    <col min="6206" max="6206" width="11" style="37" customWidth="1"/>
    <col min="6207" max="6207" width="10.77734375" style="37" customWidth="1"/>
    <col min="6208" max="6208" width="11.44140625" style="37" customWidth="1"/>
    <col min="6209" max="6209" width="4" style="37" customWidth="1"/>
    <col min="6210" max="6400" width="9.6640625" style="37"/>
    <col min="6401" max="6401" width="6.44140625" style="37" customWidth="1"/>
    <col min="6402" max="6402" width="13.88671875" style="37" customWidth="1"/>
    <col min="6403" max="6403" width="14.33203125" style="37" customWidth="1"/>
    <col min="6404" max="6420" width="9.6640625" style="37"/>
    <col min="6421" max="6421" width="12" style="37" customWidth="1"/>
    <col min="6422" max="6422" width="12.77734375" style="37" customWidth="1"/>
    <col min="6423" max="6423" width="11.109375" style="37" customWidth="1"/>
    <col min="6424" max="6424" width="12" style="37" customWidth="1"/>
    <col min="6425" max="6425" width="9.6640625" style="37"/>
    <col min="6426" max="6426" width="15.33203125" style="37" customWidth="1"/>
    <col min="6427" max="6427" width="15.21875" style="37" customWidth="1"/>
    <col min="6428" max="6428" width="21.44140625" style="37" customWidth="1"/>
    <col min="6429" max="6444" width="9.6640625" style="37"/>
    <col min="6445" max="6446" width="13.44140625" style="37" customWidth="1"/>
    <col min="6447" max="6447" width="9.6640625" style="37"/>
    <col min="6448" max="6448" width="13.88671875" style="37" customWidth="1"/>
    <col min="6449" max="6449" width="10.6640625" style="37" customWidth="1"/>
    <col min="6450" max="6450" width="17.33203125" style="37" customWidth="1"/>
    <col min="6451" max="6452" width="12.6640625" style="37" customWidth="1"/>
    <col min="6453" max="6453" width="11.21875" style="37" customWidth="1"/>
    <col min="6454" max="6454" width="18.33203125" style="37" customWidth="1"/>
    <col min="6455" max="6455" width="12.88671875" style="37" customWidth="1"/>
    <col min="6456" max="6457" width="13.21875" style="37" customWidth="1"/>
    <col min="6458" max="6458" width="10.88671875" style="37" customWidth="1"/>
    <col min="6459" max="6459" width="11.109375" style="37" customWidth="1"/>
    <col min="6460" max="6460" width="15.21875" style="37" customWidth="1"/>
    <col min="6461" max="6461" width="9.6640625" style="37"/>
    <col min="6462" max="6462" width="11" style="37" customWidth="1"/>
    <col min="6463" max="6463" width="10.77734375" style="37" customWidth="1"/>
    <col min="6464" max="6464" width="11.44140625" style="37" customWidth="1"/>
    <col min="6465" max="6465" width="4" style="37" customWidth="1"/>
    <col min="6466" max="6656" width="9.6640625" style="37"/>
    <col min="6657" max="6657" width="6.44140625" style="37" customWidth="1"/>
    <col min="6658" max="6658" width="13.88671875" style="37" customWidth="1"/>
    <col min="6659" max="6659" width="14.33203125" style="37" customWidth="1"/>
    <col min="6660" max="6676" width="9.6640625" style="37"/>
    <col min="6677" max="6677" width="12" style="37" customWidth="1"/>
    <col min="6678" max="6678" width="12.77734375" style="37" customWidth="1"/>
    <col min="6679" max="6679" width="11.109375" style="37" customWidth="1"/>
    <col min="6680" max="6680" width="12" style="37" customWidth="1"/>
    <col min="6681" max="6681" width="9.6640625" style="37"/>
    <col min="6682" max="6682" width="15.33203125" style="37" customWidth="1"/>
    <col min="6683" max="6683" width="15.21875" style="37" customWidth="1"/>
    <col min="6684" max="6684" width="21.44140625" style="37" customWidth="1"/>
    <col min="6685" max="6700" width="9.6640625" style="37"/>
    <col min="6701" max="6702" width="13.44140625" style="37" customWidth="1"/>
    <col min="6703" max="6703" width="9.6640625" style="37"/>
    <col min="6704" max="6704" width="13.88671875" style="37" customWidth="1"/>
    <col min="6705" max="6705" width="10.6640625" style="37" customWidth="1"/>
    <col min="6706" max="6706" width="17.33203125" style="37" customWidth="1"/>
    <col min="6707" max="6708" width="12.6640625" style="37" customWidth="1"/>
    <col min="6709" max="6709" width="11.21875" style="37" customWidth="1"/>
    <col min="6710" max="6710" width="18.33203125" style="37" customWidth="1"/>
    <col min="6711" max="6711" width="12.88671875" style="37" customWidth="1"/>
    <col min="6712" max="6713" width="13.21875" style="37" customWidth="1"/>
    <col min="6714" max="6714" width="10.88671875" style="37" customWidth="1"/>
    <col min="6715" max="6715" width="11.109375" style="37" customWidth="1"/>
    <col min="6716" max="6716" width="15.21875" style="37" customWidth="1"/>
    <col min="6717" max="6717" width="9.6640625" style="37"/>
    <col min="6718" max="6718" width="11" style="37" customWidth="1"/>
    <col min="6719" max="6719" width="10.77734375" style="37" customWidth="1"/>
    <col min="6720" max="6720" width="11.44140625" style="37" customWidth="1"/>
    <col min="6721" max="6721" width="4" style="37" customWidth="1"/>
    <col min="6722" max="6912" width="9.6640625" style="37"/>
    <col min="6913" max="6913" width="6.44140625" style="37" customWidth="1"/>
    <col min="6914" max="6914" width="13.88671875" style="37" customWidth="1"/>
    <col min="6915" max="6915" width="14.33203125" style="37" customWidth="1"/>
    <col min="6916" max="6932" width="9.6640625" style="37"/>
    <col min="6933" max="6933" width="12" style="37" customWidth="1"/>
    <col min="6934" max="6934" width="12.77734375" style="37" customWidth="1"/>
    <col min="6935" max="6935" width="11.109375" style="37" customWidth="1"/>
    <col min="6936" max="6936" width="12" style="37" customWidth="1"/>
    <col min="6937" max="6937" width="9.6640625" style="37"/>
    <col min="6938" max="6938" width="15.33203125" style="37" customWidth="1"/>
    <col min="6939" max="6939" width="15.21875" style="37" customWidth="1"/>
    <col min="6940" max="6940" width="21.44140625" style="37" customWidth="1"/>
    <col min="6941" max="6956" width="9.6640625" style="37"/>
    <col min="6957" max="6958" width="13.44140625" style="37" customWidth="1"/>
    <col min="6959" max="6959" width="9.6640625" style="37"/>
    <col min="6960" max="6960" width="13.88671875" style="37" customWidth="1"/>
    <col min="6961" max="6961" width="10.6640625" style="37" customWidth="1"/>
    <col min="6962" max="6962" width="17.33203125" style="37" customWidth="1"/>
    <col min="6963" max="6964" width="12.6640625" style="37" customWidth="1"/>
    <col min="6965" max="6965" width="11.21875" style="37" customWidth="1"/>
    <col min="6966" max="6966" width="18.33203125" style="37" customWidth="1"/>
    <col min="6967" max="6967" width="12.88671875" style="37" customWidth="1"/>
    <col min="6968" max="6969" width="13.21875" style="37" customWidth="1"/>
    <col min="6970" max="6970" width="10.88671875" style="37" customWidth="1"/>
    <col min="6971" max="6971" width="11.109375" style="37" customWidth="1"/>
    <col min="6972" max="6972" width="15.21875" style="37" customWidth="1"/>
    <col min="6973" max="6973" width="9.6640625" style="37"/>
    <col min="6974" max="6974" width="11" style="37" customWidth="1"/>
    <col min="6975" max="6975" width="10.77734375" style="37" customWidth="1"/>
    <col min="6976" max="6976" width="11.44140625" style="37" customWidth="1"/>
    <col min="6977" max="6977" width="4" style="37" customWidth="1"/>
    <col min="6978" max="7168" width="9.6640625" style="37"/>
    <col min="7169" max="7169" width="6.44140625" style="37" customWidth="1"/>
    <col min="7170" max="7170" width="13.88671875" style="37" customWidth="1"/>
    <col min="7171" max="7171" width="14.33203125" style="37" customWidth="1"/>
    <col min="7172" max="7188" width="9.6640625" style="37"/>
    <col min="7189" max="7189" width="12" style="37" customWidth="1"/>
    <col min="7190" max="7190" width="12.77734375" style="37" customWidth="1"/>
    <col min="7191" max="7191" width="11.109375" style="37" customWidth="1"/>
    <col min="7192" max="7192" width="12" style="37" customWidth="1"/>
    <col min="7193" max="7193" width="9.6640625" style="37"/>
    <col min="7194" max="7194" width="15.33203125" style="37" customWidth="1"/>
    <col min="7195" max="7195" width="15.21875" style="37" customWidth="1"/>
    <col min="7196" max="7196" width="21.44140625" style="37" customWidth="1"/>
    <col min="7197" max="7212" width="9.6640625" style="37"/>
    <col min="7213" max="7214" width="13.44140625" style="37" customWidth="1"/>
    <col min="7215" max="7215" width="9.6640625" style="37"/>
    <col min="7216" max="7216" width="13.88671875" style="37" customWidth="1"/>
    <col min="7217" max="7217" width="10.6640625" style="37" customWidth="1"/>
    <col min="7218" max="7218" width="17.33203125" style="37" customWidth="1"/>
    <col min="7219" max="7220" width="12.6640625" style="37" customWidth="1"/>
    <col min="7221" max="7221" width="11.21875" style="37" customWidth="1"/>
    <col min="7222" max="7222" width="18.33203125" style="37" customWidth="1"/>
    <col min="7223" max="7223" width="12.88671875" style="37" customWidth="1"/>
    <col min="7224" max="7225" width="13.21875" style="37" customWidth="1"/>
    <col min="7226" max="7226" width="10.88671875" style="37" customWidth="1"/>
    <col min="7227" max="7227" width="11.109375" style="37" customWidth="1"/>
    <col min="7228" max="7228" width="15.21875" style="37" customWidth="1"/>
    <col min="7229" max="7229" width="9.6640625" style="37"/>
    <col min="7230" max="7230" width="11" style="37" customWidth="1"/>
    <col min="7231" max="7231" width="10.77734375" style="37" customWidth="1"/>
    <col min="7232" max="7232" width="11.44140625" style="37" customWidth="1"/>
    <col min="7233" max="7233" width="4" style="37" customWidth="1"/>
    <col min="7234" max="7424" width="9.6640625" style="37"/>
    <col min="7425" max="7425" width="6.44140625" style="37" customWidth="1"/>
    <col min="7426" max="7426" width="13.88671875" style="37" customWidth="1"/>
    <col min="7427" max="7427" width="14.33203125" style="37" customWidth="1"/>
    <col min="7428" max="7444" width="9.6640625" style="37"/>
    <col min="7445" max="7445" width="12" style="37" customWidth="1"/>
    <col min="7446" max="7446" width="12.77734375" style="37" customWidth="1"/>
    <col min="7447" max="7447" width="11.109375" style="37" customWidth="1"/>
    <col min="7448" max="7448" width="12" style="37" customWidth="1"/>
    <col min="7449" max="7449" width="9.6640625" style="37"/>
    <col min="7450" max="7450" width="15.33203125" style="37" customWidth="1"/>
    <col min="7451" max="7451" width="15.21875" style="37" customWidth="1"/>
    <col min="7452" max="7452" width="21.44140625" style="37" customWidth="1"/>
    <col min="7453" max="7468" width="9.6640625" style="37"/>
    <col min="7469" max="7470" width="13.44140625" style="37" customWidth="1"/>
    <col min="7471" max="7471" width="9.6640625" style="37"/>
    <col min="7472" max="7472" width="13.88671875" style="37" customWidth="1"/>
    <col min="7473" max="7473" width="10.6640625" style="37" customWidth="1"/>
    <col min="7474" max="7474" width="17.33203125" style="37" customWidth="1"/>
    <col min="7475" max="7476" width="12.6640625" style="37" customWidth="1"/>
    <col min="7477" max="7477" width="11.21875" style="37" customWidth="1"/>
    <col min="7478" max="7478" width="18.33203125" style="37" customWidth="1"/>
    <col min="7479" max="7479" width="12.88671875" style="37" customWidth="1"/>
    <col min="7480" max="7481" width="13.21875" style="37" customWidth="1"/>
    <col min="7482" max="7482" width="10.88671875" style="37" customWidth="1"/>
    <col min="7483" max="7483" width="11.109375" style="37" customWidth="1"/>
    <col min="7484" max="7484" width="15.21875" style="37" customWidth="1"/>
    <col min="7485" max="7485" width="9.6640625" style="37"/>
    <col min="7486" max="7486" width="11" style="37" customWidth="1"/>
    <col min="7487" max="7487" width="10.77734375" style="37" customWidth="1"/>
    <col min="7488" max="7488" width="11.44140625" style="37" customWidth="1"/>
    <col min="7489" max="7489" width="4" style="37" customWidth="1"/>
    <col min="7490" max="7680" width="9.6640625" style="37"/>
    <col min="7681" max="7681" width="6.44140625" style="37" customWidth="1"/>
    <col min="7682" max="7682" width="13.88671875" style="37" customWidth="1"/>
    <col min="7683" max="7683" width="14.33203125" style="37" customWidth="1"/>
    <col min="7684" max="7700" width="9.6640625" style="37"/>
    <col min="7701" max="7701" width="12" style="37" customWidth="1"/>
    <col min="7702" max="7702" width="12.77734375" style="37" customWidth="1"/>
    <col min="7703" max="7703" width="11.109375" style="37" customWidth="1"/>
    <col min="7704" max="7704" width="12" style="37" customWidth="1"/>
    <col min="7705" max="7705" width="9.6640625" style="37"/>
    <col min="7706" max="7706" width="15.33203125" style="37" customWidth="1"/>
    <col min="7707" max="7707" width="15.21875" style="37" customWidth="1"/>
    <col min="7708" max="7708" width="21.44140625" style="37" customWidth="1"/>
    <col min="7709" max="7724" width="9.6640625" style="37"/>
    <col min="7725" max="7726" width="13.44140625" style="37" customWidth="1"/>
    <col min="7727" max="7727" width="9.6640625" style="37"/>
    <col min="7728" max="7728" width="13.88671875" style="37" customWidth="1"/>
    <col min="7729" max="7729" width="10.6640625" style="37" customWidth="1"/>
    <col min="7730" max="7730" width="17.33203125" style="37" customWidth="1"/>
    <col min="7731" max="7732" width="12.6640625" style="37" customWidth="1"/>
    <col min="7733" max="7733" width="11.21875" style="37" customWidth="1"/>
    <col min="7734" max="7734" width="18.33203125" style="37" customWidth="1"/>
    <col min="7735" max="7735" width="12.88671875" style="37" customWidth="1"/>
    <col min="7736" max="7737" width="13.21875" style="37" customWidth="1"/>
    <col min="7738" max="7738" width="10.88671875" style="37" customWidth="1"/>
    <col min="7739" max="7739" width="11.109375" style="37" customWidth="1"/>
    <col min="7740" max="7740" width="15.21875" style="37" customWidth="1"/>
    <col min="7741" max="7741" width="9.6640625" style="37"/>
    <col min="7742" max="7742" width="11" style="37" customWidth="1"/>
    <col min="7743" max="7743" width="10.77734375" style="37" customWidth="1"/>
    <col min="7744" max="7744" width="11.44140625" style="37" customWidth="1"/>
    <col min="7745" max="7745" width="4" style="37" customWidth="1"/>
    <col min="7746" max="7936" width="9.6640625" style="37"/>
    <col min="7937" max="7937" width="6.44140625" style="37" customWidth="1"/>
    <col min="7938" max="7938" width="13.88671875" style="37" customWidth="1"/>
    <col min="7939" max="7939" width="14.33203125" style="37" customWidth="1"/>
    <col min="7940" max="7956" width="9.6640625" style="37"/>
    <col min="7957" max="7957" width="12" style="37" customWidth="1"/>
    <col min="7958" max="7958" width="12.77734375" style="37" customWidth="1"/>
    <col min="7959" max="7959" width="11.109375" style="37" customWidth="1"/>
    <col min="7960" max="7960" width="12" style="37" customWidth="1"/>
    <col min="7961" max="7961" width="9.6640625" style="37"/>
    <col min="7962" max="7962" width="15.33203125" style="37" customWidth="1"/>
    <col min="7963" max="7963" width="15.21875" style="37" customWidth="1"/>
    <col min="7964" max="7964" width="21.44140625" style="37" customWidth="1"/>
    <col min="7965" max="7980" width="9.6640625" style="37"/>
    <col min="7981" max="7982" width="13.44140625" style="37" customWidth="1"/>
    <col min="7983" max="7983" width="9.6640625" style="37"/>
    <col min="7984" max="7984" width="13.88671875" style="37" customWidth="1"/>
    <col min="7985" max="7985" width="10.6640625" style="37" customWidth="1"/>
    <col min="7986" max="7986" width="17.33203125" style="37" customWidth="1"/>
    <col min="7987" max="7988" width="12.6640625" style="37" customWidth="1"/>
    <col min="7989" max="7989" width="11.21875" style="37" customWidth="1"/>
    <col min="7990" max="7990" width="18.33203125" style="37" customWidth="1"/>
    <col min="7991" max="7991" width="12.88671875" style="37" customWidth="1"/>
    <col min="7992" max="7993" width="13.21875" style="37" customWidth="1"/>
    <col min="7994" max="7994" width="10.88671875" style="37" customWidth="1"/>
    <col min="7995" max="7995" width="11.109375" style="37" customWidth="1"/>
    <col min="7996" max="7996" width="15.21875" style="37" customWidth="1"/>
    <col min="7997" max="7997" width="9.6640625" style="37"/>
    <col min="7998" max="7998" width="11" style="37" customWidth="1"/>
    <col min="7999" max="7999" width="10.77734375" style="37" customWidth="1"/>
    <col min="8000" max="8000" width="11.44140625" style="37" customWidth="1"/>
    <col min="8001" max="8001" width="4" style="37" customWidth="1"/>
    <col min="8002" max="8192" width="9.6640625" style="37"/>
    <col min="8193" max="8193" width="6.44140625" style="37" customWidth="1"/>
    <col min="8194" max="8194" width="13.88671875" style="37" customWidth="1"/>
    <col min="8195" max="8195" width="14.33203125" style="37" customWidth="1"/>
    <col min="8196" max="8212" width="9.6640625" style="37"/>
    <col min="8213" max="8213" width="12" style="37" customWidth="1"/>
    <col min="8214" max="8214" width="12.77734375" style="37" customWidth="1"/>
    <col min="8215" max="8215" width="11.109375" style="37" customWidth="1"/>
    <col min="8216" max="8216" width="12" style="37" customWidth="1"/>
    <col min="8217" max="8217" width="9.6640625" style="37"/>
    <col min="8218" max="8218" width="15.33203125" style="37" customWidth="1"/>
    <col min="8219" max="8219" width="15.21875" style="37" customWidth="1"/>
    <col min="8220" max="8220" width="21.44140625" style="37" customWidth="1"/>
    <col min="8221" max="8236" width="9.6640625" style="37"/>
    <col min="8237" max="8238" width="13.44140625" style="37" customWidth="1"/>
    <col min="8239" max="8239" width="9.6640625" style="37"/>
    <col min="8240" max="8240" width="13.88671875" style="37" customWidth="1"/>
    <col min="8241" max="8241" width="10.6640625" style="37" customWidth="1"/>
    <col min="8242" max="8242" width="17.33203125" style="37" customWidth="1"/>
    <col min="8243" max="8244" width="12.6640625" style="37" customWidth="1"/>
    <col min="8245" max="8245" width="11.21875" style="37" customWidth="1"/>
    <col min="8246" max="8246" width="18.33203125" style="37" customWidth="1"/>
    <col min="8247" max="8247" width="12.88671875" style="37" customWidth="1"/>
    <col min="8248" max="8249" width="13.21875" style="37" customWidth="1"/>
    <col min="8250" max="8250" width="10.88671875" style="37" customWidth="1"/>
    <col min="8251" max="8251" width="11.109375" style="37" customWidth="1"/>
    <col min="8252" max="8252" width="15.21875" style="37" customWidth="1"/>
    <col min="8253" max="8253" width="9.6640625" style="37"/>
    <col min="8254" max="8254" width="11" style="37" customWidth="1"/>
    <col min="8255" max="8255" width="10.77734375" style="37" customWidth="1"/>
    <col min="8256" max="8256" width="11.44140625" style="37" customWidth="1"/>
    <col min="8257" max="8257" width="4" style="37" customWidth="1"/>
    <col min="8258" max="8448" width="9.6640625" style="37"/>
    <col min="8449" max="8449" width="6.44140625" style="37" customWidth="1"/>
    <col min="8450" max="8450" width="13.88671875" style="37" customWidth="1"/>
    <col min="8451" max="8451" width="14.33203125" style="37" customWidth="1"/>
    <col min="8452" max="8468" width="9.6640625" style="37"/>
    <col min="8469" max="8469" width="12" style="37" customWidth="1"/>
    <col min="8470" max="8470" width="12.77734375" style="37" customWidth="1"/>
    <col min="8471" max="8471" width="11.109375" style="37" customWidth="1"/>
    <col min="8472" max="8472" width="12" style="37" customWidth="1"/>
    <col min="8473" max="8473" width="9.6640625" style="37"/>
    <col min="8474" max="8474" width="15.33203125" style="37" customWidth="1"/>
    <col min="8475" max="8475" width="15.21875" style="37" customWidth="1"/>
    <col min="8476" max="8476" width="21.44140625" style="37" customWidth="1"/>
    <col min="8477" max="8492" width="9.6640625" style="37"/>
    <col min="8493" max="8494" width="13.44140625" style="37" customWidth="1"/>
    <col min="8495" max="8495" width="9.6640625" style="37"/>
    <col min="8496" max="8496" width="13.88671875" style="37" customWidth="1"/>
    <col min="8497" max="8497" width="10.6640625" style="37" customWidth="1"/>
    <col min="8498" max="8498" width="17.33203125" style="37" customWidth="1"/>
    <col min="8499" max="8500" width="12.6640625" style="37" customWidth="1"/>
    <col min="8501" max="8501" width="11.21875" style="37" customWidth="1"/>
    <col min="8502" max="8502" width="18.33203125" style="37" customWidth="1"/>
    <col min="8503" max="8503" width="12.88671875" style="37" customWidth="1"/>
    <col min="8504" max="8505" width="13.21875" style="37" customWidth="1"/>
    <col min="8506" max="8506" width="10.88671875" style="37" customWidth="1"/>
    <col min="8507" max="8507" width="11.109375" style="37" customWidth="1"/>
    <col min="8508" max="8508" width="15.21875" style="37" customWidth="1"/>
    <col min="8509" max="8509" width="9.6640625" style="37"/>
    <col min="8510" max="8510" width="11" style="37" customWidth="1"/>
    <col min="8511" max="8511" width="10.77734375" style="37" customWidth="1"/>
    <col min="8512" max="8512" width="11.44140625" style="37" customWidth="1"/>
    <col min="8513" max="8513" width="4" style="37" customWidth="1"/>
    <col min="8514" max="8704" width="9.6640625" style="37"/>
    <col min="8705" max="8705" width="6.44140625" style="37" customWidth="1"/>
    <col min="8706" max="8706" width="13.88671875" style="37" customWidth="1"/>
    <col min="8707" max="8707" width="14.33203125" style="37" customWidth="1"/>
    <col min="8708" max="8724" width="9.6640625" style="37"/>
    <col min="8725" max="8725" width="12" style="37" customWidth="1"/>
    <col min="8726" max="8726" width="12.77734375" style="37" customWidth="1"/>
    <col min="8727" max="8727" width="11.109375" style="37" customWidth="1"/>
    <col min="8728" max="8728" width="12" style="37" customWidth="1"/>
    <col min="8729" max="8729" width="9.6640625" style="37"/>
    <col min="8730" max="8730" width="15.33203125" style="37" customWidth="1"/>
    <col min="8731" max="8731" width="15.21875" style="37" customWidth="1"/>
    <col min="8732" max="8732" width="21.44140625" style="37" customWidth="1"/>
    <col min="8733" max="8748" width="9.6640625" style="37"/>
    <col min="8749" max="8750" width="13.44140625" style="37" customWidth="1"/>
    <col min="8751" max="8751" width="9.6640625" style="37"/>
    <col min="8752" max="8752" width="13.88671875" style="37" customWidth="1"/>
    <col min="8753" max="8753" width="10.6640625" style="37" customWidth="1"/>
    <col min="8754" max="8754" width="17.33203125" style="37" customWidth="1"/>
    <col min="8755" max="8756" width="12.6640625" style="37" customWidth="1"/>
    <col min="8757" max="8757" width="11.21875" style="37" customWidth="1"/>
    <col min="8758" max="8758" width="18.33203125" style="37" customWidth="1"/>
    <col min="8759" max="8759" width="12.88671875" style="37" customWidth="1"/>
    <col min="8760" max="8761" width="13.21875" style="37" customWidth="1"/>
    <col min="8762" max="8762" width="10.88671875" style="37" customWidth="1"/>
    <col min="8763" max="8763" width="11.109375" style="37" customWidth="1"/>
    <col min="8764" max="8764" width="15.21875" style="37" customWidth="1"/>
    <col min="8765" max="8765" width="9.6640625" style="37"/>
    <col min="8766" max="8766" width="11" style="37" customWidth="1"/>
    <col min="8767" max="8767" width="10.77734375" style="37" customWidth="1"/>
    <col min="8768" max="8768" width="11.44140625" style="37" customWidth="1"/>
    <col min="8769" max="8769" width="4" style="37" customWidth="1"/>
    <col min="8770" max="8960" width="9.6640625" style="37"/>
    <col min="8961" max="8961" width="6.44140625" style="37" customWidth="1"/>
    <col min="8962" max="8962" width="13.88671875" style="37" customWidth="1"/>
    <col min="8963" max="8963" width="14.33203125" style="37" customWidth="1"/>
    <col min="8964" max="8980" width="9.6640625" style="37"/>
    <col min="8981" max="8981" width="12" style="37" customWidth="1"/>
    <col min="8982" max="8982" width="12.77734375" style="37" customWidth="1"/>
    <col min="8983" max="8983" width="11.109375" style="37" customWidth="1"/>
    <col min="8984" max="8984" width="12" style="37" customWidth="1"/>
    <col min="8985" max="8985" width="9.6640625" style="37"/>
    <col min="8986" max="8986" width="15.33203125" style="37" customWidth="1"/>
    <col min="8987" max="8987" width="15.21875" style="37" customWidth="1"/>
    <col min="8988" max="8988" width="21.44140625" style="37" customWidth="1"/>
    <col min="8989" max="9004" width="9.6640625" style="37"/>
    <col min="9005" max="9006" width="13.44140625" style="37" customWidth="1"/>
    <col min="9007" max="9007" width="9.6640625" style="37"/>
    <col min="9008" max="9008" width="13.88671875" style="37" customWidth="1"/>
    <col min="9009" max="9009" width="10.6640625" style="37" customWidth="1"/>
    <col min="9010" max="9010" width="17.33203125" style="37" customWidth="1"/>
    <col min="9011" max="9012" width="12.6640625" style="37" customWidth="1"/>
    <col min="9013" max="9013" width="11.21875" style="37" customWidth="1"/>
    <col min="9014" max="9014" width="18.33203125" style="37" customWidth="1"/>
    <col min="9015" max="9015" width="12.88671875" style="37" customWidth="1"/>
    <col min="9016" max="9017" width="13.21875" style="37" customWidth="1"/>
    <col min="9018" max="9018" width="10.88671875" style="37" customWidth="1"/>
    <col min="9019" max="9019" width="11.109375" style="37" customWidth="1"/>
    <col min="9020" max="9020" width="15.21875" style="37" customWidth="1"/>
    <col min="9021" max="9021" width="9.6640625" style="37"/>
    <col min="9022" max="9022" width="11" style="37" customWidth="1"/>
    <col min="9023" max="9023" width="10.77734375" style="37" customWidth="1"/>
    <col min="9024" max="9024" width="11.44140625" style="37" customWidth="1"/>
    <col min="9025" max="9025" width="4" style="37" customWidth="1"/>
    <col min="9026" max="9216" width="9.6640625" style="37"/>
    <col min="9217" max="9217" width="6.44140625" style="37" customWidth="1"/>
    <col min="9218" max="9218" width="13.88671875" style="37" customWidth="1"/>
    <col min="9219" max="9219" width="14.33203125" style="37" customWidth="1"/>
    <col min="9220" max="9236" width="9.6640625" style="37"/>
    <col min="9237" max="9237" width="12" style="37" customWidth="1"/>
    <col min="9238" max="9238" width="12.77734375" style="37" customWidth="1"/>
    <col min="9239" max="9239" width="11.109375" style="37" customWidth="1"/>
    <col min="9240" max="9240" width="12" style="37" customWidth="1"/>
    <col min="9241" max="9241" width="9.6640625" style="37"/>
    <col min="9242" max="9242" width="15.33203125" style="37" customWidth="1"/>
    <col min="9243" max="9243" width="15.21875" style="37" customWidth="1"/>
    <col min="9244" max="9244" width="21.44140625" style="37" customWidth="1"/>
    <col min="9245" max="9260" width="9.6640625" style="37"/>
    <col min="9261" max="9262" width="13.44140625" style="37" customWidth="1"/>
    <col min="9263" max="9263" width="9.6640625" style="37"/>
    <col min="9264" max="9264" width="13.88671875" style="37" customWidth="1"/>
    <col min="9265" max="9265" width="10.6640625" style="37" customWidth="1"/>
    <col min="9266" max="9266" width="17.33203125" style="37" customWidth="1"/>
    <col min="9267" max="9268" width="12.6640625" style="37" customWidth="1"/>
    <col min="9269" max="9269" width="11.21875" style="37" customWidth="1"/>
    <col min="9270" max="9270" width="18.33203125" style="37" customWidth="1"/>
    <col min="9271" max="9271" width="12.88671875" style="37" customWidth="1"/>
    <col min="9272" max="9273" width="13.21875" style="37" customWidth="1"/>
    <col min="9274" max="9274" width="10.88671875" style="37" customWidth="1"/>
    <col min="9275" max="9275" width="11.109375" style="37" customWidth="1"/>
    <col min="9276" max="9276" width="15.21875" style="37" customWidth="1"/>
    <col min="9277" max="9277" width="9.6640625" style="37"/>
    <col min="9278" max="9278" width="11" style="37" customWidth="1"/>
    <col min="9279" max="9279" width="10.77734375" style="37" customWidth="1"/>
    <col min="9280" max="9280" width="11.44140625" style="37" customWidth="1"/>
    <col min="9281" max="9281" width="4" style="37" customWidth="1"/>
    <col min="9282" max="9472" width="9.6640625" style="37"/>
    <col min="9473" max="9473" width="6.44140625" style="37" customWidth="1"/>
    <col min="9474" max="9474" width="13.88671875" style="37" customWidth="1"/>
    <col min="9475" max="9475" width="14.33203125" style="37" customWidth="1"/>
    <col min="9476" max="9492" width="9.6640625" style="37"/>
    <col min="9493" max="9493" width="12" style="37" customWidth="1"/>
    <col min="9494" max="9494" width="12.77734375" style="37" customWidth="1"/>
    <col min="9495" max="9495" width="11.109375" style="37" customWidth="1"/>
    <col min="9496" max="9496" width="12" style="37" customWidth="1"/>
    <col min="9497" max="9497" width="9.6640625" style="37"/>
    <col min="9498" max="9498" width="15.33203125" style="37" customWidth="1"/>
    <col min="9499" max="9499" width="15.21875" style="37" customWidth="1"/>
    <col min="9500" max="9500" width="21.44140625" style="37" customWidth="1"/>
    <col min="9501" max="9516" width="9.6640625" style="37"/>
    <col min="9517" max="9518" width="13.44140625" style="37" customWidth="1"/>
    <col min="9519" max="9519" width="9.6640625" style="37"/>
    <col min="9520" max="9520" width="13.88671875" style="37" customWidth="1"/>
    <col min="9521" max="9521" width="10.6640625" style="37" customWidth="1"/>
    <col min="9522" max="9522" width="17.33203125" style="37" customWidth="1"/>
    <col min="9523" max="9524" width="12.6640625" style="37" customWidth="1"/>
    <col min="9525" max="9525" width="11.21875" style="37" customWidth="1"/>
    <col min="9526" max="9526" width="18.33203125" style="37" customWidth="1"/>
    <col min="9527" max="9527" width="12.88671875" style="37" customWidth="1"/>
    <col min="9528" max="9529" width="13.21875" style="37" customWidth="1"/>
    <col min="9530" max="9530" width="10.88671875" style="37" customWidth="1"/>
    <col min="9531" max="9531" width="11.109375" style="37" customWidth="1"/>
    <col min="9532" max="9532" width="15.21875" style="37" customWidth="1"/>
    <col min="9533" max="9533" width="9.6640625" style="37"/>
    <col min="9534" max="9534" width="11" style="37" customWidth="1"/>
    <col min="9535" max="9535" width="10.77734375" style="37" customWidth="1"/>
    <col min="9536" max="9536" width="11.44140625" style="37" customWidth="1"/>
    <col min="9537" max="9537" width="4" style="37" customWidth="1"/>
    <col min="9538" max="9728" width="9.6640625" style="37"/>
    <col min="9729" max="9729" width="6.44140625" style="37" customWidth="1"/>
    <col min="9730" max="9730" width="13.88671875" style="37" customWidth="1"/>
    <col min="9731" max="9731" width="14.33203125" style="37" customWidth="1"/>
    <col min="9732" max="9748" width="9.6640625" style="37"/>
    <col min="9749" max="9749" width="12" style="37" customWidth="1"/>
    <col min="9750" max="9750" width="12.77734375" style="37" customWidth="1"/>
    <col min="9751" max="9751" width="11.109375" style="37" customWidth="1"/>
    <col min="9752" max="9752" width="12" style="37" customWidth="1"/>
    <col min="9753" max="9753" width="9.6640625" style="37"/>
    <col min="9754" max="9754" width="15.33203125" style="37" customWidth="1"/>
    <col min="9755" max="9755" width="15.21875" style="37" customWidth="1"/>
    <col min="9756" max="9756" width="21.44140625" style="37" customWidth="1"/>
    <col min="9757" max="9772" width="9.6640625" style="37"/>
    <col min="9773" max="9774" width="13.44140625" style="37" customWidth="1"/>
    <col min="9775" max="9775" width="9.6640625" style="37"/>
    <col min="9776" max="9776" width="13.88671875" style="37" customWidth="1"/>
    <col min="9777" max="9777" width="10.6640625" style="37" customWidth="1"/>
    <col min="9778" max="9778" width="17.33203125" style="37" customWidth="1"/>
    <col min="9779" max="9780" width="12.6640625" style="37" customWidth="1"/>
    <col min="9781" max="9781" width="11.21875" style="37" customWidth="1"/>
    <col min="9782" max="9782" width="18.33203125" style="37" customWidth="1"/>
    <col min="9783" max="9783" width="12.88671875" style="37" customWidth="1"/>
    <col min="9784" max="9785" width="13.21875" style="37" customWidth="1"/>
    <col min="9786" max="9786" width="10.88671875" style="37" customWidth="1"/>
    <col min="9787" max="9787" width="11.109375" style="37" customWidth="1"/>
    <col min="9788" max="9788" width="15.21875" style="37" customWidth="1"/>
    <col min="9789" max="9789" width="9.6640625" style="37"/>
    <col min="9790" max="9790" width="11" style="37" customWidth="1"/>
    <col min="9791" max="9791" width="10.77734375" style="37" customWidth="1"/>
    <col min="9792" max="9792" width="11.44140625" style="37" customWidth="1"/>
    <col min="9793" max="9793" width="4" style="37" customWidth="1"/>
    <col min="9794" max="9984" width="9.6640625" style="37"/>
    <col min="9985" max="9985" width="6.44140625" style="37" customWidth="1"/>
    <col min="9986" max="9986" width="13.88671875" style="37" customWidth="1"/>
    <col min="9987" max="9987" width="14.33203125" style="37" customWidth="1"/>
    <col min="9988" max="10004" width="9.6640625" style="37"/>
    <col min="10005" max="10005" width="12" style="37" customWidth="1"/>
    <col min="10006" max="10006" width="12.77734375" style="37" customWidth="1"/>
    <col min="10007" max="10007" width="11.109375" style="37" customWidth="1"/>
    <col min="10008" max="10008" width="12" style="37" customWidth="1"/>
    <col min="10009" max="10009" width="9.6640625" style="37"/>
    <col min="10010" max="10010" width="15.33203125" style="37" customWidth="1"/>
    <col min="10011" max="10011" width="15.21875" style="37" customWidth="1"/>
    <col min="10012" max="10012" width="21.44140625" style="37" customWidth="1"/>
    <col min="10013" max="10028" width="9.6640625" style="37"/>
    <col min="10029" max="10030" width="13.44140625" style="37" customWidth="1"/>
    <col min="10031" max="10031" width="9.6640625" style="37"/>
    <col min="10032" max="10032" width="13.88671875" style="37" customWidth="1"/>
    <col min="10033" max="10033" width="10.6640625" style="37" customWidth="1"/>
    <col min="10034" max="10034" width="17.33203125" style="37" customWidth="1"/>
    <col min="10035" max="10036" width="12.6640625" style="37" customWidth="1"/>
    <col min="10037" max="10037" width="11.21875" style="37" customWidth="1"/>
    <col min="10038" max="10038" width="18.33203125" style="37" customWidth="1"/>
    <col min="10039" max="10039" width="12.88671875" style="37" customWidth="1"/>
    <col min="10040" max="10041" width="13.21875" style="37" customWidth="1"/>
    <col min="10042" max="10042" width="10.88671875" style="37" customWidth="1"/>
    <col min="10043" max="10043" width="11.109375" style="37" customWidth="1"/>
    <col min="10044" max="10044" width="15.21875" style="37" customWidth="1"/>
    <col min="10045" max="10045" width="9.6640625" style="37"/>
    <col min="10046" max="10046" width="11" style="37" customWidth="1"/>
    <col min="10047" max="10047" width="10.77734375" style="37" customWidth="1"/>
    <col min="10048" max="10048" width="11.44140625" style="37" customWidth="1"/>
    <col min="10049" max="10049" width="4" style="37" customWidth="1"/>
    <col min="10050" max="10240" width="9.6640625" style="37"/>
    <col min="10241" max="10241" width="6.44140625" style="37" customWidth="1"/>
    <col min="10242" max="10242" width="13.88671875" style="37" customWidth="1"/>
    <col min="10243" max="10243" width="14.33203125" style="37" customWidth="1"/>
    <col min="10244" max="10260" width="9.6640625" style="37"/>
    <col min="10261" max="10261" width="12" style="37" customWidth="1"/>
    <col min="10262" max="10262" width="12.77734375" style="37" customWidth="1"/>
    <col min="10263" max="10263" width="11.109375" style="37" customWidth="1"/>
    <col min="10264" max="10264" width="12" style="37" customWidth="1"/>
    <col min="10265" max="10265" width="9.6640625" style="37"/>
    <col min="10266" max="10266" width="15.33203125" style="37" customWidth="1"/>
    <col min="10267" max="10267" width="15.21875" style="37" customWidth="1"/>
    <col min="10268" max="10268" width="21.44140625" style="37" customWidth="1"/>
    <col min="10269" max="10284" width="9.6640625" style="37"/>
    <col min="10285" max="10286" width="13.44140625" style="37" customWidth="1"/>
    <col min="10287" max="10287" width="9.6640625" style="37"/>
    <col min="10288" max="10288" width="13.88671875" style="37" customWidth="1"/>
    <col min="10289" max="10289" width="10.6640625" style="37" customWidth="1"/>
    <col min="10290" max="10290" width="17.33203125" style="37" customWidth="1"/>
    <col min="10291" max="10292" width="12.6640625" style="37" customWidth="1"/>
    <col min="10293" max="10293" width="11.21875" style="37" customWidth="1"/>
    <col min="10294" max="10294" width="18.33203125" style="37" customWidth="1"/>
    <col min="10295" max="10295" width="12.88671875" style="37" customWidth="1"/>
    <col min="10296" max="10297" width="13.21875" style="37" customWidth="1"/>
    <col min="10298" max="10298" width="10.88671875" style="37" customWidth="1"/>
    <col min="10299" max="10299" width="11.109375" style="37" customWidth="1"/>
    <col min="10300" max="10300" width="15.21875" style="37" customWidth="1"/>
    <col min="10301" max="10301" width="9.6640625" style="37"/>
    <col min="10302" max="10302" width="11" style="37" customWidth="1"/>
    <col min="10303" max="10303" width="10.77734375" style="37" customWidth="1"/>
    <col min="10304" max="10304" width="11.44140625" style="37" customWidth="1"/>
    <col min="10305" max="10305" width="4" style="37" customWidth="1"/>
    <col min="10306" max="10496" width="9.6640625" style="37"/>
    <col min="10497" max="10497" width="6.44140625" style="37" customWidth="1"/>
    <col min="10498" max="10498" width="13.88671875" style="37" customWidth="1"/>
    <col min="10499" max="10499" width="14.33203125" style="37" customWidth="1"/>
    <col min="10500" max="10516" width="9.6640625" style="37"/>
    <col min="10517" max="10517" width="12" style="37" customWidth="1"/>
    <col min="10518" max="10518" width="12.77734375" style="37" customWidth="1"/>
    <col min="10519" max="10519" width="11.109375" style="37" customWidth="1"/>
    <col min="10520" max="10520" width="12" style="37" customWidth="1"/>
    <col min="10521" max="10521" width="9.6640625" style="37"/>
    <col min="10522" max="10522" width="15.33203125" style="37" customWidth="1"/>
    <col min="10523" max="10523" width="15.21875" style="37" customWidth="1"/>
    <col min="10524" max="10524" width="21.44140625" style="37" customWidth="1"/>
    <col min="10525" max="10540" width="9.6640625" style="37"/>
    <col min="10541" max="10542" width="13.44140625" style="37" customWidth="1"/>
    <col min="10543" max="10543" width="9.6640625" style="37"/>
    <col min="10544" max="10544" width="13.88671875" style="37" customWidth="1"/>
    <col min="10545" max="10545" width="10.6640625" style="37" customWidth="1"/>
    <col min="10546" max="10546" width="17.33203125" style="37" customWidth="1"/>
    <col min="10547" max="10548" width="12.6640625" style="37" customWidth="1"/>
    <col min="10549" max="10549" width="11.21875" style="37" customWidth="1"/>
    <col min="10550" max="10550" width="18.33203125" style="37" customWidth="1"/>
    <col min="10551" max="10551" width="12.88671875" style="37" customWidth="1"/>
    <col min="10552" max="10553" width="13.21875" style="37" customWidth="1"/>
    <col min="10554" max="10554" width="10.88671875" style="37" customWidth="1"/>
    <col min="10555" max="10555" width="11.109375" style="37" customWidth="1"/>
    <col min="10556" max="10556" width="15.21875" style="37" customWidth="1"/>
    <col min="10557" max="10557" width="9.6640625" style="37"/>
    <col min="10558" max="10558" width="11" style="37" customWidth="1"/>
    <col min="10559" max="10559" width="10.77734375" style="37" customWidth="1"/>
    <col min="10560" max="10560" width="11.44140625" style="37" customWidth="1"/>
    <col min="10561" max="10561" width="4" style="37" customWidth="1"/>
    <col min="10562" max="10752" width="9.6640625" style="37"/>
    <col min="10753" max="10753" width="6.44140625" style="37" customWidth="1"/>
    <col min="10754" max="10754" width="13.88671875" style="37" customWidth="1"/>
    <col min="10755" max="10755" width="14.33203125" style="37" customWidth="1"/>
    <col min="10756" max="10772" width="9.6640625" style="37"/>
    <col min="10773" max="10773" width="12" style="37" customWidth="1"/>
    <col min="10774" max="10774" width="12.77734375" style="37" customWidth="1"/>
    <col min="10775" max="10775" width="11.109375" style="37" customWidth="1"/>
    <col min="10776" max="10776" width="12" style="37" customWidth="1"/>
    <col min="10777" max="10777" width="9.6640625" style="37"/>
    <col min="10778" max="10778" width="15.33203125" style="37" customWidth="1"/>
    <col min="10779" max="10779" width="15.21875" style="37" customWidth="1"/>
    <col min="10780" max="10780" width="21.44140625" style="37" customWidth="1"/>
    <col min="10781" max="10796" width="9.6640625" style="37"/>
    <col min="10797" max="10798" width="13.44140625" style="37" customWidth="1"/>
    <col min="10799" max="10799" width="9.6640625" style="37"/>
    <col min="10800" max="10800" width="13.88671875" style="37" customWidth="1"/>
    <col min="10801" max="10801" width="10.6640625" style="37" customWidth="1"/>
    <col min="10802" max="10802" width="17.33203125" style="37" customWidth="1"/>
    <col min="10803" max="10804" width="12.6640625" style="37" customWidth="1"/>
    <col min="10805" max="10805" width="11.21875" style="37" customWidth="1"/>
    <col min="10806" max="10806" width="18.33203125" style="37" customWidth="1"/>
    <col min="10807" max="10807" width="12.88671875" style="37" customWidth="1"/>
    <col min="10808" max="10809" width="13.21875" style="37" customWidth="1"/>
    <col min="10810" max="10810" width="10.88671875" style="37" customWidth="1"/>
    <col min="10811" max="10811" width="11.109375" style="37" customWidth="1"/>
    <col min="10812" max="10812" width="15.21875" style="37" customWidth="1"/>
    <col min="10813" max="10813" width="9.6640625" style="37"/>
    <col min="10814" max="10814" width="11" style="37" customWidth="1"/>
    <col min="10815" max="10815" width="10.77734375" style="37" customWidth="1"/>
    <col min="10816" max="10816" width="11.44140625" style="37" customWidth="1"/>
    <col min="10817" max="10817" width="4" style="37" customWidth="1"/>
    <col min="10818" max="11008" width="9.6640625" style="37"/>
    <col min="11009" max="11009" width="6.44140625" style="37" customWidth="1"/>
    <col min="11010" max="11010" width="13.88671875" style="37" customWidth="1"/>
    <col min="11011" max="11011" width="14.33203125" style="37" customWidth="1"/>
    <col min="11012" max="11028" width="9.6640625" style="37"/>
    <col min="11029" max="11029" width="12" style="37" customWidth="1"/>
    <col min="11030" max="11030" width="12.77734375" style="37" customWidth="1"/>
    <col min="11031" max="11031" width="11.109375" style="37" customWidth="1"/>
    <col min="11032" max="11032" width="12" style="37" customWidth="1"/>
    <col min="11033" max="11033" width="9.6640625" style="37"/>
    <col min="11034" max="11034" width="15.33203125" style="37" customWidth="1"/>
    <col min="11035" max="11035" width="15.21875" style="37" customWidth="1"/>
    <col min="11036" max="11036" width="21.44140625" style="37" customWidth="1"/>
    <col min="11037" max="11052" width="9.6640625" style="37"/>
    <col min="11053" max="11054" width="13.44140625" style="37" customWidth="1"/>
    <col min="11055" max="11055" width="9.6640625" style="37"/>
    <col min="11056" max="11056" width="13.88671875" style="37" customWidth="1"/>
    <col min="11057" max="11057" width="10.6640625" style="37" customWidth="1"/>
    <col min="11058" max="11058" width="17.33203125" style="37" customWidth="1"/>
    <col min="11059" max="11060" width="12.6640625" style="37" customWidth="1"/>
    <col min="11061" max="11061" width="11.21875" style="37" customWidth="1"/>
    <col min="11062" max="11062" width="18.33203125" style="37" customWidth="1"/>
    <col min="11063" max="11063" width="12.88671875" style="37" customWidth="1"/>
    <col min="11064" max="11065" width="13.21875" style="37" customWidth="1"/>
    <col min="11066" max="11066" width="10.88671875" style="37" customWidth="1"/>
    <col min="11067" max="11067" width="11.109375" style="37" customWidth="1"/>
    <col min="11068" max="11068" width="15.21875" style="37" customWidth="1"/>
    <col min="11069" max="11069" width="9.6640625" style="37"/>
    <col min="11070" max="11070" width="11" style="37" customWidth="1"/>
    <col min="11071" max="11071" width="10.77734375" style="37" customWidth="1"/>
    <col min="11072" max="11072" width="11.44140625" style="37" customWidth="1"/>
    <col min="11073" max="11073" width="4" style="37" customWidth="1"/>
    <col min="11074" max="11264" width="9.6640625" style="37"/>
    <col min="11265" max="11265" width="6.44140625" style="37" customWidth="1"/>
    <col min="11266" max="11266" width="13.88671875" style="37" customWidth="1"/>
    <col min="11267" max="11267" width="14.33203125" style="37" customWidth="1"/>
    <col min="11268" max="11284" width="9.6640625" style="37"/>
    <col min="11285" max="11285" width="12" style="37" customWidth="1"/>
    <col min="11286" max="11286" width="12.77734375" style="37" customWidth="1"/>
    <col min="11287" max="11287" width="11.109375" style="37" customWidth="1"/>
    <col min="11288" max="11288" width="12" style="37" customWidth="1"/>
    <col min="11289" max="11289" width="9.6640625" style="37"/>
    <col min="11290" max="11290" width="15.33203125" style="37" customWidth="1"/>
    <col min="11291" max="11291" width="15.21875" style="37" customWidth="1"/>
    <col min="11292" max="11292" width="21.44140625" style="37" customWidth="1"/>
    <col min="11293" max="11308" width="9.6640625" style="37"/>
    <col min="11309" max="11310" width="13.44140625" style="37" customWidth="1"/>
    <col min="11311" max="11311" width="9.6640625" style="37"/>
    <col min="11312" max="11312" width="13.88671875" style="37" customWidth="1"/>
    <col min="11313" max="11313" width="10.6640625" style="37" customWidth="1"/>
    <col min="11314" max="11314" width="17.33203125" style="37" customWidth="1"/>
    <col min="11315" max="11316" width="12.6640625" style="37" customWidth="1"/>
    <col min="11317" max="11317" width="11.21875" style="37" customWidth="1"/>
    <col min="11318" max="11318" width="18.33203125" style="37" customWidth="1"/>
    <col min="11319" max="11319" width="12.88671875" style="37" customWidth="1"/>
    <col min="11320" max="11321" width="13.21875" style="37" customWidth="1"/>
    <col min="11322" max="11322" width="10.88671875" style="37" customWidth="1"/>
    <col min="11323" max="11323" width="11.109375" style="37" customWidth="1"/>
    <col min="11324" max="11324" width="15.21875" style="37" customWidth="1"/>
    <col min="11325" max="11325" width="9.6640625" style="37"/>
    <col min="11326" max="11326" width="11" style="37" customWidth="1"/>
    <col min="11327" max="11327" width="10.77734375" style="37" customWidth="1"/>
    <col min="11328" max="11328" width="11.44140625" style="37" customWidth="1"/>
    <col min="11329" max="11329" width="4" style="37" customWidth="1"/>
    <col min="11330" max="11520" width="9.6640625" style="37"/>
    <col min="11521" max="11521" width="6.44140625" style="37" customWidth="1"/>
    <col min="11522" max="11522" width="13.88671875" style="37" customWidth="1"/>
    <col min="11523" max="11523" width="14.33203125" style="37" customWidth="1"/>
    <col min="11524" max="11540" width="9.6640625" style="37"/>
    <col min="11541" max="11541" width="12" style="37" customWidth="1"/>
    <col min="11542" max="11542" width="12.77734375" style="37" customWidth="1"/>
    <col min="11543" max="11543" width="11.109375" style="37" customWidth="1"/>
    <col min="11544" max="11544" width="12" style="37" customWidth="1"/>
    <col min="11545" max="11545" width="9.6640625" style="37"/>
    <col min="11546" max="11546" width="15.33203125" style="37" customWidth="1"/>
    <col min="11547" max="11547" width="15.21875" style="37" customWidth="1"/>
    <col min="11548" max="11548" width="21.44140625" style="37" customWidth="1"/>
    <col min="11549" max="11564" width="9.6640625" style="37"/>
    <col min="11565" max="11566" width="13.44140625" style="37" customWidth="1"/>
    <col min="11567" max="11567" width="9.6640625" style="37"/>
    <col min="11568" max="11568" width="13.88671875" style="37" customWidth="1"/>
    <col min="11569" max="11569" width="10.6640625" style="37" customWidth="1"/>
    <col min="11570" max="11570" width="17.33203125" style="37" customWidth="1"/>
    <col min="11571" max="11572" width="12.6640625" style="37" customWidth="1"/>
    <col min="11573" max="11573" width="11.21875" style="37" customWidth="1"/>
    <col min="11574" max="11574" width="18.33203125" style="37" customWidth="1"/>
    <col min="11575" max="11575" width="12.88671875" style="37" customWidth="1"/>
    <col min="11576" max="11577" width="13.21875" style="37" customWidth="1"/>
    <col min="11578" max="11578" width="10.88671875" style="37" customWidth="1"/>
    <col min="11579" max="11579" width="11.109375" style="37" customWidth="1"/>
    <col min="11580" max="11580" width="15.21875" style="37" customWidth="1"/>
    <col min="11581" max="11581" width="9.6640625" style="37"/>
    <col min="11582" max="11582" width="11" style="37" customWidth="1"/>
    <col min="11583" max="11583" width="10.77734375" style="37" customWidth="1"/>
    <col min="11584" max="11584" width="11.44140625" style="37" customWidth="1"/>
    <col min="11585" max="11585" width="4" style="37" customWidth="1"/>
    <col min="11586" max="11776" width="9.6640625" style="37"/>
    <col min="11777" max="11777" width="6.44140625" style="37" customWidth="1"/>
    <col min="11778" max="11778" width="13.88671875" style="37" customWidth="1"/>
    <col min="11779" max="11779" width="14.33203125" style="37" customWidth="1"/>
    <col min="11780" max="11796" width="9.6640625" style="37"/>
    <col min="11797" max="11797" width="12" style="37" customWidth="1"/>
    <col min="11798" max="11798" width="12.77734375" style="37" customWidth="1"/>
    <col min="11799" max="11799" width="11.109375" style="37" customWidth="1"/>
    <col min="11800" max="11800" width="12" style="37" customWidth="1"/>
    <col min="11801" max="11801" width="9.6640625" style="37"/>
    <col min="11802" max="11802" width="15.33203125" style="37" customWidth="1"/>
    <col min="11803" max="11803" width="15.21875" style="37" customWidth="1"/>
    <col min="11804" max="11804" width="21.44140625" style="37" customWidth="1"/>
    <col min="11805" max="11820" width="9.6640625" style="37"/>
    <col min="11821" max="11822" width="13.44140625" style="37" customWidth="1"/>
    <col min="11823" max="11823" width="9.6640625" style="37"/>
    <col min="11824" max="11824" width="13.88671875" style="37" customWidth="1"/>
    <col min="11825" max="11825" width="10.6640625" style="37" customWidth="1"/>
    <col min="11826" max="11826" width="17.33203125" style="37" customWidth="1"/>
    <col min="11827" max="11828" width="12.6640625" style="37" customWidth="1"/>
    <col min="11829" max="11829" width="11.21875" style="37" customWidth="1"/>
    <col min="11830" max="11830" width="18.33203125" style="37" customWidth="1"/>
    <col min="11831" max="11831" width="12.88671875" style="37" customWidth="1"/>
    <col min="11832" max="11833" width="13.21875" style="37" customWidth="1"/>
    <col min="11834" max="11834" width="10.88671875" style="37" customWidth="1"/>
    <col min="11835" max="11835" width="11.109375" style="37" customWidth="1"/>
    <col min="11836" max="11836" width="15.21875" style="37" customWidth="1"/>
    <col min="11837" max="11837" width="9.6640625" style="37"/>
    <col min="11838" max="11838" width="11" style="37" customWidth="1"/>
    <col min="11839" max="11839" width="10.77734375" style="37" customWidth="1"/>
    <col min="11840" max="11840" width="11.44140625" style="37" customWidth="1"/>
    <col min="11841" max="11841" width="4" style="37" customWidth="1"/>
    <col min="11842" max="12032" width="9.6640625" style="37"/>
    <col min="12033" max="12033" width="6.44140625" style="37" customWidth="1"/>
    <col min="12034" max="12034" width="13.88671875" style="37" customWidth="1"/>
    <col min="12035" max="12035" width="14.33203125" style="37" customWidth="1"/>
    <col min="12036" max="12052" width="9.6640625" style="37"/>
    <col min="12053" max="12053" width="12" style="37" customWidth="1"/>
    <col min="12054" max="12054" width="12.77734375" style="37" customWidth="1"/>
    <col min="12055" max="12055" width="11.109375" style="37" customWidth="1"/>
    <col min="12056" max="12056" width="12" style="37" customWidth="1"/>
    <col min="12057" max="12057" width="9.6640625" style="37"/>
    <col min="12058" max="12058" width="15.33203125" style="37" customWidth="1"/>
    <col min="12059" max="12059" width="15.21875" style="37" customWidth="1"/>
    <col min="12060" max="12060" width="21.44140625" style="37" customWidth="1"/>
    <col min="12061" max="12076" width="9.6640625" style="37"/>
    <col min="12077" max="12078" width="13.44140625" style="37" customWidth="1"/>
    <col min="12079" max="12079" width="9.6640625" style="37"/>
    <col min="12080" max="12080" width="13.88671875" style="37" customWidth="1"/>
    <col min="12081" max="12081" width="10.6640625" style="37" customWidth="1"/>
    <col min="12082" max="12082" width="17.33203125" style="37" customWidth="1"/>
    <col min="12083" max="12084" width="12.6640625" style="37" customWidth="1"/>
    <col min="12085" max="12085" width="11.21875" style="37" customWidth="1"/>
    <col min="12086" max="12086" width="18.33203125" style="37" customWidth="1"/>
    <col min="12087" max="12087" width="12.88671875" style="37" customWidth="1"/>
    <col min="12088" max="12089" width="13.21875" style="37" customWidth="1"/>
    <col min="12090" max="12090" width="10.88671875" style="37" customWidth="1"/>
    <col min="12091" max="12091" width="11.109375" style="37" customWidth="1"/>
    <col min="12092" max="12092" width="15.21875" style="37" customWidth="1"/>
    <col min="12093" max="12093" width="9.6640625" style="37"/>
    <col min="12094" max="12094" width="11" style="37" customWidth="1"/>
    <col min="12095" max="12095" width="10.77734375" style="37" customWidth="1"/>
    <col min="12096" max="12096" width="11.44140625" style="37" customWidth="1"/>
    <col min="12097" max="12097" width="4" style="37" customWidth="1"/>
    <col min="12098" max="12288" width="9.6640625" style="37"/>
    <col min="12289" max="12289" width="6.44140625" style="37" customWidth="1"/>
    <col min="12290" max="12290" width="13.88671875" style="37" customWidth="1"/>
    <col min="12291" max="12291" width="14.33203125" style="37" customWidth="1"/>
    <col min="12292" max="12308" width="9.6640625" style="37"/>
    <col min="12309" max="12309" width="12" style="37" customWidth="1"/>
    <col min="12310" max="12310" width="12.77734375" style="37" customWidth="1"/>
    <col min="12311" max="12311" width="11.109375" style="37" customWidth="1"/>
    <col min="12312" max="12312" width="12" style="37" customWidth="1"/>
    <col min="12313" max="12313" width="9.6640625" style="37"/>
    <col min="12314" max="12314" width="15.33203125" style="37" customWidth="1"/>
    <col min="12315" max="12315" width="15.21875" style="37" customWidth="1"/>
    <col min="12316" max="12316" width="21.44140625" style="37" customWidth="1"/>
    <col min="12317" max="12332" width="9.6640625" style="37"/>
    <col min="12333" max="12334" width="13.44140625" style="37" customWidth="1"/>
    <col min="12335" max="12335" width="9.6640625" style="37"/>
    <col min="12336" max="12336" width="13.88671875" style="37" customWidth="1"/>
    <col min="12337" max="12337" width="10.6640625" style="37" customWidth="1"/>
    <col min="12338" max="12338" width="17.33203125" style="37" customWidth="1"/>
    <col min="12339" max="12340" width="12.6640625" style="37" customWidth="1"/>
    <col min="12341" max="12341" width="11.21875" style="37" customWidth="1"/>
    <col min="12342" max="12342" width="18.33203125" style="37" customWidth="1"/>
    <col min="12343" max="12343" width="12.88671875" style="37" customWidth="1"/>
    <col min="12344" max="12345" width="13.21875" style="37" customWidth="1"/>
    <col min="12346" max="12346" width="10.88671875" style="37" customWidth="1"/>
    <col min="12347" max="12347" width="11.109375" style="37" customWidth="1"/>
    <col min="12348" max="12348" width="15.21875" style="37" customWidth="1"/>
    <col min="12349" max="12349" width="9.6640625" style="37"/>
    <col min="12350" max="12350" width="11" style="37" customWidth="1"/>
    <col min="12351" max="12351" width="10.77734375" style="37" customWidth="1"/>
    <col min="12352" max="12352" width="11.44140625" style="37" customWidth="1"/>
    <col min="12353" max="12353" width="4" style="37" customWidth="1"/>
    <col min="12354" max="12544" width="9.6640625" style="37"/>
    <col min="12545" max="12545" width="6.44140625" style="37" customWidth="1"/>
    <col min="12546" max="12546" width="13.88671875" style="37" customWidth="1"/>
    <col min="12547" max="12547" width="14.33203125" style="37" customWidth="1"/>
    <col min="12548" max="12564" width="9.6640625" style="37"/>
    <col min="12565" max="12565" width="12" style="37" customWidth="1"/>
    <col min="12566" max="12566" width="12.77734375" style="37" customWidth="1"/>
    <col min="12567" max="12567" width="11.109375" style="37" customWidth="1"/>
    <col min="12568" max="12568" width="12" style="37" customWidth="1"/>
    <col min="12569" max="12569" width="9.6640625" style="37"/>
    <col min="12570" max="12570" width="15.33203125" style="37" customWidth="1"/>
    <col min="12571" max="12571" width="15.21875" style="37" customWidth="1"/>
    <col min="12572" max="12572" width="21.44140625" style="37" customWidth="1"/>
    <col min="12573" max="12588" width="9.6640625" style="37"/>
    <col min="12589" max="12590" width="13.44140625" style="37" customWidth="1"/>
    <col min="12591" max="12591" width="9.6640625" style="37"/>
    <col min="12592" max="12592" width="13.88671875" style="37" customWidth="1"/>
    <col min="12593" max="12593" width="10.6640625" style="37" customWidth="1"/>
    <col min="12594" max="12594" width="17.33203125" style="37" customWidth="1"/>
    <col min="12595" max="12596" width="12.6640625" style="37" customWidth="1"/>
    <col min="12597" max="12597" width="11.21875" style="37" customWidth="1"/>
    <col min="12598" max="12598" width="18.33203125" style="37" customWidth="1"/>
    <col min="12599" max="12599" width="12.88671875" style="37" customWidth="1"/>
    <col min="12600" max="12601" width="13.21875" style="37" customWidth="1"/>
    <col min="12602" max="12602" width="10.88671875" style="37" customWidth="1"/>
    <col min="12603" max="12603" width="11.109375" style="37" customWidth="1"/>
    <col min="12604" max="12604" width="15.21875" style="37" customWidth="1"/>
    <col min="12605" max="12605" width="9.6640625" style="37"/>
    <col min="12606" max="12606" width="11" style="37" customWidth="1"/>
    <col min="12607" max="12607" width="10.77734375" style="37" customWidth="1"/>
    <col min="12608" max="12608" width="11.44140625" style="37" customWidth="1"/>
    <col min="12609" max="12609" width="4" style="37" customWidth="1"/>
    <col min="12610" max="12800" width="9.6640625" style="37"/>
    <col min="12801" max="12801" width="6.44140625" style="37" customWidth="1"/>
    <col min="12802" max="12802" width="13.88671875" style="37" customWidth="1"/>
    <col min="12803" max="12803" width="14.33203125" style="37" customWidth="1"/>
    <col min="12804" max="12820" width="9.6640625" style="37"/>
    <col min="12821" max="12821" width="12" style="37" customWidth="1"/>
    <col min="12822" max="12822" width="12.77734375" style="37" customWidth="1"/>
    <col min="12823" max="12823" width="11.109375" style="37" customWidth="1"/>
    <col min="12824" max="12824" width="12" style="37" customWidth="1"/>
    <col min="12825" max="12825" width="9.6640625" style="37"/>
    <col min="12826" max="12826" width="15.33203125" style="37" customWidth="1"/>
    <col min="12827" max="12827" width="15.21875" style="37" customWidth="1"/>
    <col min="12828" max="12828" width="21.44140625" style="37" customWidth="1"/>
    <col min="12829" max="12844" width="9.6640625" style="37"/>
    <col min="12845" max="12846" width="13.44140625" style="37" customWidth="1"/>
    <col min="12847" max="12847" width="9.6640625" style="37"/>
    <col min="12848" max="12848" width="13.88671875" style="37" customWidth="1"/>
    <col min="12849" max="12849" width="10.6640625" style="37" customWidth="1"/>
    <col min="12850" max="12850" width="17.33203125" style="37" customWidth="1"/>
    <col min="12851" max="12852" width="12.6640625" style="37" customWidth="1"/>
    <col min="12853" max="12853" width="11.21875" style="37" customWidth="1"/>
    <col min="12854" max="12854" width="18.33203125" style="37" customWidth="1"/>
    <col min="12855" max="12855" width="12.88671875" style="37" customWidth="1"/>
    <col min="12856" max="12857" width="13.21875" style="37" customWidth="1"/>
    <col min="12858" max="12858" width="10.88671875" style="37" customWidth="1"/>
    <col min="12859" max="12859" width="11.109375" style="37" customWidth="1"/>
    <col min="12860" max="12860" width="15.21875" style="37" customWidth="1"/>
    <col min="12861" max="12861" width="9.6640625" style="37"/>
    <col min="12862" max="12862" width="11" style="37" customWidth="1"/>
    <col min="12863" max="12863" width="10.77734375" style="37" customWidth="1"/>
    <col min="12864" max="12864" width="11.44140625" style="37" customWidth="1"/>
    <col min="12865" max="12865" width="4" style="37" customWidth="1"/>
    <col min="12866" max="13056" width="9.6640625" style="37"/>
    <col min="13057" max="13057" width="6.44140625" style="37" customWidth="1"/>
    <col min="13058" max="13058" width="13.88671875" style="37" customWidth="1"/>
    <col min="13059" max="13059" width="14.33203125" style="37" customWidth="1"/>
    <col min="13060" max="13076" width="9.6640625" style="37"/>
    <col min="13077" max="13077" width="12" style="37" customWidth="1"/>
    <col min="13078" max="13078" width="12.77734375" style="37" customWidth="1"/>
    <col min="13079" max="13079" width="11.109375" style="37" customWidth="1"/>
    <col min="13080" max="13080" width="12" style="37" customWidth="1"/>
    <col min="13081" max="13081" width="9.6640625" style="37"/>
    <col min="13082" max="13082" width="15.33203125" style="37" customWidth="1"/>
    <col min="13083" max="13083" width="15.21875" style="37" customWidth="1"/>
    <col min="13084" max="13084" width="21.44140625" style="37" customWidth="1"/>
    <col min="13085" max="13100" width="9.6640625" style="37"/>
    <col min="13101" max="13102" width="13.44140625" style="37" customWidth="1"/>
    <col min="13103" max="13103" width="9.6640625" style="37"/>
    <col min="13104" max="13104" width="13.88671875" style="37" customWidth="1"/>
    <col min="13105" max="13105" width="10.6640625" style="37" customWidth="1"/>
    <col min="13106" max="13106" width="17.33203125" style="37" customWidth="1"/>
    <col min="13107" max="13108" width="12.6640625" style="37" customWidth="1"/>
    <col min="13109" max="13109" width="11.21875" style="37" customWidth="1"/>
    <col min="13110" max="13110" width="18.33203125" style="37" customWidth="1"/>
    <col min="13111" max="13111" width="12.88671875" style="37" customWidth="1"/>
    <col min="13112" max="13113" width="13.21875" style="37" customWidth="1"/>
    <col min="13114" max="13114" width="10.88671875" style="37" customWidth="1"/>
    <col min="13115" max="13115" width="11.109375" style="37" customWidth="1"/>
    <col min="13116" max="13116" width="15.21875" style="37" customWidth="1"/>
    <col min="13117" max="13117" width="9.6640625" style="37"/>
    <col min="13118" max="13118" width="11" style="37" customWidth="1"/>
    <col min="13119" max="13119" width="10.77734375" style="37" customWidth="1"/>
    <col min="13120" max="13120" width="11.44140625" style="37" customWidth="1"/>
    <col min="13121" max="13121" width="4" style="37" customWidth="1"/>
    <col min="13122" max="13312" width="9.6640625" style="37"/>
    <col min="13313" max="13313" width="6.44140625" style="37" customWidth="1"/>
    <col min="13314" max="13314" width="13.88671875" style="37" customWidth="1"/>
    <col min="13315" max="13315" width="14.33203125" style="37" customWidth="1"/>
    <col min="13316" max="13332" width="9.6640625" style="37"/>
    <col min="13333" max="13333" width="12" style="37" customWidth="1"/>
    <col min="13334" max="13334" width="12.77734375" style="37" customWidth="1"/>
    <col min="13335" max="13335" width="11.109375" style="37" customWidth="1"/>
    <col min="13336" max="13336" width="12" style="37" customWidth="1"/>
    <col min="13337" max="13337" width="9.6640625" style="37"/>
    <col min="13338" max="13338" width="15.33203125" style="37" customWidth="1"/>
    <col min="13339" max="13339" width="15.21875" style="37" customWidth="1"/>
    <col min="13340" max="13340" width="21.44140625" style="37" customWidth="1"/>
    <col min="13341" max="13356" width="9.6640625" style="37"/>
    <col min="13357" max="13358" width="13.44140625" style="37" customWidth="1"/>
    <col min="13359" max="13359" width="9.6640625" style="37"/>
    <col min="13360" max="13360" width="13.88671875" style="37" customWidth="1"/>
    <col min="13361" max="13361" width="10.6640625" style="37" customWidth="1"/>
    <col min="13362" max="13362" width="17.33203125" style="37" customWidth="1"/>
    <col min="13363" max="13364" width="12.6640625" style="37" customWidth="1"/>
    <col min="13365" max="13365" width="11.21875" style="37" customWidth="1"/>
    <col min="13366" max="13366" width="18.33203125" style="37" customWidth="1"/>
    <col min="13367" max="13367" width="12.88671875" style="37" customWidth="1"/>
    <col min="13368" max="13369" width="13.21875" style="37" customWidth="1"/>
    <col min="13370" max="13370" width="10.88671875" style="37" customWidth="1"/>
    <col min="13371" max="13371" width="11.109375" style="37" customWidth="1"/>
    <col min="13372" max="13372" width="15.21875" style="37" customWidth="1"/>
    <col min="13373" max="13373" width="9.6640625" style="37"/>
    <col min="13374" max="13374" width="11" style="37" customWidth="1"/>
    <col min="13375" max="13375" width="10.77734375" style="37" customWidth="1"/>
    <col min="13376" max="13376" width="11.44140625" style="37" customWidth="1"/>
    <col min="13377" max="13377" width="4" style="37" customWidth="1"/>
    <col min="13378" max="13568" width="9.6640625" style="37"/>
    <col min="13569" max="13569" width="6.44140625" style="37" customWidth="1"/>
    <col min="13570" max="13570" width="13.88671875" style="37" customWidth="1"/>
    <col min="13571" max="13571" width="14.33203125" style="37" customWidth="1"/>
    <col min="13572" max="13588" width="9.6640625" style="37"/>
    <col min="13589" max="13589" width="12" style="37" customWidth="1"/>
    <col min="13590" max="13590" width="12.77734375" style="37" customWidth="1"/>
    <col min="13591" max="13591" width="11.109375" style="37" customWidth="1"/>
    <col min="13592" max="13592" width="12" style="37" customWidth="1"/>
    <col min="13593" max="13593" width="9.6640625" style="37"/>
    <col min="13594" max="13594" width="15.33203125" style="37" customWidth="1"/>
    <col min="13595" max="13595" width="15.21875" style="37" customWidth="1"/>
    <col min="13596" max="13596" width="21.44140625" style="37" customWidth="1"/>
    <col min="13597" max="13612" width="9.6640625" style="37"/>
    <col min="13613" max="13614" width="13.44140625" style="37" customWidth="1"/>
    <col min="13615" max="13615" width="9.6640625" style="37"/>
    <col min="13616" max="13616" width="13.88671875" style="37" customWidth="1"/>
    <col min="13617" max="13617" width="10.6640625" style="37" customWidth="1"/>
    <col min="13618" max="13618" width="17.33203125" style="37" customWidth="1"/>
    <col min="13619" max="13620" width="12.6640625" style="37" customWidth="1"/>
    <col min="13621" max="13621" width="11.21875" style="37" customWidth="1"/>
    <col min="13622" max="13622" width="18.33203125" style="37" customWidth="1"/>
    <col min="13623" max="13623" width="12.88671875" style="37" customWidth="1"/>
    <col min="13624" max="13625" width="13.21875" style="37" customWidth="1"/>
    <col min="13626" max="13626" width="10.88671875" style="37" customWidth="1"/>
    <col min="13627" max="13627" width="11.109375" style="37" customWidth="1"/>
    <col min="13628" max="13628" width="15.21875" style="37" customWidth="1"/>
    <col min="13629" max="13629" width="9.6640625" style="37"/>
    <col min="13630" max="13630" width="11" style="37" customWidth="1"/>
    <col min="13631" max="13631" width="10.77734375" style="37" customWidth="1"/>
    <col min="13632" max="13632" width="11.44140625" style="37" customWidth="1"/>
    <col min="13633" max="13633" width="4" style="37" customWidth="1"/>
    <col min="13634" max="13824" width="9.6640625" style="37"/>
    <col min="13825" max="13825" width="6.44140625" style="37" customWidth="1"/>
    <col min="13826" max="13826" width="13.88671875" style="37" customWidth="1"/>
    <col min="13827" max="13827" width="14.33203125" style="37" customWidth="1"/>
    <col min="13828" max="13844" width="9.6640625" style="37"/>
    <col min="13845" max="13845" width="12" style="37" customWidth="1"/>
    <col min="13846" max="13846" width="12.77734375" style="37" customWidth="1"/>
    <col min="13847" max="13847" width="11.109375" style="37" customWidth="1"/>
    <col min="13848" max="13848" width="12" style="37" customWidth="1"/>
    <col min="13849" max="13849" width="9.6640625" style="37"/>
    <col min="13850" max="13850" width="15.33203125" style="37" customWidth="1"/>
    <col min="13851" max="13851" width="15.21875" style="37" customWidth="1"/>
    <col min="13852" max="13852" width="21.44140625" style="37" customWidth="1"/>
    <col min="13853" max="13868" width="9.6640625" style="37"/>
    <col min="13869" max="13870" width="13.44140625" style="37" customWidth="1"/>
    <col min="13871" max="13871" width="9.6640625" style="37"/>
    <col min="13872" max="13872" width="13.88671875" style="37" customWidth="1"/>
    <col min="13873" max="13873" width="10.6640625" style="37" customWidth="1"/>
    <col min="13874" max="13874" width="17.33203125" style="37" customWidth="1"/>
    <col min="13875" max="13876" width="12.6640625" style="37" customWidth="1"/>
    <col min="13877" max="13877" width="11.21875" style="37" customWidth="1"/>
    <col min="13878" max="13878" width="18.33203125" style="37" customWidth="1"/>
    <col min="13879" max="13879" width="12.88671875" style="37" customWidth="1"/>
    <col min="13880" max="13881" width="13.21875" style="37" customWidth="1"/>
    <col min="13882" max="13882" width="10.88671875" style="37" customWidth="1"/>
    <col min="13883" max="13883" width="11.109375" style="37" customWidth="1"/>
    <col min="13884" max="13884" width="15.21875" style="37" customWidth="1"/>
    <col min="13885" max="13885" width="9.6640625" style="37"/>
    <col min="13886" max="13886" width="11" style="37" customWidth="1"/>
    <col min="13887" max="13887" width="10.77734375" style="37" customWidth="1"/>
    <col min="13888" max="13888" width="11.44140625" style="37" customWidth="1"/>
    <col min="13889" max="13889" width="4" style="37" customWidth="1"/>
    <col min="13890" max="14080" width="9.6640625" style="37"/>
    <col min="14081" max="14081" width="6.44140625" style="37" customWidth="1"/>
    <col min="14082" max="14082" width="13.88671875" style="37" customWidth="1"/>
    <col min="14083" max="14083" width="14.33203125" style="37" customWidth="1"/>
    <col min="14084" max="14100" width="9.6640625" style="37"/>
    <col min="14101" max="14101" width="12" style="37" customWidth="1"/>
    <col min="14102" max="14102" width="12.77734375" style="37" customWidth="1"/>
    <col min="14103" max="14103" width="11.109375" style="37" customWidth="1"/>
    <col min="14104" max="14104" width="12" style="37" customWidth="1"/>
    <col min="14105" max="14105" width="9.6640625" style="37"/>
    <col min="14106" max="14106" width="15.33203125" style="37" customWidth="1"/>
    <col min="14107" max="14107" width="15.21875" style="37" customWidth="1"/>
    <col min="14108" max="14108" width="21.44140625" style="37" customWidth="1"/>
    <col min="14109" max="14124" width="9.6640625" style="37"/>
    <col min="14125" max="14126" width="13.44140625" style="37" customWidth="1"/>
    <col min="14127" max="14127" width="9.6640625" style="37"/>
    <col min="14128" max="14128" width="13.88671875" style="37" customWidth="1"/>
    <col min="14129" max="14129" width="10.6640625" style="37" customWidth="1"/>
    <col min="14130" max="14130" width="17.33203125" style="37" customWidth="1"/>
    <col min="14131" max="14132" width="12.6640625" style="37" customWidth="1"/>
    <col min="14133" max="14133" width="11.21875" style="37" customWidth="1"/>
    <col min="14134" max="14134" width="18.33203125" style="37" customWidth="1"/>
    <col min="14135" max="14135" width="12.88671875" style="37" customWidth="1"/>
    <col min="14136" max="14137" width="13.21875" style="37" customWidth="1"/>
    <col min="14138" max="14138" width="10.88671875" style="37" customWidth="1"/>
    <col min="14139" max="14139" width="11.109375" style="37" customWidth="1"/>
    <col min="14140" max="14140" width="15.21875" style="37" customWidth="1"/>
    <col min="14141" max="14141" width="9.6640625" style="37"/>
    <col min="14142" max="14142" width="11" style="37" customWidth="1"/>
    <col min="14143" max="14143" width="10.77734375" style="37" customWidth="1"/>
    <col min="14144" max="14144" width="11.44140625" style="37" customWidth="1"/>
    <col min="14145" max="14145" width="4" style="37" customWidth="1"/>
    <col min="14146" max="14336" width="9.6640625" style="37"/>
    <col min="14337" max="14337" width="6.44140625" style="37" customWidth="1"/>
    <col min="14338" max="14338" width="13.88671875" style="37" customWidth="1"/>
    <col min="14339" max="14339" width="14.33203125" style="37" customWidth="1"/>
    <col min="14340" max="14356" width="9.6640625" style="37"/>
    <col min="14357" max="14357" width="12" style="37" customWidth="1"/>
    <col min="14358" max="14358" width="12.77734375" style="37" customWidth="1"/>
    <col min="14359" max="14359" width="11.109375" style="37" customWidth="1"/>
    <col min="14360" max="14360" width="12" style="37" customWidth="1"/>
    <col min="14361" max="14361" width="9.6640625" style="37"/>
    <col min="14362" max="14362" width="15.33203125" style="37" customWidth="1"/>
    <col min="14363" max="14363" width="15.21875" style="37" customWidth="1"/>
    <col min="14364" max="14364" width="21.44140625" style="37" customWidth="1"/>
    <col min="14365" max="14380" width="9.6640625" style="37"/>
    <col min="14381" max="14382" width="13.44140625" style="37" customWidth="1"/>
    <col min="14383" max="14383" width="9.6640625" style="37"/>
    <col min="14384" max="14384" width="13.88671875" style="37" customWidth="1"/>
    <col min="14385" max="14385" width="10.6640625" style="37" customWidth="1"/>
    <col min="14386" max="14386" width="17.33203125" style="37" customWidth="1"/>
    <col min="14387" max="14388" width="12.6640625" style="37" customWidth="1"/>
    <col min="14389" max="14389" width="11.21875" style="37" customWidth="1"/>
    <col min="14390" max="14390" width="18.33203125" style="37" customWidth="1"/>
    <col min="14391" max="14391" width="12.88671875" style="37" customWidth="1"/>
    <col min="14392" max="14393" width="13.21875" style="37" customWidth="1"/>
    <col min="14394" max="14394" width="10.88671875" style="37" customWidth="1"/>
    <col min="14395" max="14395" width="11.109375" style="37" customWidth="1"/>
    <col min="14396" max="14396" width="15.21875" style="37" customWidth="1"/>
    <col min="14397" max="14397" width="9.6640625" style="37"/>
    <col min="14398" max="14398" width="11" style="37" customWidth="1"/>
    <col min="14399" max="14399" width="10.77734375" style="37" customWidth="1"/>
    <col min="14400" max="14400" width="11.44140625" style="37" customWidth="1"/>
    <col min="14401" max="14401" width="4" style="37" customWidth="1"/>
    <col min="14402" max="14592" width="9.6640625" style="37"/>
    <col min="14593" max="14593" width="6.44140625" style="37" customWidth="1"/>
    <col min="14594" max="14594" width="13.88671875" style="37" customWidth="1"/>
    <col min="14595" max="14595" width="14.33203125" style="37" customWidth="1"/>
    <col min="14596" max="14612" width="9.6640625" style="37"/>
    <col min="14613" max="14613" width="12" style="37" customWidth="1"/>
    <col min="14614" max="14614" width="12.77734375" style="37" customWidth="1"/>
    <col min="14615" max="14615" width="11.109375" style="37" customWidth="1"/>
    <col min="14616" max="14616" width="12" style="37" customWidth="1"/>
    <col min="14617" max="14617" width="9.6640625" style="37"/>
    <col min="14618" max="14618" width="15.33203125" style="37" customWidth="1"/>
    <col min="14619" max="14619" width="15.21875" style="37" customWidth="1"/>
    <col min="14620" max="14620" width="21.44140625" style="37" customWidth="1"/>
    <col min="14621" max="14636" width="9.6640625" style="37"/>
    <col min="14637" max="14638" width="13.44140625" style="37" customWidth="1"/>
    <col min="14639" max="14639" width="9.6640625" style="37"/>
    <col min="14640" max="14640" width="13.88671875" style="37" customWidth="1"/>
    <col min="14641" max="14641" width="10.6640625" style="37" customWidth="1"/>
    <col min="14642" max="14642" width="17.33203125" style="37" customWidth="1"/>
    <col min="14643" max="14644" width="12.6640625" style="37" customWidth="1"/>
    <col min="14645" max="14645" width="11.21875" style="37" customWidth="1"/>
    <col min="14646" max="14646" width="18.33203125" style="37" customWidth="1"/>
    <col min="14647" max="14647" width="12.88671875" style="37" customWidth="1"/>
    <col min="14648" max="14649" width="13.21875" style="37" customWidth="1"/>
    <col min="14650" max="14650" width="10.88671875" style="37" customWidth="1"/>
    <col min="14651" max="14651" width="11.109375" style="37" customWidth="1"/>
    <col min="14652" max="14652" width="15.21875" style="37" customWidth="1"/>
    <col min="14653" max="14653" width="9.6640625" style="37"/>
    <col min="14654" max="14654" width="11" style="37" customWidth="1"/>
    <col min="14655" max="14655" width="10.77734375" style="37" customWidth="1"/>
    <col min="14656" max="14656" width="11.44140625" style="37" customWidth="1"/>
    <col min="14657" max="14657" width="4" style="37" customWidth="1"/>
    <col min="14658" max="14848" width="9.6640625" style="37"/>
    <col min="14849" max="14849" width="6.44140625" style="37" customWidth="1"/>
    <col min="14850" max="14850" width="13.88671875" style="37" customWidth="1"/>
    <col min="14851" max="14851" width="14.33203125" style="37" customWidth="1"/>
    <col min="14852" max="14868" width="9.6640625" style="37"/>
    <col min="14869" max="14869" width="12" style="37" customWidth="1"/>
    <col min="14870" max="14870" width="12.77734375" style="37" customWidth="1"/>
    <col min="14871" max="14871" width="11.109375" style="37" customWidth="1"/>
    <col min="14872" max="14872" width="12" style="37" customWidth="1"/>
    <col min="14873" max="14873" width="9.6640625" style="37"/>
    <col min="14874" max="14874" width="15.33203125" style="37" customWidth="1"/>
    <col min="14875" max="14875" width="15.21875" style="37" customWidth="1"/>
    <col min="14876" max="14876" width="21.44140625" style="37" customWidth="1"/>
    <col min="14877" max="14892" width="9.6640625" style="37"/>
    <col min="14893" max="14894" width="13.44140625" style="37" customWidth="1"/>
    <col min="14895" max="14895" width="9.6640625" style="37"/>
    <col min="14896" max="14896" width="13.88671875" style="37" customWidth="1"/>
    <col min="14897" max="14897" width="10.6640625" style="37" customWidth="1"/>
    <col min="14898" max="14898" width="17.33203125" style="37" customWidth="1"/>
    <col min="14899" max="14900" width="12.6640625" style="37" customWidth="1"/>
    <col min="14901" max="14901" width="11.21875" style="37" customWidth="1"/>
    <col min="14902" max="14902" width="18.33203125" style="37" customWidth="1"/>
    <col min="14903" max="14903" width="12.88671875" style="37" customWidth="1"/>
    <col min="14904" max="14905" width="13.21875" style="37" customWidth="1"/>
    <col min="14906" max="14906" width="10.88671875" style="37" customWidth="1"/>
    <col min="14907" max="14907" width="11.109375" style="37" customWidth="1"/>
    <col min="14908" max="14908" width="15.21875" style="37" customWidth="1"/>
    <col min="14909" max="14909" width="9.6640625" style="37"/>
    <col min="14910" max="14910" width="11" style="37" customWidth="1"/>
    <col min="14911" max="14911" width="10.77734375" style="37" customWidth="1"/>
    <col min="14912" max="14912" width="11.44140625" style="37" customWidth="1"/>
    <col min="14913" max="14913" width="4" style="37" customWidth="1"/>
    <col min="14914" max="15104" width="9.6640625" style="37"/>
    <col min="15105" max="15105" width="6.44140625" style="37" customWidth="1"/>
    <col min="15106" max="15106" width="13.88671875" style="37" customWidth="1"/>
    <col min="15107" max="15107" width="14.33203125" style="37" customWidth="1"/>
    <col min="15108" max="15124" width="9.6640625" style="37"/>
    <col min="15125" max="15125" width="12" style="37" customWidth="1"/>
    <col min="15126" max="15126" width="12.77734375" style="37" customWidth="1"/>
    <col min="15127" max="15127" width="11.109375" style="37" customWidth="1"/>
    <col min="15128" max="15128" width="12" style="37" customWidth="1"/>
    <col min="15129" max="15129" width="9.6640625" style="37"/>
    <col min="15130" max="15130" width="15.33203125" style="37" customWidth="1"/>
    <col min="15131" max="15131" width="15.21875" style="37" customWidth="1"/>
    <col min="15132" max="15132" width="21.44140625" style="37" customWidth="1"/>
    <col min="15133" max="15148" width="9.6640625" style="37"/>
    <col min="15149" max="15150" width="13.44140625" style="37" customWidth="1"/>
    <col min="15151" max="15151" width="9.6640625" style="37"/>
    <col min="15152" max="15152" width="13.88671875" style="37" customWidth="1"/>
    <col min="15153" max="15153" width="10.6640625" style="37" customWidth="1"/>
    <col min="15154" max="15154" width="17.33203125" style="37" customWidth="1"/>
    <col min="15155" max="15156" width="12.6640625" style="37" customWidth="1"/>
    <col min="15157" max="15157" width="11.21875" style="37" customWidth="1"/>
    <col min="15158" max="15158" width="18.33203125" style="37" customWidth="1"/>
    <col min="15159" max="15159" width="12.88671875" style="37" customWidth="1"/>
    <col min="15160" max="15161" width="13.21875" style="37" customWidth="1"/>
    <col min="15162" max="15162" width="10.88671875" style="37" customWidth="1"/>
    <col min="15163" max="15163" width="11.109375" style="37" customWidth="1"/>
    <col min="15164" max="15164" width="15.21875" style="37" customWidth="1"/>
    <col min="15165" max="15165" width="9.6640625" style="37"/>
    <col min="15166" max="15166" width="11" style="37" customWidth="1"/>
    <col min="15167" max="15167" width="10.77734375" style="37" customWidth="1"/>
    <col min="15168" max="15168" width="11.44140625" style="37" customWidth="1"/>
    <col min="15169" max="15169" width="4" style="37" customWidth="1"/>
    <col min="15170" max="15360" width="9.6640625" style="37"/>
    <col min="15361" max="15361" width="6.44140625" style="37" customWidth="1"/>
    <col min="15362" max="15362" width="13.88671875" style="37" customWidth="1"/>
    <col min="15363" max="15363" width="14.33203125" style="37" customWidth="1"/>
    <col min="15364" max="15380" width="9.6640625" style="37"/>
    <col min="15381" max="15381" width="12" style="37" customWidth="1"/>
    <col min="15382" max="15382" width="12.77734375" style="37" customWidth="1"/>
    <col min="15383" max="15383" width="11.109375" style="37" customWidth="1"/>
    <col min="15384" max="15384" width="12" style="37" customWidth="1"/>
    <col min="15385" max="15385" width="9.6640625" style="37"/>
    <col min="15386" max="15386" width="15.33203125" style="37" customWidth="1"/>
    <col min="15387" max="15387" width="15.21875" style="37" customWidth="1"/>
    <col min="15388" max="15388" width="21.44140625" style="37" customWidth="1"/>
    <col min="15389" max="15404" width="9.6640625" style="37"/>
    <col min="15405" max="15406" width="13.44140625" style="37" customWidth="1"/>
    <col min="15407" max="15407" width="9.6640625" style="37"/>
    <col min="15408" max="15408" width="13.88671875" style="37" customWidth="1"/>
    <col min="15409" max="15409" width="10.6640625" style="37" customWidth="1"/>
    <col min="15410" max="15410" width="17.33203125" style="37" customWidth="1"/>
    <col min="15411" max="15412" width="12.6640625" style="37" customWidth="1"/>
    <col min="15413" max="15413" width="11.21875" style="37" customWidth="1"/>
    <col min="15414" max="15414" width="18.33203125" style="37" customWidth="1"/>
    <col min="15415" max="15415" width="12.88671875" style="37" customWidth="1"/>
    <col min="15416" max="15417" width="13.21875" style="37" customWidth="1"/>
    <col min="15418" max="15418" width="10.88671875" style="37" customWidth="1"/>
    <col min="15419" max="15419" width="11.109375" style="37" customWidth="1"/>
    <col min="15420" max="15420" width="15.21875" style="37" customWidth="1"/>
    <col min="15421" max="15421" width="9.6640625" style="37"/>
    <col min="15422" max="15422" width="11" style="37" customWidth="1"/>
    <col min="15423" max="15423" width="10.77734375" style="37" customWidth="1"/>
    <col min="15424" max="15424" width="11.44140625" style="37" customWidth="1"/>
    <col min="15425" max="15425" width="4" style="37" customWidth="1"/>
    <col min="15426" max="15616" width="9.6640625" style="37"/>
    <col min="15617" max="15617" width="6.44140625" style="37" customWidth="1"/>
    <col min="15618" max="15618" width="13.88671875" style="37" customWidth="1"/>
    <col min="15619" max="15619" width="14.33203125" style="37" customWidth="1"/>
    <col min="15620" max="15636" width="9.6640625" style="37"/>
    <col min="15637" max="15637" width="12" style="37" customWidth="1"/>
    <col min="15638" max="15638" width="12.77734375" style="37" customWidth="1"/>
    <col min="15639" max="15639" width="11.109375" style="37" customWidth="1"/>
    <col min="15640" max="15640" width="12" style="37" customWidth="1"/>
    <col min="15641" max="15641" width="9.6640625" style="37"/>
    <col min="15642" max="15642" width="15.33203125" style="37" customWidth="1"/>
    <col min="15643" max="15643" width="15.21875" style="37" customWidth="1"/>
    <col min="15644" max="15644" width="21.44140625" style="37" customWidth="1"/>
    <col min="15645" max="15660" width="9.6640625" style="37"/>
    <col min="15661" max="15662" width="13.44140625" style="37" customWidth="1"/>
    <col min="15663" max="15663" width="9.6640625" style="37"/>
    <col min="15664" max="15664" width="13.88671875" style="37" customWidth="1"/>
    <col min="15665" max="15665" width="10.6640625" style="37" customWidth="1"/>
    <col min="15666" max="15666" width="17.33203125" style="37" customWidth="1"/>
    <col min="15667" max="15668" width="12.6640625" style="37" customWidth="1"/>
    <col min="15669" max="15669" width="11.21875" style="37" customWidth="1"/>
    <col min="15670" max="15670" width="18.33203125" style="37" customWidth="1"/>
    <col min="15671" max="15671" width="12.88671875" style="37" customWidth="1"/>
    <col min="15672" max="15673" width="13.21875" style="37" customWidth="1"/>
    <col min="15674" max="15674" width="10.88671875" style="37" customWidth="1"/>
    <col min="15675" max="15675" width="11.109375" style="37" customWidth="1"/>
    <col min="15676" max="15676" width="15.21875" style="37" customWidth="1"/>
    <col min="15677" max="15677" width="9.6640625" style="37"/>
    <col min="15678" max="15678" width="11" style="37" customWidth="1"/>
    <col min="15679" max="15679" width="10.77734375" style="37" customWidth="1"/>
    <col min="15680" max="15680" width="11.44140625" style="37" customWidth="1"/>
    <col min="15681" max="15681" width="4" style="37" customWidth="1"/>
    <col min="15682" max="15872" width="9.6640625" style="37"/>
    <col min="15873" max="15873" width="6.44140625" style="37" customWidth="1"/>
    <col min="15874" max="15874" width="13.88671875" style="37" customWidth="1"/>
    <col min="15875" max="15875" width="14.33203125" style="37" customWidth="1"/>
    <col min="15876" max="15892" width="9.6640625" style="37"/>
    <col min="15893" max="15893" width="12" style="37" customWidth="1"/>
    <col min="15894" max="15894" width="12.77734375" style="37" customWidth="1"/>
    <col min="15895" max="15895" width="11.109375" style="37" customWidth="1"/>
    <col min="15896" max="15896" width="12" style="37" customWidth="1"/>
    <col min="15897" max="15897" width="9.6640625" style="37"/>
    <col min="15898" max="15898" width="15.33203125" style="37" customWidth="1"/>
    <col min="15899" max="15899" width="15.21875" style="37" customWidth="1"/>
    <col min="15900" max="15900" width="21.44140625" style="37" customWidth="1"/>
    <col min="15901" max="15916" width="9.6640625" style="37"/>
    <col min="15917" max="15918" width="13.44140625" style="37" customWidth="1"/>
    <col min="15919" max="15919" width="9.6640625" style="37"/>
    <col min="15920" max="15920" width="13.88671875" style="37" customWidth="1"/>
    <col min="15921" max="15921" width="10.6640625" style="37" customWidth="1"/>
    <col min="15922" max="15922" width="17.33203125" style="37" customWidth="1"/>
    <col min="15923" max="15924" width="12.6640625" style="37" customWidth="1"/>
    <col min="15925" max="15925" width="11.21875" style="37" customWidth="1"/>
    <col min="15926" max="15926" width="18.33203125" style="37" customWidth="1"/>
    <col min="15927" max="15927" width="12.88671875" style="37" customWidth="1"/>
    <col min="15928" max="15929" width="13.21875" style="37" customWidth="1"/>
    <col min="15930" max="15930" width="10.88671875" style="37" customWidth="1"/>
    <col min="15931" max="15931" width="11.109375" style="37" customWidth="1"/>
    <col min="15932" max="15932" width="15.21875" style="37" customWidth="1"/>
    <col min="15933" max="15933" width="9.6640625" style="37"/>
    <col min="15934" max="15934" width="11" style="37" customWidth="1"/>
    <col min="15935" max="15935" width="10.77734375" style="37" customWidth="1"/>
    <col min="15936" max="15936" width="11.44140625" style="37" customWidth="1"/>
    <col min="15937" max="15937" width="4" style="37" customWidth="1"/>
    <col min="15938" max="16128" width="9.6640625" style="37"/>
    <col min="16129" max="16129" width="6.44140625" style="37" customWidth="1"/>
    <col min="16130" max="16130" width="13.88671875" style="37" customWidth="1"/>
    <col min="16131" max="16131" width="14.33203125" style="37" customWidth="1"/>
    <col min="16132" max="16148" width="9.6640625" style="37"/>
    <col min="16149" max="16149" width="12" style="37" customWidth="1"/>
    <col min="16150" max="16150" width="12.77734375" style="37" customWidth="1"/>
    <col min="16151" max="16151" width="11.109375" style="37" customWidth="1"/>
    <col min="16152" max="16152" width="12" style="37" customWidth="1"/>
    <col min="16153" max="16153" width="9.6640625" style="37"/>
    <col min="16154" max="16154" width="15.33203125" style="37" customWidth="1"/>
    <col min="16155" max="16155" width="15.21875" style="37" customWidth="1"/>
    <col min="16156" max="16156" width="21.44140625" style="37" customWidth="1"/>
    <col min="16157" max="16172" width="9.6640625" style="37"/>
    <col min="16173" max="16174" width="13.44140625" style="37" customWidth="1"/>
    <col min="16175" max="16175" width="9.6640625" style="37"/>
    <col min="16176" max="16176" width="13.88671875" style="37" customWidth="1"/>
    <col min="16177" max="16177" width="10.6640625" style="37" customWidth="1"/>
    <col min="16178" max="16178" width="17.33203125" style="37" customWidth="1"/>
    <col min="16179" max="16180" width="12.6640625" style="37" customWidth="1"/>
    <col min="16181" max="16181" width="11.21875" style="37" customWidth="1"/>
    <col min="16182" max="16182" width="18.33203125" style="37" customWidth="1"/>
    <col min="16183" max="16183" width="12.88671875" style="37" customWidth="1"/>
    <col min="16184" max="16185" width="13.21875" style="37" customWidth="1"/>
    <col min="16186" max="16186" width="10.88671875" style="37" customWidth="1"/>
    <col min="16187" max="16187" width="11.109375" style="37" customWidth="1"/>
    <col min="16188" max="16188" width="15.21875" style="37" customWidth="1"/>
    <col min="16189" max="16189" width="9.6640625" style="37"/>
    <col min="16190" max="16190" width="11" style="37" customWidth="1"/>
    <col min="16191" max="16191" width="10.77734375" style="37" customWidth="1"/>
    <col min="16192" max="16192" width="11.44140625" style="37" customWidth="1"/>
    <col min="16193" max="16193" width="4" style="37" customWidth="1"/>
    <col min="16194" max="16384" width="9.6640625" style="37"/>
  </cols>
  <sheetData>
    <row r="1" spans="1:77" ht="13.2" x14ac:dyDescent="0.2">
      <c r="A1" s="36" t="s">
        <v>106</v>
      </c>
    </row>
    <row r="2" spans="1:77" x14ac:dyDescent="0.2">
      <c r="C2" s="39" t="s">
        <v>107</v>
      </c>
    </row>
    <row r="3" spans="1:77" s="38" customFormat="1" x14ac:dyDescent="0.2">
      <c r="A3" s="40"/>
      <c r="B3" s="41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</row>
    <row r="4" spans="1:77" s="38" customFormat="1" x14ac:dyDescent="0.2">
      <c r="A4" s="40"/>
      <c r="B4" s="44" t="s">
        <v>108</v>
      </c>
      <c r="C4" s="42" t="s">
        <v>165</v>
      </c>
      <c r="D4" s="42" t="s">
        <v>165</v>
      </c>
      <c r="E4" s="42" t="s">
        <v>165</v>
      </c>
      <c r="F4" s="42" t="s">
        <v>165</v>
      </c>
      <c r="G4" s="42" t="s">
        <v>165</v>
      </c>
      <c r="H4" s="42" t="s">
        <v>165</v>
      </c>
      <c r="I4" s="42" t="s">
        <v>165</v>
      </c>
      <c r="J4" s="42" t="s">
        <v>100</v>
      </c>
      <c r="K4" s="42" t="s">
        <v>17</v>
      </c>
      <c r="L4" s="42" t="s">
        <v>165</v>
      </c>
      <c r="M4" s="42" t="s">
        <v>105</v>
      </c>
      <c r="N4" s="42" t="s">
        <v>105</v>
      </c>
      <c r="O4" s="42" t="s">
        <v>105</v>
      </c>
      <c r="P4" s="42" t="s">
        <v>165</v>
      </c>
      <c r="Q4" s="42" t="s">
        <v>165</v>
      </c>
      <c r="R4" s="42" t="s">
        <v>165</v>
      </c>
      <c r="S4" s="42" t="s">
        <v>165</v>
      </c>
      <c r="T4" s="42" t="s">
        <v>165</v>
      </c>
      <c r="U4" s="42" t="s">
        <v>165</v>
      </c>
      <c r="V4" s="42" t="s">
        <v>165</v>
      </c>
      <c r="W4" s="42" t="s">
        <v>165</v>
      </c>
      <c r="X4" s="42" t="s">
        <v>159</v>
      </c>
      <c r="Y4" s="42" t="s">
        <v>159</v>
      </c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</row>
    <row r="5" spans="1:77" s="38" customFormat="1" x14ac:dyDescent="0.2">
      <c r="A5" s="40"/>
      <c r="B5" s="41" t="s">
        <v>110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</row>
    <row r="6" spans="1:77" s="88" customFormat="1" ht="25.8" customHeight="1" x14ac:dyDescent="0.2">
      <c r="A6" s="83"/>
      <c r="B6" s="44" t="s">
        <v>111</v>
      </c>
      <c r="C6" s="44" t="s">
        <v>168</v>
      </c>
      <c r="D6" s="44" t="s">
        <v>20</v>
      </c>
      <c r="E6" s="44" t="s">
        <v>22</v>
      </c>
      <c r="F6" s="44" t="s">
        <v>31</v>
      </c>
      <c r="G6" s="44" t="s">
        <v>32</v>
      </c>
      <c r="H6" s="44" t="s">
        <v>23</v>
      </c>
      <c r="I6" s="44" t="s">
        <v>30</v>
      </c>
      <c r="J6" s="44" t="s">
        <v>112</v>
      </c>
      <c r="K6" s="44" t="s">
        <v>113</v>
      </c>
      <c r="L6" s="44" t="s">
        <v>166</v>
      </c>
      <c r="M6" s="44" t="s">
        <v>24</v>
      </c>
      <c r="N6" s="44" t="s">
        <v>114</v>
      </c>
      <c r="O6" s="44" t="s">
        <v>194</v>
      </c>
      <c r="P6" s="44" t="s">
        <v>25</v>
      </c>
      <c r="Q6" s="44" t="s">
        <v>26</v>
      </c>
      <c r="R6" s="44" t="s">
        <v>19</v>
      </c>
      <c r="S6" s="44" t="s">
        <v>27</v>
      </c>
      <c r="T6" s="44" t="s">
        <v>28</v>
      </c>
      <c r="U6" s="44" t="s">
        <v>5</v>
      </c>
      <c r="V6" s="44" t="s">
        <v>192</v>
      </c>
      <c r="W6" s="44" t="s">
        <v>29</v>
      </c>
      <c r="X6" s="84" t="s">
        <v>96</v>
      </c>
      <c r="Y6" s="84" t="s">
        <v>97</v>
      </c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6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</row>
    <row r="7" spans="1:77" x14ac:dyDescent="0.2">
      <c r="A7" s="50" t="s">
        <v>14</v>
      </c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</row>
    <row r="8" spans="1:77" x14ac:dyDescent="0.2">
      <c r="A8" s="53" t="s">
        <v>118</v>
      </c>
      <c r="C8" s="64"/>
      <c r="D8" s="64"/>
      <c r="E8" s="64"/>
      <c r="F8" s="64"/>
      <c r="G8" s="64"/>
      <c r="H8" s="64"/>
      <c r="I8" s="64"/>
      <c r="J8" s="64"/>
      <c r="K8" s="89">
        <v>8.7999999999999995E-2</v>
      </c>
      <c r="L8" s="62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2">
        <v>7.6999999999999999E-2</v>
      </c>
      <c r="Y8" s="62">
        <v>0.28299999999999997</v>
      </c>
    </row>
    <row r="9" spans="1:77" x14ac:dyDescent="0.2">
      <c r="A9" s="53" t="s">
        <v>115</v>
      </c>
      <c r="B9" s="52"/>
      <c r="C9" s="61">
        <v>5.1739130434782608</v>
      </c>
      <c r="D9" s="61">
        <v>1.5902825637491385</v>
      </c>
      <c r="E9" s="61">
        <v>1.8831775700934579</v>
      </c>
      <c r="F9" s="62">
        <v>8.106194690265486</v>
      </c>
      <c r="G9" s="62">
        <v>1.7993874425727412</v>
      </c>
      <c r="H9" s="62">
        <v>4.957446808510638</v>
      </c>
      <c r="I9" s="62">
        <v>3.5991379310344827</v>
      </c>
      <c r="J9" s="62">
        <v>1.6666666666666667</v>
      </c>
      <c r="K9" s="62">
        <v>0.17373737373737375</v>
      </c>
      <c r="L9" s="62">
        <v>18.363636363636363</v>
      </c>
      <c r="M9" s="62">
        <v>2.3396226415094339</v>
      </c>
      <c r="N9" s="62">
        <v>2.8</v>
      </c>
      <c r="O9" s="62">
        <v>4.4444444444444446</v>
      </c>
      <c r="P9" s="62">
        <v>24.926713947990542</v>
      </c>
      <c r="Q9" s="62">
        <v>22.869955156950674</v>
      </c>
      <c r="R9" s="62">
        <v>1.9285714285714286</v>
      </c>
      <c r="S9" s="62"/>
      <c r="T9" s="62">
        <v>4.166666666666667</v>
      </c>
      <c r="U9" s="62">
        <v>3.0769230769230771</v>
      </c>
      <c r="V9" s="62">
        <v>2</v>
      </c>
      <c r="W9" s="62">
        <v>4.5111111111111111</v>
      </c>
      <c r="X9" s="63"/>
      <c r="Y9" s="63"/>
      <c r="Z9" s="52"/>
      <c r="AA9" s="52"/>
      <c r="AB9" s="52"/>
      <c r="AC9" s="56"/>
      <c r="AD9" s="52"/>
      <c r="AE9" s="52"/>
      <c r="AF9" s="52"/>
      <c r="AG9" s="52"/>
      <c r="AH9" s="52"/>
      <c r="AI9" s="52"/>
      <c r="AJ9" s="52"/>
      <c r="AK9" s="56"/>
      <c r="AL9" s="56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4"/>
      <c r="BH9" s="54"/>
      <c r="BI9" s="54"/>
      <c r="BJ9" s="54"/>
      <c r="BK9" s="52"/>
      <c r="BL9" s="52"/>
      <c r="BM9" s="52"/>
    </row>
    <row r="10" spans="1:77" x14ac:dyDescent="0.2">
      <c r="A10" s="53" t="s">
        <v>116</v>
      </c>
      <c r="B10" s="52"/>
      <c r="C10" s="61">
        <v>5.3478893740902471</v>
      </c>
      <c r="D10" s="61">
        <v>2.6802807913209956</v>
      </c>
      <c r="E10" s="61">
        <v>1.8696151636990235</v>
      </c>
      <c r="F10" s="62">
        <v>11.163275952008346</v>
      </c>
      <c r="G10" s="62">
        <v>1.4068908941755538</v>
      </c>
      <c r="H10" s="62">
        <v>5.3609036951943327</v>
      </c>
      <c r="I10" s="62">
        <v>5.1724137931034484</v>
      </c>
      <c r="J10" s="62">
        <v>1.75</v>
      </c>
      <c r="K10" s="62">
        <v>0.23280423280423279</v>
      </c>
      <c r="L10" s="62">
        <v>20</v>
      </c>
      <c r="M10" s="62">
        <v>2.5</v>
      </c>
      <c r="N10" s="62">
        <v>3</v>
      </c>
      <c r="O10" s="62">
        <v>4.75</v>
      </c>
      <c r="P10" s="62">
        <v>27.841191066997517</v>
      </c>
      <c r="Q10" s="62">
        <v>26.905829596412556</v>
      </c>
      <c r="R10" s="62">
        <v>2.0266666666666668</v>
      </c>
      <c r="S10" s="62"/>
      <c r="T10" s="62">
        <v>6.5739682539682542</v>
      </c>
      <c r="U10" s="62">
        <v>3.2222222222222223</v>
      </c>
      <c r="V10" s="62">
        <v>2.1</v>
      </c>
      <c r="W10" s="62">
        <v>2.1636363636363636</v>
      </c>
      <c r="X10" s="63"/>
      <c r="Y10" s="63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4"/>
      <c r="BH10" s="54"/>
      <c r="BI10" s="54"/>
      <c r="BJ10" s="54"/>
      <c r="BK10" s="52"/>
      <c r="BL10" s="52"/>
      <c r="BM10" s="52"/>
    </row>
    <row r="11" spans="1:77" x14ac:dyDescent="0.2">
      <c r="A11" s="53" t="s">
        <v>117</v>
      </c>
      <c r="B11" s="52"/>
      <c r="C11" s="61">
        <v>4.6259806604634193</v>
      </c>
      <c r="D11" s="63">
        <v>2.4689655172413794</v>
      </c>
      <c r="E11" s="61">
        <v>1.9818731117824773</v>
      </c>
      <c r="F11" s="62">
        <v>11.37609649122807</v>
      </c>
      <c r="G11" s="62">
        <v>1.1445473251028806</v>
      </c>
      <c r="H11" s="62">
        <v>7.8334396936821955</v>
      </c>
      <c r="I11" s="62">
        <v>5.014778325123153</v>
      </c>
      <c r="J11" s="62">
        <v>4.666666666666667</v>
      </c>
      <c r="K11" s="62">
        <v>0.20202020202020202</v>
      </c>
      <c r="L11" s="62">
        <v>29.166666666666668</v>
      </c>
      <c r="M11" s="62">
        <v>3.96</v>
      </c>
      <c r="N11" s="62">
        <v>2.0729166666666665</v>
      </c>
      <c r="O11" s="62">
        <v>6.8197674418604652</v>
      </c>
      <c r="P11" s="62">
        <v>26.55892857142857</v>
      </c>
      <c r="Q11" s="62">
        <v>20.379310344827587</v>
      </c>
      <c r="R11" s="62">
        <v>2.0138888888888888</v>
      </c>
      <c r="S11" s="62">
        <v>4.833333333333333</v>
      </c>
      <c r="T11" s="62">
        <v>3.306878306878307</v>
      </c>
      <c r="U11" s="62">
        <v>3.6333333333333333</v>
      </c>
      <c r="V11" s="62">
        <v>2.1828571428571428</v>
      </c>
      <c r="W11" s="62">
        <v>2.5576923076923075</v>
      </c>
      <c r="X11" s="63"/>
      <c r="Y11" s="63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4"/>
      <c r="BH11" s="54"/>
      <c r="BI11" s="54"/>
      <c r="BJ11" s="54"/>
      <c r="BK11" s="52"/>
      <c r="BL11" s="52"/>
      <c r="BM11" s="52"/>
    </row>
    <row r="12" spans="1:77" x14ac:dyDescent="0.2">
      <c r="L12" s="62"/>
    </row>
    <row r="13" spans="1:77" x14ac:dyDescent="0.2">
      <c r="C13" s="56"/>
      <c r="D13" s="56"/>
      <c r="E13" s="56"/>
    </row>
    <row r="14" spans="1:77" x14ac:dyDescent="0.2">
      <c r="C14" s="56"/>
      <c r="D14" s="56"/>
      <c r="E14" s="52"/>
    </row>
    <row r="15" spans="1:77" x14ac:dyDescent="0.2">
      <c r="C15" s="56"/>
      <c r="D15" s="56"/>
      <c r="E15" s="56"/>
      <c r="BM15" s="57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16"/>
  <sheetViews>
    <sheetView workbookViewId="0">
      <pane xSplit="2" ySplit="7" topLeftCell="C8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D6" sqref="D6"/>
    </sheetView>
  </sheetViews>
  <sheetFormatPr defaultColWidth="9.6640625" defaultRowHeight="12" x14ac:dyDescent="0.2"/>
  <cols>
    <col min="1" max="1" width="6.44140625" style="38" customWidth="1"/>
    <col min="2" max="2" width="13.88671875" style="37" customWidth="1"/>
    <col min="3" max="3" width="11.88671875" style="37" customWidth="1"/>
    <col min="4" max="6" width="9.6640625" style="37"/>
    <col min="7" max="7" width="15.44140625" style="37" customWidth="1"/>
    <col min="8" max="8" width="16.21875" style="37" customWidth="1"/>
    <col min="9" max="9" width="9.6640625" style="37"/>
    <col min="10" max="10" width="12.21875" style="37" customWidth="1"/>
    <col min="11" max="11" width="11.88671875" style="37" customWidth="1"/>
    <col min="12" max="12" width="13.44140625" style="37" customWidth="1"/>
    <col min="13" max="18" width="9.6640625" style="37"/>
    <col min="19" max="19" width="12" style="37" customWidth="1"/>
    <col min="20" max="20" width="12.77734375" style="37" customWidth="1"/>
    <col min="21" max="21" width="11.109375" style="37" customWidth="1"/>
    <col min="22" max="22" width="12" style="37" customWidth="1"/>
    <col min="23" max="23" width="9.6640625" style="37"/>
    <col min="24" max="24" width="15.33203125" style="37" customWidth="1"/>
    <col min="25" max="25" width="15.21875" style="37" customWidth="1"/>
    <col min="26" max="26" width="21.44140625" style="37" customWidth="1"/>
    <col min="27" max="42" width="9.6640625" style="37"/>
    <col min="43" max="44" width="13.44140625" style="37" customWidth="1"/>
    <col min="45" max="45" width="9.6640625" style="37"/>
    <col min="46" max="46" width="13.88671875" style="37" customWidth="1"/>
    <col min="47" max="47" width="10.6640625" style="37" customWidth="1"/>
    <col min="48" max="48" width="17.33203125" style="37" customWidth="1"/>
    <col min="49" max="50" width="12.6640625" style="37" customWidth="1"/>
    <col min="51" max="51" width="11.21875" style="37" customWidth="1"/>
    <col min="52" max="52" width="18.33203125" style="37" customWidth="1"/>
    <col min="53" max="53" width="12.88671875" style="37" customWidth="1"/>
    <col min="54" max="55" width="13.21875" style="37" customWidth="1"/>
    <col min="56" max="56" width="10.88671875" style="37" customWidth="1"/>
    <col min="57" max="57" width="11.109375" style="37" customWidth="1"/>
    <col min="58" max="58" width="15.21875" style="37" customWidth="1"/>
    <col min="59" max="59" width="9.6640625" style="37"/>
    <col min="60" max="60" width="11" style="37" customWidth="1"/>
    <col min="61" max="61" width="10.77734375" style="37" customWidth="1"/>
    <col min="62" max="62" width="11.44140625" style="37" customWidth="1"/>
    <col min="63" max="63" width="4" style="37" customWidth="1"/>
    <col min="64" max="254" width="9.6640625" style="37"/>
    <col min="255" max="255" width="6.44140625" style="37" customWidth="1"/>
    <col min="256" max="256" width="13.88671875" style="37" customWidth="1"/>
    <col min="257" max="257" width="11.88671875" style="37" customWidth="1"/>
    <col min="258" max="260" width="9.6640625" style="37"/>
    <col min="261" max="261" width="15.44140625" style="37" customWidth="1"/>
    <col min="262" max="262" width="16.21875" style="37" customWidth="1"/>
    <col min="263" max="274" width="9.6640625" style="37"/>
    <col min="275" max="275" width="12" style="37" customWidth="1"/>
    <col min="276" max="276" width="12.77734375" style="37" customWidth="1"/>
    <col min="277" max="277" width="11.109375" style="37" customWidth="1"/>
    <col min="278" max="278" width="12" style="37" customWidth="1"/>
    <col min="279" max="279" width="9.6640625" style="37"/>
    <col min="280" max="280" width="15.33203125" style="37" customWidth="1"/>
    <col min="281" max="281" width="15.21875" style="37" customWidth="1"/>
    <col min="282" max="282" width="21.44140625" style="37" customWidth="1"/>
    <col min="283" max="298" width="9.6640625" style="37"/>
    <col min="299" max="300" width="13.44140625" style="37" customWidth="1"/>
    <col min="301" max="301" width="9.6640625" style="37"/>
    <col min="302" max="302" width="13.88671875" style="37" customWidth="1"/>
    <col min="303" max="303" width="10.6640625" style="37" customWidth="1"/>
    <col min="304" max="304" width="17.33203125" style="37" customWidth="1"/>
    <col min="305" max="306" width="12.6640625" style="37" customWidth="1"/>
    <col min="307" max="307" width="11.21875" style="37" customWidth="1"/>
    <col min="308" max="308" width="18.33203125" style="37" customWidth="1"/>
    <col min="309" max="309" width="12.88671875" style="37" customWidth="1"/>
    <col min="310" max="311" width="13.21875" style="37" customWidth="1"/>
    <col min="312" max="312" width="10.88671875" style="37" customWidth="1"/>
    <col min="313" max="313" width="11.109375" style="37" customWidth="1"/>
    <col min="314" max="314" width="15.21875" style="37" customWidth="1"/>
    <col min="315" max="315" width="9.6640625" style="37"/>
    <col min="316" max="316" width="11" style="37" customWidth="1"/>
    <col min="317" max="317" width="10.77734375" style="37" customWidth="1"/>
    <col min="318" max="318" width="11.44140625" style="37" customWidth="1"/>
    <col min="319" max="319" width="4" style="37" customWidth="1"/>
    <col min="320" max="510" width="9.6640625" style="37"/>
    <col min="511" max="511" width="6.44140625" style="37" customWidth="1"/>
    <col min="512" max="512" width="13.88671875" style="37" customWidth="1"/>
    <col min="513" max="513" width="11.88671875" style="37" customWidth="1"/>
    <col min="514" max="516" width="9.6640625" style="37"/>
    <col min="517" max="517" width="15.44140625" style="37" customWidth="1"/>
    <col min="518" max="518" width="16.21875" style="37" customWidth="1"/>
    <col min="519" max="530" width="9.6640625" style="37"/>
    <col min="531" max="531" width="12" style="37" customWidth="1"/>
    <col min="532" max="532" width="12.77734375" style="37" customWidth="1"/>
    <col min="533" max="533" width="11.109375" style="37" customWidth="1"/>
    <col min="534" max="534" width="12" style="37" customWidth="1"/>
    <col min="535" max="535" width="9.6640625" style="37"/>
    <col min="536" max="536" width="15.33203125" style="37" customWidth="1"/>
    <col min="537" max="537" width="15.21875" style="37" customWidth="1"/>
    <col min="538" max="538" width="21.44140625" style="37" customWidth="1"/>
    <col min="539" max="554" width="9.6640625" style="37"/>
    <col min="555" max="556" width="13.44140625" style="37" customWidth="1"/>
    <col min="557" max="557" width="9.6640625" style="37"/>
    <col min="558" max="558" width="13.88671875" style="37" customWidth="1"/>
    <col min="559" max="559" width="10.6640625" style="37" customWidth="1"/>
    <col min="560" max="560" width="17.33203125" style="37" customWidth="1"/>
    <col min="561" max="562" width="12.6640625" style="37" customWidth="1"/>
    <col min="563" max="563" width="11.21875" style="37" customWidth="1"/>
    <col min="564" max="564" width="18.33203125" style="37" customWidth="1"/>
    <col min="565" max="565" width="12.88671875" style="37" customWidth="1"/>
    <col min="566" max="567" width="13.21875" style="37" customWidth="1"/>
    <col min="568" max="568" width="10.88671875" style="37" customWidth="1"/>
    <col min="569" max="569" width="11.109375" style="37" customWidth="1"/>
    <col min="570" max="570" width="15.21875" style="37" customWidth="1"/>
    <col min="571" max="571" width="9.6640625" style="37"/>
    <col min="572" max="572" width="11" style="37" customWidth="1"/>
    <col min="573" max="573" width="10.77734375" style="37" customWidth="1"/>
    <col min="574" max="574" width="11.44140625" style="37" customWidth="1"/>
    <col min="575" max="575" width="4" style="37" customWidth="1"/>
    <col min="576" max="766" width="9.6640625" style="37"/>
    <col min="767" max="767" width="6.44140625" style="37" customWidth="1"/>
    <col min="768" max="768" width="13.88671875" style="37" customWidth="1"/>
    <col min="769" max="769" width="11.88671875" style="37" customWidth="1"/>
    <col min="770" max="772" width="9.6640625" style="37"/>
    <col min="773" max="773" width="15.44140625" style="37" customWidth="1"/>
    <col min="774" max="774" width="16.21875" style="37" customWidth="1"/>
    <col min="775" max="786" width="9.6640625" style="37"/>
    <col min="787" max="787" width="12" style="37" customWidth="1"/>
    <col min="788" max="788" width="12.77734375" style="37" customWidth="1"/>
    <col min="789" max="789" width="11.109375" style="37" customWidth="1"/>
    <col min="790" max="790" width="12" style="37" customWidth="1"/>
    <col min="791" max="791" width="9.6640625" style="37"/>
    <col min="792" max="792" width="15.33203125" style="37" customWidth="1"/>
    <col min="793" max="793" width="15.21875" style="37" customWidth="1"/>
    <col min="794" max="794" width="21.44140625" style="37" customWidth="1"/>
    <col min="795" max="810" width="9.6640625" style="37"/>
    <col min="811" max="812" width="13.44140625" style="37" customWidth="1"/>
    <col min="813" max="813" width="9.6640625" style="37"/>
    <col min="814" max="814" width="13.88671875" style="37" customWidth="1"/>
    <col min="815" max="815" width="10.6640625" style="37" customWidth="1"/>
    <col min="816" max="816" width="17.33203125" style="37" customWidth="1"/>
    <col min="817" max="818" width="12.6640625" style="37" customWidth="1"/>
    <col min="819" max="819" width="11.21875" style="37" customWidth="1"/>
    <col min="820" max="820" width="18.33203125" style="37" customWidth="1"/>
    <col min="821" max="821" width="12.88671875" style="37" customWidth="1"/>
    <col min="822" max="823" width="13.21875" style="37" customWidth="1"/>
    <col min="824" max="824" width="10.88671875" style="37" customWidth="1"/>
    <col min="825" max="825" width="11.109375" style="37" customWidth="1"/>
    <col min="826" max="826" width="15.21875" style="37" customWidth="1"/>
    <col min="827" max="827" width="9.6640625" style="37"/>
    <col min="828" max="828" width="11" style="37" customWidth="1"/>
    <col min="829" max="829" width="10.77734375" style="37" customWidth="1"/>
    <col min="830" max="830" width="11.44140625" style="37" customWidth="1"/>
    <col min="831" max="831" width="4" style="37" customWidth="1"/>
    <col min="832" max="1022" width="9.6640625" style="37"/>
    <col min="1023" max="1023" width="6.44140625" style="37" customWidth="1"/>
    <col min="1024" max="1024" width="13.88671875" style="37" customWidth="1"/>
    <col min="1025" max="1025" width="11.88671875" style="37" customWidth="1"/>
    <col min="1026" max="1028" width="9.6640625" style="37"/>
    <col min="1029" max="1029" width="15.44140625" style="37" customWidth="1"/>
    <col min="1030" max="1030" width="16.21875" style="37" customWidth="1"/>
    <col min="1031" max="1042" width="9.6640625" style="37"/>
    <col min="1043" max="1043" width="12" style="37" customWidth="1"/>
    <col min="1044" max="1044" width="12.77734375" style="37" customWidth="1"/>
    <col min="1045" max="1045" width="11.109375" style="37" customWidth="1"/>
    <col min="1046" max="1046" width="12" style="37" customWidth="1"/>
    <col min="1047" max="1047" width="9.6640625" style="37"/>
    <col min="1048" max="1048" width="15.33203125" style="37" customWidth="1"/>
    <col min="1049" max="1049" width="15.21875" style="37" customWidth="1"/>
    <col min="1050" max="1050" width="21.44140625" style="37" customWidth="1"/>
    <col min="1051" max="1066" width="9.6640625" style="37"/>
    <col min="1067" max="1068" width="13.44140625" style="37" customWidth="1"/>
    <col min="1069" max="1069" width="9.6640625" style="37"/>
    <col min="1070" max="1070" width="13.88671875" style="37" customWidth="1"/>
    <col min="1071" max="1071" width="10.6640625" style="37" customWidth="1"/>
    <col min="1072" max="1072" width="17.33203125" style="37" customWidth="1"/>
    <col min="1073" max="1074" width="12.6640625" style="37" customWidth="1"/>
    <col min="1075" max="1075" width="11.21875" style="37" customWidth="1"/>
    <col min="1076" max="1076" width="18.33203125" style="37" customWidth="1"/>
    <col min="1077" max="1077" width="12.88671875" style="37" customWidth="1"/>
    <col min="1078" max="1079" width="13.21875" style="37" customWidth="1"/>
    <col min="1080" max="1080" width="10.88671875" style="37" customWidth="1"/>
    <col min="1081" max="1081" width="11.109375" style="37" customWidth="1"/>
    <col min="1082" max="1082" width="15.21875" style="37" customWidth="1"/>
    <col min="1083" max="1083" width="9.6640625" style="37"/>
    <col min="1084" max="1084" width="11" style="37" customWidth="1"/>
    <col min="1085" max="1085" width="10.77734375" style="37" customWidth="1"/>
    <col min="1086" max="1086" width="11.44140625" style="37" customWidth="1"/>
    <col min="1087" max="1087" width="4" style="37" customWidth="1"/>
    <col min="1088" max="1278" width="9.6640625" style="37"/>
    <col min="1279" max="1279" width="6.44140625" style="37" customWidth="1"/>
    <col min="1280" max="1280" width="13.88671875" style="37" customWidth="1"/>
    <col min="1281" max="1281" width="11.88671875" style="37" customWidth="1"/>
    <col min="1282" max="1284" width="9.6640625" style="37"/>
    <col min="1285" max="1285" width="15.44140625" style="37" customWidth="1"/>
    <col min="1286" max="1286" width="16.21875" style="37" customWidth="1"/>
    <col min="1287" max="1298" width="9.6640625" style="37"/>
    <col min="1299" max="1299" width="12" style="37" customWidth="1"/>
    <col min="1300" max="1300" width="12.77734375" style="37" customWidth="1"/>
    <col min="1301" max="1301" width="11.109375" style="37" customWidth="1"/>
    <col min="1302" max="1302" width="12" style="37" customWidth="1"/>
    <col min="1303" max="1303" width="9.6640625" style="37"/>
    <col min="1304" max="1304" width="15.33203125" style="37" customWidth="1"/>
    <col min="1305" max="1305" width="15.21875" style="37" customWidth="1"/>
    <col min="1306" max="1306" width="21.44140625" style="37" customWidth="1"/>
    <col min="1307" max="1322" width="9.6640625" style="37"/>
    <col min="1323" max="1324" width="13.44140625" style="37" customWidth="1"/>
    <col min="1325" max="1325" width="9.6640625" style="37"/>
    <col min="1326" max="1326" width="13.88671875" style="37" customWidth="1"/>
    <col min="1327" max="1327" width="10.6640625" style="37" customWidth="1"/>
    <col min="1328" max="1328" width="17.33203125" style="37" customWidth="1"/>
    <col min="1329" max="1330" width="12.6640625" style="37" customWidth="1"/>
    <col min="1331" max="1331" width="11.21875" style="37" customWidth="1"/>
    <col min="1332" max="1332" width="18.33203125" style="37" customWidth="1"/>
    <col min="1333" max="1333" width="12.88671875" style="37" customWidth="1"/>
    <col min="1334" max="1335" width="13.21875" style="37" customWidth="1"/>
    <col min="1336" max="1336" width="10.88671875" style="37" customWidth="1"/>
    <col min="1337" max="1337" width="11.109375" style="37" customWidth="1"/>
    <col min="1338" max="1338" width="15.21875" style="37" customWidth="1"/>
    <col min="1339" max="1339" width="9.6640625" style="37"/>
    <col min="1340" max="1340" width="11" style="37" customWidth="1"/>
    <col min="1341" max="1341" width="10.77734375" style="37" customWidth="1"/>
    <col min="1342" max="1342" width="11.44140625" style="37" customWidth="1"/>
    <col min="1343" max="1343" width="4" style="37" customWidth="1"/>
    <col min="1344" max="1534" width="9.6640625" style="37"/>
    <col min="1535" max="1535" width="6.44140625" style="37" customWidth="1"/>
    <col min="1536" max="1536" width="13.88671875" style="37" customWidth="1"/>
    <col min="1537" max="1537" width="11.88671875" style="37" customWidth="1"/>
    <col min="1538" max="1540" width="9.6640625" style="37"/>
    <col min="1541" max="1541" width="15.44140625" style="37" customWidth="1"/>
    <col min="1542" max="1542" width="16.21875" style="37" customWidth="1"/>
    <col min="1543" max="1554" width="9.6640625" style="37"/>
    <col min="1555" max="1555" width="12" style="37" customWidth="1"/>
    <col min="1556" max="1556" width="12.77734375" style="37" customWidth="1"/>
    <col min="1557" max="1557" width="11.109375" style="37" customWidth="1"/>
    <col min="1558" max="1558" width="12" style="37" customWidth="1"/>
    <col min="1559" max="1559" width="9.6640625" style="37"/>
    <col min="1560" max="1560" width="15.33203125" style="37" customWidth="1"/>
    <col min="1561" max="1561" width="15.21875" style="37" customWidth="1"/>
    <col min="1562" max="1562" width="21.44140625" style="37" customWidth="1"/>
    <col min="1563" max="1578" width="9.6640625" style="37"/>
    <col min="1579" max="1580" width="13.44140625" style="37" customWidth="1"/>
    <col min="1581" max="1581" width="9.6640625" style="37"/>
    <col min="1582" max="1582" width="13.88671875" style="37" customWidth="1"/>
    <col min="1583" max="1583" width="10.6640625" style="37" customWidth="1"/>
    <col min="1584" max="1584" width="17.33203125" style="37" customWidth="1"/>
    <col min="1585" max="1586" width="12.6640625" style="37" customWidth="1"/>
    <col min="1587" max="1587" width="11.21875" style="37" customWidth="1"/>
    <col min="1588" max="1588" width="18.33203125" style="37" customWidth="1"/>
    <col min="1589" max="1589" width="12.88671875" style="37" customWidth="1"/>
    <col min="1590" max="1591" width="13.21875" style="37" customWidth="1"/>
    <col min="1592" max="1592" width="10.88671875" style="37" customWidth="1"/>
    <col min="1593" max="1593" width="11.109375" style="37" customWidth="1"/>
    <col min="1594" max="1594" width="15.21875" style="37" customWidth="1"/>
    <col min="1595" max="1595" width="9.6640625" style="37"/>
    <col min="1596" max="1596" width="11" style="37" customWidth="1"/>
    <col min="1597" max="1597" width="10.77734375" style="37" customWidth="1"/>
    <col min="1598" max="1598" width="11.44140625" style="37" customWidth="1"/>
    <col min="1599" max="1599" width="4" style="37" customWidth="1"/>
    <col min="1600" max="1790" width="9.6640625" style="37"/>
    <col min="1791" max="1791" width="6.44140625" style="37" customWidth="1"/>
    <col min="1792" max="1792" width="13.88671875" style="37" customWidth="1"/>
    <col min="1793" max="1793" width="11.88671875" style="37" customWidth="1"/>
    <col min="1794" max="1796" width="9.6640625" style="37"/>
    <col min="1797" max="1797" width="15.44140625" style="37" customWidth="1"/>
    <col min="1798" max="1798" width="16.21875" style="37" customWidth="1"/>
    <col min="1799" max="1810" width="9.6640625" style="37"/>
    <col min="1811" max="1811" width="12" style="37" customWidth="1"/>
    <col min="1812" max="1812" width="12.77734375" style="37" customWidth="1"/>
    <col min="1813" max="1813" width="11.109375" style="37" customWidth="1"/>
    <col min="1814" max="1814" width="12" style="37" customWidth="1"/>
    <col min="1815" max="1815" width="9.6640625" style="37"/>
    <col min="1816" max="1816" width="15.33203125" style="37" customWidth="1"/>
    <col min="1817" max="1817" width="15.21875" style="37" customWidth="1"/>
    <col min="1818" max="1818" width="21.44140625" style="37" customWidth="1"/>
    <col min="1819" max="1834" width="9.6640625" style="37"/>
    <col min="1835" max="1836" width="13.44140625" style="37" customWidth="1"/>
    <col min="1837" max="1837" width="9.6640625" style="37"/>
    <col min="1838" max="1838" width="13.88671875" style="37" customWidth="1"/>
    <col min="1839" max="1839" width="10.6640625" style="37" customWidth="1"/>
    <col min="1840" max="1840" width="17.33203125" style="37" customWidth="1"/>
    <col min="1841" max="1842" width="12.6640625" style="37" customWidth="1"/>
    <col min="1843" max="1843" width="11.21875" style="37" customWidth="1"/>
    <col min="1844" max="1844" width="18.33203125" style="37" customWidth="1"/>
    <col min="1845" max="1845" width="12.88671875" style="37" customWidth="1"/>
    <col min="1846" max="1847" width="13.21875" style="37" customWidth="1"/>
    <col min="1848" max="1848" width="10.88671875" style="37" customWidth="1"/>
    <col min="1849" max="1849" width="11.109375" style="37" customWidth="1"/>
    <col min="1850" max="1850" width="15.21875" style="37" customWidth="1"/>
    <col min="1851" max="1851" width="9.6640625" style="37"/>
    <col min="1852" max="1852" width="11" style="37" customWidth="1"/>
    <col min="1853" max="1853" width="10.77734375" style="37" customWidth="1"/>
    <col min="1854" max="1854" width="11.44140625" style="37" customWidth="1"/>
    <col min="1855" max="1855" width="4" style="37" customWidth="1"/>
    <col min="1856" max="2046" width="9.6640625" style="37"/>
    <col min="2047" max="2047" width="6.44140625" style="37" customWidth="1"/>
    <col min="2048" max="2048" width="13.88671875" style="37" customWidth="1"/>
    <col min="2049" max="2049" width="11.88671875" style="37" customWidth="1"/>
    <col min="2050" max="2052" width="9.6640625" style="37"/>
    <col min="2053" max="2053" width="15.44140625" style="37" customWidth="1"/>
    <col min="2054" max="2054" width="16.21875" style="37" customWidth="1"/>
    <col min="2055" max="2066" width="9.6640625" style="37"/>
    <col min="2067" max="2067" width="12" style="37" customWidth="1"/>
    <col min="2068" max="2068" width="12.77734375" style="37" customWidth="1"/>
    <col min="2069" max="2069" width="11.109375" style="37" customWidth="1"/>
    <col min="2070" max="2070" width="12" style="37" customWidth="1"/>
    <col min="2071" max="2071" width="9.6640625" style="37"/>
    <col min="2072" max="2072" width="15.33203125" style="37" customWidth="1"/>
    <col min="2073" max="2073" width="15.21875" style="37" customWidth="1"/>
    <col min="2074" max="2074" width="21.44140625" style="37" customWidth="1"/>
    <col min="2075" max="2090" width="9.6640625" style="37"/>
    <col min="2091" max="2092" width="13.44140625" style="37" customWidth="1"/>
    <col min="2093" max="2093" width="9.6640625" style="37"/>
    <col min="2094" max="2094" width="13.88671875" style="37" customWidth="1"/>
    <col min="2095" max="2095" width="10.6640625" style="37" customWidth="1"/>
    <col min="2096" max="2096" width="17.33203125" style="37" customWidth="1"/>
    <col min="2097" max="2098" width="12.6640625" style="37" customWidth="1"/>
    <col min="2099" max="2099" width="11.21875" style="37" customWidth="1"/>
    <col min="2100" max="2100" width="18.33203125" style="37" customWidth="1"/>
    <col min="2101" max="2101" width="12.88671875" style="37" customWidth="1"/>
    <col min="2102" max="2103" width="13.21875" style="37" customWidth="1"/>
    <col min="2104" max="2104" width="10.88671875" style="37" customWidth="1"/>
    <col min="2105" max="2105" width="11.109375" style="37" customWidth="1"/>
    <col min="2106" max="2106" width="15.21875" style="37" customWidth="1"/>
    <col min="2107" max="2107" width="9.6640625" style="37"/>
    <col min="2108" max="2108" width="11" style="37" customWidth="1"/>
    <col min="2109" max="2109" width="10.77734375" style="37" customWidth="1"/>
    <col min="2110" max="2110" width="11.44140625" style="37" customWidth="1"/>
    <col min="2111" max="2111" width="4" style="37" customWidth="1"/>
    <col min="2112" max="2302" width="9.6640625" style="37"/>
    <col min="2303" max="2303" width="6.44140625" style="37" customWidth="1"/>
    <col min="2304" max="2304" width="13.88671875" style="37" customWidth="1"/>
    <col min="2305" max="2305" width="11.88671875" style="37" customWidth="1"/>
    <col min="2306" max="2308" width="9.6640625" style="37"/>
    <col min="2309" max="2309" width="15.44140625" style="37" customWidth="1"/>
    <col min="2310" max="2310" width="16.21875" style="37" customWidth="1"/>
    <col min="2311" max="2322" width="9.6640625" style="37"/>
    <col min="2323" max="2323" width="12" style="37" customWidth="1"/>
    <col min="2324" max="2324" width="12.77734375" style="37" customWidth="1"/>
    <col min="2325" max="2325" width="11.109375" style="37" customWidth="1"/>
    <col min="2326" max="2326" width="12" style="37" customWidth="1"/>
    <col min="2327" max="2327" width="9.6640625" style="37"/>
    <col min="2328" max="2328" width="15.33203125" style="37" customWidth="1"/>
    <col min="2329" max="2329" width="15.21875" style="37" customWidth="1"/>
    <col min="2330" max="2330" width="21.44140625" style="37" customWidth="1"/>
    <col min="2331" max="2346" width="9.6640625" style="37"/>
    <col min="2347" max="2348" width="13.44140625" style="37" customWidth="1"/>
    <col min="2349" max="2349" width="9.6640625" style="37"/>
    <col min="2350" max="2350" width="13.88671875" style="37" customWidth="1"/>
    <col min="2351" max="2351" width="10.6640625" style="37" customWidth="1"/>
    <col min="2352" max="2352" width="17.33203125" style="37" customWidth="1"/>
    <col min="2353" max="2354" width="12.6640625" style="37" customWidth="1"/>
    <col min="2355" max="2355" width="11.21875" style="37" customWidth="1"/>
    <col min="2356" max="2356" width="18.33203125" style="37" customWidth="1"/>
    <col min="2357" max="2357" width="12.88671875" style="37" customWidth="1"/>
    <col min="2358" max="2359" width="13.21875" style="37" customWidth="1"/>
    <col min="2360" max="2360" width="10.88671875" style="37" customWidth="1"/>
    <col min="2361" max="2361" width="11.109375" style="37" customWidth="1"/>
    <col min="2362" max="2362" width="15.21875" style="37" customWidth="1"/>
    <col min="2363" max="2363" width="9.6640625" style="37"/>
    <col min="2364" max="2364" width="11" style="37" customWidth="1"/>
    <col min="2365" max="2365" width="10.77734375" style="37" customWidth="1"/>
    <col min="2366" max="2366" width="11.44140625" style="37" customWidth="1"/>
    <col min="2367" max="2367" width="4" style="37" customWidth="1"/>
    <col min="2368" max="2558" width="9.6640625" style="37"/>
    <col min="2559" max="2559" width="6.44140625" style="37" customWidth="1"/>
    <col min="2560" max="2560" width="13.88671875" style="37" customWidth="1"/>
    <col min="2561" max="2561" width="11.88671875" style="37" customWidth="1"/>
    <col min="2562" max="2564" width="9.6640625" style="37"/>
    <col min="2565" max="2565" width="15.44140625" style="37" customWidth="1"/>
    <col min="2566" max="2566" width="16.21875" style="37" customWidth="1"/>
    <col min="2567" max="2578" width="9.6640625" style="37"/>
    <col min="2579" max="2579" width="12" style="37" customWidth="1"/>
    <col min="2580" max="2580" width="12.77734375" style="37" customWidth="1"/>
    <col min="2581" max="2581" width="11.109375" style="37" customWidth="1"/>
    <col min="2582" max="2582" width="12" style="37" customWidth="1"/>
    <col min="2583" max="2583" width="9.6640625" style="37"/>
    <col min="2584" max="2584" width="15.33203125" style="37" customWidth="1"/>
    <col min="2585" max="2585" width="15.21875" style="37" customWidth="1"/>
    <col min="2586" max="2586" width="21.44140625" style="37" customWidth="1"/>
    <col min="2587" max="2602" width="9.6640625" style="37"/>
    <col min="2603" max="2604" width="13.44140625" style="37" customWidth="1"/>
    <col min="2605" max="2605" width="9.6640625" style="37"/>
    <col min="2606" max="2606" width="13.88671875" style="37" customWidth="1"/>
    <col min="2607" max="2607" width="10.6640625" style="37" customWidth="1"/>
    <col min="2608" max="2608" width="17.33203125" style="37" customWidth="1"/>
    <col min="2609" max="2610" width="12.6640625" style="37" customWidth="1"/>
    <col min="2611" max="2611" width="11.21875" style="37" customWidth="1"/>
    <col min="2612" max="2612" width="18.33203125" style="37" customWidth="1"/>
    <col min="2613" max="2613" width="12.88671875" style="37" customWidth="1"/>
    <col min="2614" max="2615" width="13.21875" style="37" customWidth="1"/>
    <col min="2616" max="2616" width="10.88671875" style="37" customWidth="1"/>
    <col min="2617" max="2617" width="11.109375" style="37" customWidth="1"/>
    <col min="2618" max="2618" width="15.21875" style="37" customWidth="1"/>
    <col min="2619" max="2619" width="9.6640625" style="37"/>
    <col min="2620" max="2620" width="11" style="37" customWidth="1"/>
    <col min="2621" max="2621" width="10.77734375" style="37" customWidth="1"/>
    <col min="2622" max="2622" width="11.44140625" style="37" customWidth="1"/>
    <col min="2623" max="2623" width="4" style="37" customWidth="1"/>
    <col min="2624" max="2814" width="9.6640625" style="37"/>
    <col min="2815" max="2815" width="6.44140625" style="37" customWidth="1"/>
    <col min="2816" max="2816" width="13.88671875" style="37" customWidth="1"/>
    <col min="2817" max="2817" width="11.88671875" style="37" customWidth="1"/>
    <col min="2818" max="2820" width="9.6640625" style="37"/>
    <col min="2821" max="2821" width="15.44140625" style="37" customWidth="1"/>
    <col min="2822" max="2822" width="16.21875" style="37" customWidth="1"/>
    <col min="2823" max="2834" width="9.6640625" style="37"/>
    <col min="2835" max="2835" width="12" style="37" customWidth="1"/>
    <col min="2836" max="2836" width="12.77734375" style="37" customWidth="1"/>
    <col min="2837" max="2837" width="11.109375" style="37" customWidth="1"/>
    <col min="2838" max="2838" width="12" style="37" customWidth="1"/>
    <col min="2839" max="2839" width="9.6640625" style="37"/>
    <col min="2840" max="2840" width="15.33203125" style="37" customWidth="1"/>
    <col min="2841" max="2841" width="15.21875" style="37" customWidth="1"/>
    <col min="2842" max="2842" width="21.44140625" style="37" customWidth="1"/>
    <col min="2843" max="2858" width="9.6640625" style="37"/>
    <col min="2859" max="2860" width="13.44140625" style="37" customWidth="1"/>
    <col min="2861" max="2861" width="9.6640625" style="37"/>
    <col min="2862" max="2862" width="13.88671875" style="37" customWidth="1"/>
    <col min="2863" max="2863" width="10.6640625" style="37" customWidth="1"/>
    <col min="2864" max="2864" width="17.33203125" style="37" customWidth="1"/>
    <col min="2865" max="2866" width="12.6640625" style="37" customWidth="1"/>
    <col min="2867" max="2867" width="11.21875" style="37" customWidth="1"/>
    <col min="2868" max="2868" width="18.33203125" style="37" customWidth="1"/>
    <col min="2869" max="2869" width="12.88671875" style="37" customWidth="1"/>
    <col min="2870" max="2871" width="13.21875" style="37" customWidth="1"/>
    <col min="2872" max="2872" width="10.88671875" style="37" customWidth="1"/>
    <col min="2873" max="2873" width="11.109375" style="37" customWidth="1"/>
    <col min="2874" max="2874" width="15.21875" style="37" customWidth="1"/>
    <col min="2875" max="2875" width="9.6640625" style="37"/>
    <col min="2876" max="2876" width="11" style="37" customWidth="1"/>
    <col min="2877" max="2877" width="10.77734375" style="37" customWidth="1"/>
    <col min="2878" max="2878" width="11.44140625" style="37" customWidth="1"/>
    <col min="2879" max="2879" width="4" style="37" customWidth="1"/>
    <col min="2880" max="3070" width="9.6640625" style="37"/>
    <col min="3071" max="3071" width="6.44140625" style="37" customWidth="1"/>
    <col min="3072" max="3072" width="13.88671875" style="37" customWidth="1"/>
    <col min="3073" max="3073" width="11.88671875" style="37" customWidth="1"/>
    <col min="3074" max="3076" width="9.6640625" style="37"/>
    <col min="3077" max="3077" width="15.44140625" style="37" customWidth="1"/>
    <col min="3078" max="3078" width="16.21875" style="37" customWidth="1"/>
    <col min="3079" max="3090" width="9.6640625" style="37"/>
    <col min="3091" max="3091" width="12" style="37" customWidth="1"/>
    <col min="3092" max="3092" width="12.77734375" style="37" customWidth="1"/>
    <col min="3093" max="3093" width="11.109375" style="37" customWidth="1"/>
    <col min="3094" max="3094" width="12" style="37" customWidth="1"/>
    <col min="3095" max="3095" width="9.6640625" style="37"/>
    <col min="3096" max="3096" width="15.33203125" style="37" customWidth="1"/>
    <col min="3097" max="3097" width="15.21875" style="37" customWidth="1"/>
    <col min="3098" max="3098" width="21.44140625" style="37" customWidth="1"/>
    <col min="3099" max="3114" width="9.6640625" style="37"/>
    <col min="3115" max="3116" width="13.44140625" style="37" customWidth="1"/>
    <col min="3117" max="3117" width="9.6640625" style="37"/>
    <col min="3118" max="3118" width="13.88671875" style="37" customWidth="1"/>
    <col min="3119" max="3119" width="10.6640625" style="37" customWidth="1"/>
    <col min="3120" max="3120" width="17.33203125" style="37" customWidth="1"/>
    <col min="3121" max="3122" width="12.6640625" style="37" customWidth="1"/>
    <col min="3123" max="3123" width="11.21875" style="37" customWidth="1"/>
    <col min="3124" max="3124" width="18.33203125" style="37" customWidth="1"/>
    <col min="3125" max="3125" width="12.88671875" style="37" customWidth="1"/>
    <col min="3126" max="3127" width="13.21875" style="37" customWidth="1"/>
    <col min="3128" max="3128" width="10.88671875" style="37" customWidth="1"/>
    <col min="3129" max="3129" width="11.109375" style="37" customWidth="1"/>
    <col min="3130" max="3130" width="15.21875" style="37" customWidth="1"/>
    <col min="3131" max="3131" width="9.6640625" style="37"/>
    <col min="3132" max="3132" width="11" style="37" customWidth="1"/>
    <col min="3133" max="3133" width="10.77734375" style="37" customWidth="1"/>
    <col min="3134" max="3134" width="11.44140625" style="37" customWidth="1"/>
    <col min="3135" max="3135" width="4" style="37" customWidth="1"/>
    <col min="3136" max="3326" width="9.6640625" style="37"/>
    <col min="3327" max="3327" width="6.44140625" style="37" customWidth="1"/>
    <col min="3328" max="3328" width="13.88671875" style="37" customWidth="1"/>
    <col min="3329" max="3329" width="11.88671875" style="37" customWidth="1"/>
    <col min="3330" max="3332" width="9.6640625" style="37"/>
    <col min="3333" max="3333" width="15.44140625" style="37" customWidth="1"/>
    <col min="3334" max="3334" width="16.21875" style="37" customWidth="1"/>
    <col min="3335" max="3346" width="9.6640625" style="37"/>
    <col min="3347" max="3347" width="12" style="37" customWidth="1"/>
    <col min="3348" max="3348" width="12.77734375" style="37" customWidth="1"/>
    <col min="3349" max="3349" width="11.109375" style="37" customWidth="1"/>
    <col min="3350" max="3350" width="12" style="37" customWidth="1"/>
    <col min="3351" max="3351" width="9.6640625" style="37"/>
    <col min="3352" max="3352" width="15.33203125" style="37" customWidth="1"/>
    <col min="3353" max="3353" width="15.21875" style="37" customWidth="1"/>
    <col min="3354" max="3354" width="21.44140625" style="37" customWidth="1"/>
    <col min="3355" max="3370" width="9.6640625" style="37"/>
    <col min="3371" max="3372" width="13.44140625" style="37" customWidth="1"/>
    <col min="3373" max="3373" width="9.6640625" style="37"/>
    <col min="3374" max="3374" width="13.88671875" style="37" customWidth="1"/>
    <col min="3375" max="3375" width="10.6640625" style="37" customWidth="1"/>
    <col min="3376" max="3376" width="17.33203125" style="37" customWidth="1"/>
    <col min="3377" max="3378" width="12.6640625" style="37" customWidth="1"/>
    <col min="3379" max="3379" width="11.21875" style="37" customWidth="1"/>
    <col min="3380" max="3380" width="18.33203125" style="37" customWidth="1"/>
    <col min="3381" max="3381" width="12.88671875" style="37" customWidth="1"/>
    <col min="3382" max="3383" width="13.21875" style="37" customWidth="1"/>
    <col min="3384" max="3384" width="10.88671875" style="37" customWidth="1"/>
    <col min="3385" max="3385" width="11.109375" style="37" customWidth="1"/>
    <col min="3386" max="3386" width="15.21875" style="37" customWidth="1"/>
    <col min="3387" max="3387" width="9.6640625" style="37"/>
    <col min="3388" max="3388" width="11" style="37" customWidth="1"/>
    <col min="3389" max="3389" width="10.77734375" style="37" customWidth="1"/>
    <col min="3390" max="3390" width="11.44140625" style="37" customWidth="1"/>
    <col min="3391" max="3391" width="4" style="37" customWidth="1"/>
    <col min="3392" max="3582" width="9.6640625" style="37"/>
    <col min="3583" max="3583" width="6.44140625" style="37" customWidth="1"/>
    <col min="3584" max="3584" width="13.88671875" style="37" customWidth="1"/>
    <col min="3585" max="3585" width="11.88671875" style="37" customWidth="1"/>
    <col min="3586" max="3588" width="9.6640625" style="37"/>
    <col min="3589" max="3589" width="15.44140625" style="37" customWidth="1"/>
    <col min="3590" max="3590" width="16.21875" style="37" customWidth="1"/>
    <col min="3591" max="3602" width="9.6640625" style="37"/>
    <col min="3603" max="3603" width="12" style="37" customWidth="1"/>
    <col min="3604" max="3604" width="12.77734375" style="37" customWidth="1"/>
    <col min="3605" max="3605" width="11.109375" style="37" customWidth="1"/>
    <col min="3606" max="3606" width="12" style="37" customWidth="1"/>
    <col min="3607" max="3607" width="9.6640625" style="37"/>
    <col min="3608" max="3608" width="15.33203125" style="37" customWidth="1"/>
    <col min="3609" max="3609" width="15.21875" style="37" customWidth="1"/>
    <col min="3610" max="3610" width="21.44140625" style="37" customWidth="1"/>
    <col min="3611" max="3626" width="9.6640625" style="37"/>
    <col min="3627" max="3628" width="13.44140625" style="37" customWidth="1"/>
    <col min="3629" max="3629" width="9.6640625" style="37"/>
    <col min="3630" max="3630" width="13.88671875" style="37" customWidth="1"/>
    <col min="3631" max="3631" width="10.6640625" style="37" customWidth="1"/>
    <col min="3632" max="3632" width="17.33203125" style="37" customWidth="1"/>
    <col min="3633" max="3634" width="12.6640625" style="37" customWidth="1"/>
    <col min="3635" max="3635" width="11.21875" style="37" customWidth="1"/>
    <col min="3636" max="3636" width="18.33203125" style="37" customWidth="1"/>
    <col min="3637" max="3637" width="12.88671875" style="37" customWidth="1"/>
    <col min="3638" max="3639" width="13.21875" style="37" customWidth="1"/>
    <col min="3640" max="3640" width="10.88671875" style="37" customWidth="1"/>
    <col min="3641" max="3641" width="11.109375" style="37" customWidth="1"/>
    <col min="3642" max="3642" width="15.21875" style="37" customWidth="1"/>
    <col min="3643" max="3643" width="9.6640625" style="37"/>
    <col min="3644" max="3644" width="11" style="37" customWidth="1"/>
    <col min="3645" max="3645" width="10.77734375" style="37" customWidth="1"/>
    <col min="3646" max="3646" width="11.44140625" style="37" customWidth="1"/>
    <col min="3647" max="3647" width="4" style="37" customWidth="1"/>
    <col min="3648" max="3838" width="9.6640625" style="37"/>
    <col min="3839" max="3839" width="6.44140625" style="37" customWidth="1"/>
    <col min="3840" max="3840" width="13.88671875" style="37" customWidth="1"/>
    <col min="3841" max="3841" width="11.88671875" style="37" customWidth="1"/>
    <col min="3842" max="3844" width="9.6640625" style="37"/>
    <col min="3845" max="3845" width="15.44140625" style="37" customWidth="1"/>
    <col min="3846" max="3846" width="16.21875" style="37" customWidth="1"/>
    <col min="3847" max="3858" width="9.6640625" style="37"/>
    <col min="3859" max="3859" width="12" style="37" customWidth="1"/>
    <col min="3860" max="3860" width="12.77734375" style="37" customWidth="1"/>
    <col min="3861" max="3861" width="11.109375" style="37" customWidth="1"/>
    <col min="3862" max="3862" width="12" style="37" customWidth="1"/>
    <col min="3863" max="3863" width="9.6640625" style="37"/>
    <col min="3864" max="3864" width="15.33203125" style="37" customWidth="1"/>
    <col min="3865" max="3865" width="15.21875" style="37" customWidth="1"/>
    <col min="3866" max="3866" width="21.44140625" style="37" customWidth="1"/>
    <col min="3867" max="3882" width="9.6640625" style="37"/>
    <col min="3883" max="3884" width="13.44140625" style="37" customWidth="1"/>
    <col min="3885" max="3885" width="9.6640625" style="37"/>
    <col min="3886" max="3886" width="13.88671875" style="37" customWidth="1"/>
    <col min="3887" max="3887" width="10.6640625" style="37" customWidth="1"/>
    <col min="3888" max="3888" width="17.33203125" style="37" customWidth="1"/>
    <col min="3889" max="3890" width="12.6640625" style="37" customWidth="1"/>
    <col min="3891" max="3891" width="11.21875" style="37" customWidth="1"/>
    <col min="3892" max="3892" width="18.33203125" style="37" customWidth="1"/>
    <col min="3893" max="3893" width="12.88671875" style="37" customWidth="1"/>
    <col min="3894" max="3895" width="13.21875" style="37" customWidth="1"/>
    <col min="3896" max="3896" width="10.88671875" style="37" customWidth="1"/>
    <col min="3897" max="3897" width="11.109375" style="37" customWidth="1"/>
    <col min="3898" max="3898" width="15.21875" style="37" customWidth="1"/>
    <col min="3899" max="3899" width="9.6640625" style="37"/>
    <col min="3900" max="3900" width="11" style="37" customWidth="1"/>
    <col min="3901" max="3901" width="10.77734375" style="37" customWidth="1"/>
    <col min="3902" max="3902" width="11.44140625" style="37" customWidth="1"/>
    <col min="3903" max="3903" width="4" style="37" customWidth="1"/>
    <col min="3904" max="4094" width="9.6640625" style="37"/>
    <col min="4095" max="4095" width="6.44140625" style="37" customWidth="1"/>
    <col min="4096" max="4096" width="13.88671875" style="37" customWidth="1"/>
    <col min="4097" max="4097" width="11.88671875" style="37" customWidth="1"/>
    <col min="4098" max="4100" width="9.6640625" style="37"/>
    <col min="4101" max="4101" width="15.44140625" style="37" customWidth="1"/>
    <col min="4102" max="4102" width="16.21875" style="37" customWidth="1"/>
    <col min="4103" max="4114" width="9.6640625" style="37"/>
    <col min="4115" max="4115" width="12" style="37" customWidth="1"/>
    <col min="4116" max="4116" width="12.77734375" style="37" customWidth="1"/>
    <col min="4117" max="4117" width="11.109375" style="37" customWidth="1"/>
    <col min="4118" max="4118" width="12" style="37" customWidth="1"/>
    <col min="4119" max="4119" width="9.6640625" style="37"/>
    <col min="4120" max="4120" width="15.33203125" style="37" customWidth="1"/>
    <col min="4121" max="4121" width="15.21875" style="37" customWidth="1"/>
    <col min="4122" max="4122" width="21.44140625" style="37" customWidth="1"/>
    <col min="4123" max="4138" width="9.6640625" style="37"/>
    <col min="4139" max="4140" width="13.44140625" style="37" customWidth="1"/>
    <col min="4141" max="4141" width="9.6640625" style="37"/>
    <col min="4142" max="4142" width="13.88671875" style="37" customWidth="1"/>
    <col min="4143" max="4143" width="10.6640625" style="37" customWidth="1"/>
    <col min="4144" max="4144" width="17.33203125" style="37" customWidth="1"/>
    <col min="4145" max="4146" width="12.6640625" style="37" customWidth="1"/>
    <col min="4147" max="4147" width="11.21875" style="37" customWidth="1"/>
    <col min="4148" max="4148" width="18.33203125" style="37" customWidth="1"/>
    <col min="4149" max="4149" width="12.88671875" style="37" customWidth="1"/>
    <col min="4150" max="4151" width="13.21875" style="37" customWidth="1"/>
    <col min="4152" max="4152" width="10.88671875" style="37" customWidth="1"/>
    <col min="4153" max="4153" width="11.109375" style="37" customWidth="1"/>
    <col min="4154" max="4154" width="15.21875" style="37" customWidth="1"/>
    <col min="4155" max="4155" width="9.6640625" style="37"/>
    <col min="4156" max="4156" width="11" style="37" customWidth="1"/>
    <col min="4157" max="4157" width="10.77734375" style="37" customWidth="1"/>
    <col min="4158" max="4158" width="11.44140625" style="37" customWidth="1"/>
    <col min="4159" max="4159" width="4" style="37" customWidth="1"/>
    <col min="4160" max="4350" width="9.6640625" style="37"/>
    <col min="4351" max="4351" width="6.44140625" style="37" customWidth="1"/>
    <col min="4352" max="4352" width="13.88671875" style="37" customWidth="1"/>
    <col min="4353" max="4353" width="11.88671875" style="37" customWidth="1"/>
    <col min="4354" max="4356" width="9.6640625" style="37"/>
    <col min="4357" max="4357" width="15.44140625" style="37" customWidth="1"/>
    <col min="4358" max="4358" width="16.21875" style="37" customWidth="1"/>
    <col min="4359" max="4370" width="9.6640625" style="37"/>
    <col min="4371" max="4371" width="12" style="37" customWidth="1"/>
    <col min="4372" max="4372" width="12.77734375" style="37" customWidth="1"/>
    <col min="4373" max="4373" width="11.109375" style="37" customWidth="1"/>
    <col min="4374" max="4374" width="12" style="37" customWidth="1"/>
    <col min="4375" max="4375" width="9.6640625" style="37"/>
    <col min="4376" max="4376" width="15.33203125" style="37" customWidth="1"/>
    <col min="4377" max="4377" width="15.21875" style="37" customWidth="1"/>
    <col min="4378" max="4378" width="21.44140625" style="37" customWidth="1"/>
    <col min="4379" max="4394" width="9.6640625" style="37"/>
    <col min="4395" max="4396" width="13.44140625" style="37" customWidth="1"/>
    <col min="4397" max="4397" width="9.6640625" style="37"/>
    <col min="4398" max="4398" width="13.88671875" style="37" customWidth="1"/>
    <col min="4399" max="4399" width="10.6640625" style="37" customWidth="1"/>
    <col min="4400" max="4400" width="17.33203125" style="37" customWidth="1"/>
    <col min="4401" max="4402" width="12.6640625" style="37" customWidth="1"/>
    <col min="4403" max="4403" width="11.21875" style="37" customWidth="1"/>
    <col min="4404" max="4404" width="18.33203125" style="37" customWidth="1"/>
    <col min="4405" max="4405" width="12.88671875" style="37" customWidth="1"/>
    <col min="4406" max="4407" width="13.21875" style="37" customWidth="1"/>
    <col min="4408" max="4408" width="10.88671875" style="37" customWidth="1"/>
    <col min="4409" max="4409" width="11.109375" style="37" customWidth="1"/>
    <col min="4410" max="4410" width="15.21875" style="37" customWidth="1"/>
    <col min="4411" max="4411" width="9.6640625" style="37"/>
    <col min="4412" max="4412" width="11" style="37" customWidth="1"/>
    <col min="4413" max="4413" width="10.77734375" style="37" customWidth="1"/>
    <col min="4414" max="4414" width="11.44140625" style="37" customWidth="1"/>
    <col min="4415" max="4415" width="4" style="37" customWidth="1"/>
    <col min="4416" max="4606" width="9.6640625" style="37"/>
    <col min="4607" max="4607" width="6.44140625" style="37" customWidth="1"/>
    <col min="4608" max="4608" width="13.88671875" style="37" customWidth="1"/>
    <col min="4609" max="4609" width="11.88671875" style="37" customWidth="1"/>
    <col min="4610" max="4612" width="9.6640625" style="37"/>
    <col min="4613" max="4613" width="15.44140625" style="37" customWidth="1"/>
    <col min="4614" max="4614" width="16.21875" style="37" customWidth="1"/>
    <col min="4615" max="4626" width="9.6640625" style="37"/>
    <col min="4627" max="4627" width="12" style="37" customWidth="1"/>
    <col min="4628" max="4628" width="12.77734375" style="37" customWidth="1"/>
    <col min="4629" max="4629" width="11.109375" style="37" customWidth="1"/>
    <col min="4630" max="4630" width="12" style="37" customWidth="1"/>
    <col min="4631" max="4631" width="9.6640625" style="37"/>
    <col min="4632" max="4632" width="15.33203125" style="37" customWidth="1"/>
    <col min="4633" max="4633" width="15.21875" style="37" customWidth="1"/>
    <col min="4634" max="4634" width="21.44140625" style="37" customWidth="1"/>
    <col min="4635" max="4650" width="9.6640625" style="37"/>
    <col min="4651" max="4652" width="13.44140625" style="37" customWidth="1"/>
    <col min="4653" max="4653" width="9.6640625" style="37"/>
    <col min="4654" max="4654" width="13.88671875" style="37" customWidth="1"/>
    <col min="4655" max="4655" width="10.6640625" style="37" customWidth="1"/>
    <col min="4656" max="4656" width="17.33203125" style="37" customWidth="1"/>
    <col min="4657" max="4658" width="12.6640625" style="37" customWidth="1"/>
    <col min="4659" max="4659" width="11.21875" style="37" customWidth="1"/>
    <col min="4660" max="4660" width="18.33203125" style="37" customWidth="1"/>
    <col min="4661" max="4661" width="12.88671875" style="37" customWidth="1"/>
    <col min="4662" max="4663" width="13.21875" style="37" customWidth="1"/>
    <col min="4664" max="4664" width="10.88671875" style="37" customWidth="1"/>
    <col min="4665" max="4665" width="11.109375" style="37" customWidth="1"/>
    <col min="4666" max="4666" width="15.21875" style="37" customWidth="1"/>
    <col min="4667" max="4667" width="9.6640625" style="37"/>
    <col min="4668" max="4668" width="11" style="37" customWidth="1"/>
    <col min="4669" max="4669" width="10.77734375" style="37" customWidth="1"/>
    <col min="4670" max="4670" width="11.44140625" style="37" customWidth="1"/>
    <col min="4671" max="4671" width="4" style="37" customWidth="1"/>
    <col min="4672" max="4862" width="9.6640625" style="37"/>
    <col min="4863" max="4863" width="6.44140625" style="37" customWidth="1"/>
    <col min="4864" max="4864" width="13.88671875" style="37" customWidth="1"/>
    <col min="4865" max="4865" width="11.88671875" style="37" customWidth="1"/>
    <col min="4866" max="4868" width="9.6640625" style="37"/>
    <col min="4869" max="4869" width="15.44140625" style="37" customWidth="1"/>
    <col min="4870" max="4870" width="16.21875" style="37" customWidth="1"/>
    <col min="4871" max="4882" width="9.6640625" style="37"/>
    <col min="4883" max="4883" width="12" style="37" customWidth="1"/>
    <col min="4884" max="4884" width="12.77734375" style="37" customWidth="1"/>
    <col min="4885" max="4885" width="11.109375" style="37" customWidth="1"/>
    <col min="4886" max="4886" width="12" style="37" customWidth="1"/>
    <col min="4887" max="4887" width="9.6640625" style="37"/>
    <col min="4888" max="4888" width="15.33203125" style="37" customWidth="1"/>
    <col min="4889" max="4889" width="15.21875" style="37" customWidth="1"/>
    <col min="4890" max="4890" width="21.44140625" style="37" customWidth="1"/>
    <col min="4891" max="4906" width="9.6640625" style="37"/>
    <col min="4907" max="4908" width="13.44140625" style="37" customWidth="1"/>
    <col min="4909" max="4909" width="9.6640625" style="37"/>
    <col min="4910" max="4910" width="13.88671875" style="37" customWidth="1"/>
    <col min="4911" max="4911" width="10.6640625" style="37" customWidth="1"/>
    <col min="4912" max="4912" width="17.33203125" style="37" customWidth="1"/>
    <col min="4913" max="4914" width="12.6640625" style="37" customWidth="1"/>
    <col min="4915" max="4915" width="11.21875" style="37" customWidth="1"/>
    <col min="4916" max="4916" width="18.33203125" style="37" customWidth="1"/>
    <col min="4917" max="4917" width="12.88671875" style="37" customWidth="1"/>
    <col min="4918" max="4919" width="13.21875" style="37" customWidth="1"/>
    <col min="4920" max="4920" width="10.88671875" style="37" customWidth="1"/>
    <col min="4921" max="4921" width="11.109375" style="37" customWidth="1"/>
    <col min="4922" max="4922" width="15.21875" style="37" customWidth="1"/>
    <col min="4923" max="4923" width="9.6640625" style="37"/>
    <col min="4924" max="4924" width="11" style="37" customWidth="1"/>
    <col min="4925" max="4925" width="10.77734375" style="37" customWidth="1"/>
    <col min="4926" max="4926" width="11.44140625" style="37" customWidth="1"/>
    <col min="4927" max="4927" width="4" style="37" customWidth="1"/>
    <col min="4928" max="5118" width="9.6640625" style="37"/>
    <col min="5119" max="5119" width="6.44140625" style="37" customWidth="1"/>
    <col min="5120" max="5120" width="13.88671875" style="37" customWidth="1"/>
    <col min="5121" max="5121" width="11.88671875" style="37" customWidth="1"/>
    <col min="5122" max="5124" width="9.6640625" style="37"/>
    <col min="5125" max="5125" width="15.44140625" style="37" customWidth="1"/>
    <col min="5126" max="5126" width="16.21875" style="37" customWidth="1"/>
    <col min="5127" max="5138" width="9.6640625" style="37"/>
    <col min="5139" max="5139" width="12" style="37" customWidth="1"/>
    <col min="5140" max="5140" width="12.77734375" style="37" customWidth="1"/>
    <col min="5141" max="5141" width="11.109375" style="37" customWidth="1"/>
    <col min="5142" max="5142" width="12" style="37" customWidth="1"/>
    <col min="5143" max="5143" width="9.6640625" style="37"/>
    <col min="5144" max="5144" width="15.33203125" style="37" customWidth="1"/>
    <col min="5145" max="5145" width="15.21875" style="37" customWidth="1"/>
    <col min="5146" max="5146" width="21.44140625" style="37" customWidth="1"/>
    <col min="5147" max="5162" width="9.6640625" style="37"/>
    <col min="5163" max="5164" width="13.44140625" style="37" customWidth="1"/>
    <col min="5165" max="5165" width="9.6640625" style="37"/>
    <col min="5166" max="5166" width="13.88671875" style="37" customWidth="1"/>
    <col min="5167" max="5167" width="10.6640625" style="37" customWidth="1"/>
    <col min="5168" max="5168" width="17.33203125" style="37" customWidth="1"/>
    <col min="5169" max="5170" width="12.6640625" style="37" customWidth="1"/>
    <col min="5171" max="5171" width="11.21875" style="37" customWidth="1"/>
    <col min="5172" max="5172" width="18.33203125" style="37" customWidth="1"/>
    <col min="5173" max="5173" width="12.88671875" style="37" customWidth="1"/>
    <col min="5174" max="5175" width="13.21875" style="37" customWidth="1"/>
    <col min="5176" max="5176" width="10.88671875" style="37" customWidth="1"/>
    <col min="5177" max="5177" width="11.109375" style="37" customWidth="1"/>
    <col min="5178" max="5178" width="15.21875" style="37" customWidth="1"/>
    <col min="5179" max="5179" width="9.6640625" style="37"/>
    <col min="5180" max="5180" width="11" style="37" customWidth="1"/>
    <col min="5181" max="5181" width="10.77734375" style="37" customWidth="1"/>
    <col min="5182" max="5182" width="11.44140625" style="37" customWidth="1"/>
    <col min="5183" max="5183" width="4" style="37" customWidth="1"/>
    <col min="5184" max="5374" width="9.6640625" style="37"/>
    <col min="5375" max="5375" width="6.44140625" style="37" customWidth="1"/>
    <col min="5376" max="5376" width="13.88671875" style="37" customWidth="1"/>
    <col min="5377" max="5377" width="11.88671875" style="37" customWidth="1"/>
    <col min="5378" max="5380" width="9.6640625" style="37"/>
    <col min="5381" max="5381" width="15.44140625" style="37" customWidth="1"/>
    <col min="5382" max="5382" width="16.21875" style="37" customWidth="1"/>
    <col min="5383" max="5394" width="9.6640625" style="37"/>
    <col min="5395" max="5395" width="12" style="37" customWidth="1"/>
    <col min="5396" max="5396" width="12.77734375" style="37" customWidth="1"/>
    <col min="5397" max="5397" width="11.109375" style="37" customWidth="1"/>
    <col min="5398" max="5398" width="12" style="37" customWidth="1"/>
    <col min="5399" max="5399" width="9.6640625" style="37"/>
    <col min="5400" max="5400" width="15.33203125" style="37" customWidth="1"/>
    <col min="5401" max="5401" width="15.21875" style="37" customWidth="1"/>
    <col min="5402" max="5402" width="21.44140625" style="37" customWidth="1"/>
    <col min="5403" max="5418" width="9.6640625" style="37"/>
    <col min="5419" max="5420" width="13.44140625" style="37" customWidth="1"/>
    <col min="5421" max="5421" width="9.6640625" style="37"/>
    <col min="5422" max="5422" width="13.88671875" style="37" customWidth="1"/>
    <col min="5423" max="5423" width="10.6640625" style="37" customWidth="1"/>
    <col min="5424" max="5424" width="17.33203125" style="37" customWidth="1"/>
    <col min="5425" max="5426" width="12.6640625" style="37" customWidth="1"/>
    <col min="5427" max="5427" width="11.21875" style="37" customWidth="1"/>
    <col min="5428" max="5428" width="18.33203125" style="37" customWidth="1"/>
    <col min="5429" max="5429" width="12.88671875" style="37" customWidth="1"/>
    <col min="5430" max="5431" width="13.21875" style="37" customWidth="1"/>
    <col min="5432" max="5432" width="10.88671875" style="37" customWidth="1"/>
    <col min="5433" max="5433" width="11.109375" style="37" customWidth="1"/>
    <col min="5434" max="5434" width="15.21875" style="37" customWidth="1"/>
    <col min="5435" max="5435" width="9.6640625" style="37"/>
    <col min="5436" max="5436" width="11" style="37" customWidth="1"/>
    <col min="5437" max="5437" width="10.77734375" style="37" customWidth="1"/>
    <col min="5438" max="5438" width="11.44140625" style="37" customWidth="1"/>
    <col min="5439" max="5439" width="4" style="37" customWidth="1"/>
    <col min="5440" max="5630" width="9.6640625" style="37"/>
    <col min="5631" max="5631" width="6.44140625" style="37" customWidth="1"/>
    <col min="5632" max="5632" width="13.88671875" style="37" customWidth="1"/>
    <col min="5633" max="5633" width="11.88671875" style="37" customWidth="1"/>
    <col min="5634" max="5636" width="9.6640625" style="37"/>
    <col min="5637" max="5637" width="15.44140625" style="37" customWidth="1"/>
    <col min="5638" max="5638" width="16.21875" style="37" customWidth="1"/>
    <col min="5639" max="5650" width="9.6640625" style="37"/>
    <col min="5651" max="5651" width="12" style="37" customWidth="1"/>
    <col min="5652" max="5652" width="12.77734375" style="37" customWidth="1"/>
    <col min="5653" max="5653" width="11.109375" style="37" customWidth="1"/>
    <col min="5654" max="5654" width="12" style="37" customWidth="1"/>
    <col min="5655" max="5655" width="9.6640625" style="37"/>
    <col min="5656" max="5656" width="15.33203125" style="37" customWidth="1"/>
    <col min="5657" max="5657" width="15.21875" style="37" customWidth="1"/>
    <col min="5658" max="5658" width="21.44140625" style="37" customWidth="1"/>
    <col min="5659" max="5674" width="9.6640625" style="37"/>
    <col min="5675" max="5676" width="13.44140625" style="37" customWidth="1"/>
    <col min="5677" max="5677" width="9.6640625" style="37"/>
    <col min="5678" max="5678" width="13.88671875" style="37" customWidth="1"/>
    <col min="5679" max="5679" width="10.6640625" style="37" customWidth="1"/>
    <col min="5680" max="5680" width="17.33203125" style="37" customWidth="1"/>
    <col min="5681" max="5682" width="12.6640625" style="37" customWidth="1"/>
    <col min="5683" max="5683" width="11.21875" style="37" customWidth="1"/>
    <col min="5684" max="5684" width="18.33203125" style="37" customWidth="1"/>
    <col min="5685" max="5685" width="12.88671875" style="37" customWidth="1"/>
    <col min="5686" max="5687" width="13.21875" style="37" customWidth="1"/>
    <col min="5688" max="5688" width="10.88671875" style="37" customWidth="1"/>
    <col min="5689" max="5689" width="11.109375" style="37" customWidth="1"/>
    <col min="5690" max="5690" width="15.21875" style="37" customWidth="1"/>
    <col min="5691" max="5691" width="9.6640625" style="37"/>
    <col min="5692" max="5692" width="11" style="37" customWidth="1"/>
    <col min="5693" max="5693" width="10.77734375" style="37" customWidth="1"/>
    <col min="5694" max="5694" width="11.44140625" style="37" customWidth="1"/>
    <col min="5695" max="5695" width="4" style="37" customWidth="1"/>
    <col min="5696" max="5886" width="9.6640625" style="37"/>
    <col min="5887" max="5887" width="6.44140625" style="37" customWidth="1"/>
    <col min="5888" max="5888" width="13.88671875" style="37" customWidth="1"/>
    <col min="5889" max="5889" width="11.88671875" style="37" customWidth="1"/>
    <col min="5890" max="5892" width="9.6640625" style="37"/>
    <col min="5893" max="5893" width="15.44140625" style="37" customWidth="1"/>
    <col min="5894" max="5894" width="16.21875" style="37" customWidth="1"/>
    <col min="5895" max="5906" width="9.6640625" style="37"/>
    <col min="5907" max="5907" width="12" style="37" customWidth="1"/>
    <col min="5908" max="5908" width="12.77734375" style="37" customWidth="1"/>
    <col min="5909" max="5909" width="11.109375" style="37" customWidth="1"/>
    <col min="5910" max="5910" width="12" style="37" customWidth="1"/>
    <col min="5911" max="5911" width="9.6640625" style="37"/>
    <col min="5912" max="5912" width="15.33203125" style="37" customWidth="1"/>
    <col min="5913" max="5913" width="15.21875" style="37" customWidth="1"/>
    <col min="5914" max="5914" width="21.44140625" style="37" customWidth="1"/>
    <col min="5915" max="5930" width="9.6640625" style="37"/>
    <col min="5931" max="5932" width="13.44140625" style="37" customWidth="1"/>
    <col min="5933" max="5933" width="9.6640625" style="37"/>
    <col min="5934" max="5934" width="13.88671875" style="37" customWidth="1"/>
    <col min="5935" max="5935" width="10.6640625" style="37" customWidth="1"/>
    <col min="5936" max="5936" width="17.33203125" style="37" customWidth="1"/>
    <col min="5937" max="5938" width="12.6640625" style="37" customWidth="1"/>
    <col min="5939" max="5939" width="11.21875" style="37" customWidth="1"/>
    <col min="5940" max="5940" width="18.33203125" style="37" customWidth="1"/>
    <col min="5941" max="5941" width="12.88671875" style="37" customWidth="1"/>
    <col min="5942" max="5943" width="13.21875" style="37" customWidth="1"/>
    <col min="5944" max="5944" width="10.88671875" style="37" customWidth="1"/>
    <col min="5945" max="5945" width="11.109375" style="37" customWidth="1"/>
    <col min="5946" max="5946" width="15.21875" style="37" customWidth="1"/>
    <col min="5947" max="5947" width="9.6640625" style="37"/>
    <col min="5948" max="5948" width="11" style="37" customWidth="1"/>
    <col min="5949" max="5949" width="10.77734375" style="37" customWidth="1"/>
    <col min="5950" max="5950" width="11.44140625" style="37" customWidth="1"/>
    <col min="5951" max="5951" width="4" style="37" customWidth="1"/>
    <col min="5952" max="6142" width="9.6640625" style="37"/>
    <col min="6143" max="6143" width="6.44140625" style="37" customWidth="1"/>
    <col min="6144" max="6144" width="13.88671875" style="37" customWidth="1"/>
    <col min="6145" max="6145" width="11.88671875" style="37" customWidth="1"/>
    <col min="6146" max="6148" width="9.6640625" style="37"/>
    <col min="6149" max="6149" width="15.44140625" style="37" customWidth="1"/>
    <col min="6150" max="6150" width="16.21875" style="37" customWidth="1"/>
    <col min="6151" max="6162" width="9.6640625" style="37"/>
    <col min="6163" max="6163" width="12" style="37" customWidth="1"/>
    <col min="6164" max="6164" width="12.77734375" style="37" customWidth="1"/>
    <col min="6165" max="6165" width="11.109375" style="37" customWidth="1"/>
    <col min="6166" max="6166" width="12" style="37" customWidth="1"/>
    <col min="6167" max="6167" width="9.6640625" style="37"/>
    <col min="6168" max="6168" width="15.33203125" style="37" customWidth="1"/>
    <col min="6169" max="6169" width="15.21875" style="37" customWidth="1"/>
    <col min="6170" max="6170" width="21.44140625" style="37" customWidth="1"/>
    <col min="6171" max="6186" width="9.6640625" style="37"/>
    <col min="6187" max="6188" width="13.44140625" style="37" customWidth="1"/>
    <col min="6189" max="6189" width="9.6640625" style="37"/>
    <col min="6190" max="6190" width="13.88671875" style="37" customWidth="1"/>
    <col min="6191" max="6191" width="10.6640625" style="37" customWidth="1"/>
    <col min="6192" max="6192" width="17.33203125" style="37" customWidth="1"/>
    <col min="6193" max="6194" width="12.6640625" style="37" customWidth="1"/>
    <col min="6195" max="6195" width="11.21875" style="37" customWidth="1"/>
    <col min="6196" max="6196" width="18.33203125" style="37" customWidth="1"/>
    <col min="6197" max="6197" width="12.88671875" style="37" customWidth="1"/>
    <col min="6198" max="6199" width="13.21875" style="37" customWidth="1"/>
    <col min="6200" max="6200" width="10.88671875" style="37" customWidth="1"/>
    <col min="6201" max="6201" width="11.109375" style="37" customWidth="1"/>
    <col min="6202" max="6202" width="15.21875" style="37" customWidth="1"/>
    <col min="6203" max="6203" width="9.6640625" style="37"/>
    <col min="6204" max="6204" width="11" style="37" customWidth="1"/>
    <col min="6205" max="6205" width="10.77734375" style="37" customWidth="1"/>
    <col min="6206" max="6206" width="11.44140625" style="37" customWidth="1"/>
    <col min="6207" max="6207" width="4" style="37" customWidth="1"/>
    <col min="6208" max="6398" width="9.6640625" style="37"/>
    <col min="6399" max="6399" width="6.44140625" style="37" customWidth="1"/>
    <col min="6400" max="6400" width="13.88671875" style="37" customWidth="1"/>
    <col min="6401" max="6401" width="11.88671875" style="37" customWidth="1"/>
    <col min="6402" max="6404" width="9.6640625" style="37"/>
    <col min="6405" max="6405" width="15.44140625" style="37" customWidth="1"/>
    <col min="6406" max="6406" width="16.21875" style="37" customWidth="1"/>
    <col min="6407" max="6418" width="9.6640625" style="37"/>
    <col min="6419" max="6419" width="12" style="37" customWidth="1"/>
    <col min="6420" max="6420" width="12.77734375" style="37" customWidth="1"/>
    <col min="6421" max="6421" width="11.109375" style="37" customWidth="1"/>
    <col min="6422" max="6422" width="12" style="37" customWidth="1"/>
    <col min="6423" max="6423" width="9.6640625" style="37"/>
    <col min="6424" max="6424" width="15.33203125" style="37" customWidth="1"/>
    <col min="6425" max="6425" width="15.21875" style="37" customWidth="1"/>
    <col min="6426" max="6426" width="21.44140625" style="37" customWidth="1"/>
    <col min="6427" max="6442" width="9.6640625" style="37"/>
    <col min="6443" max="6444" width="13.44140625" style="37" customWidth="1"/>
    <col min="6445" max="6445" width="9.6640625" style="37"/>
    <col min="6446" max="6446" width="13.88671875" style="37" customWidth="1"/>
    <col min="6447" max="6447" width="10.6640625" style="37" customWidth="1"/>
    <col min="6448" max="6448" width="17.33203125" style="37" customWidth="1"/>
    <col min="6449" max="6450" width="12.6640625" style="37" customWidth="1"/>
    <col min="6451" max="6451" width="11.21875" style="37" customWidth="1"/>
    <col min="6452" max="6452" width="18.33203125" style="37" customWidth="1"/>
    <col min="6453" max="6453" width="12.88671875" style="37" customWidth="1"/>
    <col min="6454" max="6455" width="13.21875" style="37" customWidth="1"/>
    <col min="6456" max="6456" width="10.88671875" style="37" customWidth="1"/>
    <col min="6457" max="6457" width="11.109375" style="37" customWidth="1"/>
    <col min="6458" max="6458" width="15.21875" style="37" customWidth="1"/>
    <col min="6459" max="6459" width="9.6640625" style="37"/>
    <col min="6460" max="6460" width="11" style="37" customWidth="1"/>
    <col min="6461" max="6461" width="10.77734375" style="37" customWidth="1"/>
    <col min="6462" max="6462" width="11.44140625" style="37" customWidth="1"/>
    <col min="6463" max="6463" width="4" style="37" customWidth="1"/>
    <col min="6464" max="6654" width="9.6640625" style="37"/>
    <col min="6655" max="6655" width="6.44140625" style="37" customWidth="1"/>
    <col min="6656" max="6656" width="13.88671875" style="37" customWidth="1"/>
    <col min="6657" max="6657" width="11.88671875" style="37" customWidth="1"/>
    <col min="6658" max="6660" width="9.6640625" style="37"/>
    <col min="6661" max="6661" width="15.44140625" style="37" customWidth="1"/>
    <col min="6662" max="6662" width="16.21875" style="37" customWidth="1"/>
    <col min="6663" max="6674" width="9.6640625" style="37"/>
    <col min="6675" max="6675" width="12" style="37" customWidth="1"/>
    <col min="6676" max="6676" width="12.77734375" style="37" customWidth="1"/>
    <col min="6677" max="6677" width="11.109375" style="37" customWidth="1"/>
    <col min="6678" max="6678" width="12" style="37" customWidth="1"/>
    <col min="6679" max="6679" width="9.6640625" style="37"/>
    <col min="6680" max="6680" width="15.33203125" style="37" customWidth="1"/>
    <col min="6681" max="6681" width="15.21875" style="37" customWidth="1"/>
    <col min="6682" max="6682" width="21.44140625" style="37" customWidth="1"/>
    <col min="6683" max="6698" width="9.6640625" style="37"/>
    <col min="6699" max="6700" width="13.44140625" style="37" customWidth="1"/>
    <col min="6701" max="6701" width="9.6640625" style="37"/>
    <col min="6702" max="6702" width="13.88671875" style="37" customWidth="1"/>
    <col min="6703" max="6703" width="10.6640625" style="37" customWidth="1"/>
    <col min="6704" max="6704" width="17.33203125" style="37" customWidth="1"/>
    <col min="6705" max="6706" width="12.6640625" style="37" customWidth="1"/>
    <col min="6707" max="6707" width="11.21875" style="37" customWidth="1"/>
    <col min="6708" max="6708" width="18.33203125" style="37" customWidth="1"/>
    <col min="6709" max="6709" width="12.88671875" style="37" customWidth="1"/>
    <col min="6710" max="6711" width="13.21875" style="37" customWidth="1"/>
    <col min="6712" max="6712" width="10.88671875" style="37" customWidth="1"/>
    <col min="6713" max="6713" width="11.109375" style="37" customWidth="1"/>
    <col min="6714" max="6714" width="15.21875" style="37" customWidth="1"/>
    <col min="6715" max="6715" width="9.6640625" style="37"/>
    <col min="6716" max="6716" width="11" style="37" customWidth="1"/>
    <col min="6717" max="6717" width="10.77734375" style="37" customWidth="1"/>
    <col min="6718" max="6718" width="11.44140625" style="37" customWidth="1"/>
    <col min="6719" max="6719" width="4" style="37" customWidth="1"/>
    <col min="6720" max="6910" width="9.6640625" style="37"/>
    <col min="6911" max="6911" width="6.44140625" style="37" customWidth="1"/>
    <col min="6912" max="6912" width="13.88671875" style="37" customWidth="1"/>
    <col min="6913" max="6913" width="11.88671875" style="37" customWidth="1"/>
    <col min="6914" max="6916" width="9.6640625" style="37"/>
    <col min="6917" max="6917" width="15.44140625" style="37" customWidth="1"/>
    <col min="6918" max="6918" width="16.21875" style="37" customWidth="1"/>
    <col min="6919" max="6930" width="9.6640625" style="37"/>
    <col min="6931" max="6931" width="12" style="37" customWidth="1"/>
    <col min="6932" max="6932" width="12.77734375" style="37" customWidth="1"/>
    <col min="6933" max="6933" width="11.109375" style="37" customWidth="1"/>
    <col min="6934" max="6934" width="12" style="37" customWidth="1"/>
    <col min="6935" max="6935" width="9.6640625" style="37"/>
    <col min="6936" max="6936" width="15.33203125" style="37" customWidth="1"/>
    <col min="6937" max="6937" width="15.21875" style="37" customWidth="1"/>
    <col min="6938" max="6938" width="21.44140625" style="37" customWidth="1"/>
    <col min="6939" max="6954" width="9.6640625" style="37"/>
    <col min="6955" max="6956" width="13.44140625" style="37" customWidth="1"/>
    <col min="6957" max="6957" width="9.6640625" style="37"/>
    <col min="6958" max="6958" width="13.88671875" style="37" customWidth="1"/>
    <col min="6959" max="6959" width="10.6640625" style="37" customWidth="1"/>
    <col min="6960" max="6960" width="17.33203125" style="37" customWidth="1"/>
    <col min="6961" max="6962" width="12.6640625" style="37" customWidth="1"/>
    <col min="6963" max="6963" width="11.21875" style="37" customWidth="1"/>
    <col min="6964" max="6964" width="18.33203125" style="37" customWidth="1"/>
    <col min="6965" max="6965" width="12.88671875" style="37" customWidth="1"/>
    <col min="6966" max="6967" width="13.21875" style="37" customWidth="1"/>
    <col min="6968" max="6968" width="10.88671875" style="37" customWidth="1"/>
    <col min="6969" max="6969" width="11.109375" style="37" customWidth="1"/>
    <col min="6970" max="6970" width="15.21875" style="37" customWidth="1"/>
    <col min="6971" max="6971" width="9.6640625" style="37"/>
    <col min="6972" max="6972" width="11" style="37" customWidth="1"/>
    <col min="6973" max="6973" width="10.77734375" style="37" customWidth="1"/>
    <col min="6974" max="6974" width="11.44140625" style="37" customWidth="1"/>
    <col min="6975" max="6975" width="4" style="37" customWidth="1"/>
    <col min="6976" max="7166" width="9.6640625" style="37"/>
    <col min="7167" max="7167" width="6.44140625" style="37" customWidth="1"/>
    <col min="7168" max="7168" width="13.88671875" style="37" customWidth="1"/>
    <col min="7169" max="7169" width="11.88671875" style="37" customWidth="1"/>
    <col min="7170" max="7172" width="9.6640625" style="37"/>
    <col min="7173" max="7173" width="15.44140625" style="37" customWidth="1"/>
    <col min="7174" max="7174" width="16.21875" style="37" customWidth="1"/>
    <col min="7175" max="7186" width="9.6640625" style="37"/>
    <col min="7187" max="7187" width="12" style="37" customWidth="1"/>
    <col min="7188" max="7188" width="12.77734375" style="37" customWidth="1"/>
    <col min="7189" max="7189" width="11.109375" style="37" customWidth="1"/>
    <col min="7190" max="7190" width="12" style="37" customWidth="1"/>
    <col min="7191" max="7191" width="9.6640625" style="37"/>
    <col min="7192" max="7192" width="15.33203125" style="37" customWidth="1"/>
    <col min="7193" max="7193" width="15.21875" style="37" customWidth="1"/>
    <col min="7194" max="7194" width="21.44140625" style="37" customWidth="1"/>
    <col min="7195" max="7210" width="9.6640625" style="37"/>
    <col min="7211" max="7212" width="13.44140625" style="37" customWidth="1"/>
    <col min="7213" max="7213" width="9.6640625" style="37"/>
    <col min="7214" max="7214" width="13.88671875" style="37" customWidth="1"/>
    <col min="7215" max="7215" width="10.6640625" style="37" customWidth="1"/>
    <col min="7216" max="7216" width="17.33203125" style="37" customWidth="1"/>
    <col min="7217" max="7218" width="12.6640625" style="37" customWidth="1"/>
    <col min="7219" max="7219" width="11.21875" style="37" customWidth="1"/>
    <col min="7220" max="7220" width="18.33203125" style="37" customWidth="1"/>
    <col min="7221" max="7221" width="12.88671875" style="37" customWidth="1"/>
    <col min="7222" max="7223" width="13.21875" style="37" customWidth="1"/>
    <col min="7224" max="7224" width="10.88671875" style="37" customWidth="1"/>
    <col min="7225" max="7225" width="11.109375" style="37" customWidth="1"/>
    <col min="7226" max="7226" width="15.21875" style="37" customWidth="1"/>
    <col min="7227" max="7227" width="9.6640625" style="37"/>
    <col min="7228" max="7228" width="11" style="37" customWidth="1"/>
    <col min="7229" max="7229" width="10.77734375" style="37" customWidth="1"/>
    <col min="7230" max="7230" width="11.44140625" style="37" customWidth="1"/>
    <col min="7231" max="7231" width="4" style="37" customWidth="1"/>
    <col min="7232" max="7422" width="9.6640625" style="37"/>
    <col min="7423" max="7423" width="6.44140625" style="37" customWidth="1"/>
    <col min="7424" max="7424" width="13.88671875" style="37" customWidth="1"/>
    <col min="7425" max="7425" width="11.88671875" style="37" customWidth="1"/>
    <col min="7426" max="7428" width="9.6640625" style="37"/>
    <col min="7429" max="7429" width="15.44140625" style="37" customWidth="1"/>
    <col min="7430" max="7430" width="16.21875" style="37" customWidth="1"/>
    <col min="7431" max="7442" width="9.6640625" style="37"/>
    <col min="7443" max="7443" width="12" style="37" customWidth="1"/>
    <col min="7444" max="7444" width="12.77734375" style="37" customWidth="1"/>
    <col min="7445" max="7445" width="11.109375" style="37" customWidth="1"/>
    <col min="7446" max="7446" width="12" style="37" customWidth="1"/>
    <col min="7447" max="7447" width="9.6640625" style="37"/>
    <col min="7448" max="7448" width="15.33203125" style="37" customWidth="1"/>
    <col min="7449" max="7449" width="15.21875" style="37" customWidth="1"/>
    <col min="7450" max="7450" width="21.44140625" style="37" customWidth="1"/>
    <col min="7451" max="7466" width="9.6640625" style="37"/>
    <col min="7467" max="7468" width="13.44140625" style="37" customWidth="1"/>
    <col min="7469" max="7469" width="9.6640625" style="37"/>
    <col min="7470" max="7470" width="13.88671875" style="37" customWidth="1"/>
    <col min="7471" max="7471" width="10.6640625" style="37" customWidth="1"/>
    <col min="7472" max="7472" width="17.33203125" style="37" customWidth="1"/>
    <col min="7473" max="7474" width="12.6640625" style="37" customWidth="1"/>
    <col min="7475" max="7475" width="11.21875" style="37" customWidth="1"/>
    <col min="7476" max="7476" width="18.33203125" style="37" customWidth="1"/>
    <col min="7477" max="7477" width="12.88671875" style="37" customWidth="1"/>
    <col min="7478" max="7479" width="13.21875" style="37" customWidth="1"/>
    <col min="7480" max="7480" width="10.88671875" style="37" customWidth="1"/>
    <col min="7481" max="7481" width="11.109375" style="37" customWidth="1"/>
    <col min="7482" max="7482" width="15.21875" style="37" customWidth="1"/>
    <col min="7483" max="7483" width="9.6640625" style="37"/>
    <col min="7484" max="7484" width="11" style="37" customWidth="1"/>
    <col min="7485" max="7485" width="10.77734375" style="37" customWidth="1"/>
    <col min="7486" max="7486" width="11.44140625" style="37" customWidth="1"/>
    <col min="7487" max="7487" width="4" style="37" customWidth="1"/>
    <col min="7488" max="7678" width="9.6640625" style="37"/>
    <col min="7679" max="7679" width="6.44140625" style="37" customWidth="1"/>
    <col min="7680" max="7680" width="13.88671875" style="37" customWidth="1"/>
    <col min="7681" max="7681" width="11.88671875" style="37" customWidth="1"/>
    <col min="7682" max="7684" width="9.6640625" style="37"/>
    <col min="7685" max="7685" width="15.44140625" style="37" customWidth="1"/>
    <col min="7686" max="7686" width="16.21875" style="37" customWidth="1"/>
    <col min="7687" max="7698" width="9.6640625" style="37"/>
    <col min="7699" max="7699" width="12" style="37" customWidth="1"/>
    <col min="7700" max="7700" width="12.77734375" style="37" customWidth="1"/>
    <col min="7701" max="7701" width="11.109375" style="37" customWidth="1"/>
    <col min="7702" max="7702" width="12" style="37" customWidth="1"/>
    <col min="7703" max="7703" width="9.6640625" style="37"/>
    <col min="7704" max="7704" width="15.33203125" style="37" customWidth="1"/>
    <col min="7705" max="7705" width="15.21875" style="37" customWidth="1"/>
    <col min="7706" max="7706" width="21.44140625" style="37" customWidth="1"/>
    <col min="7707" max="7722" width="9.6640625" style="37"/>
    <col min="7723" max="7724" width="13.44140625" style="37" customWidth="1"/>
    <col min="7725" max="7725" width="9.6640625" style="37"/>
    <col min="7726" max="7726" width="13.88671875" style="37" customWidth="1"/>
    <col min="7727" max="7727" width="10.6640625" style="37" customWidth="1"/>
    <col min="7728" max="7728" width="17.33203125" style="37" customWidth="1"/>
    <col min="7729" max="7730" width="12.6640625" style="37" customWidth="1"/>
    <col min="7731" max="7731" width="11.21875" style="37" customWidth="1"/>
    <col min="7732" max="7732" width="18.33203125" style="37" customWidth="1"/>
    <col min="7733" max="7733" width="12.88671875" style="37" customWidth="1"/>
    <col min="7734" max="7735" width="13.21875" style="37" customWidth="1"/>
    <col min="7736" max="7736" width="10.88671875" style="37" customWidth="1"/>
    <col min="7737" max="7737" width="11.109375" style="37" customWidth="1"/>
    <col min="7738" max="7738" width="15.21875" style="37" customWidth="1"/>
    <col min="7739" max="7739" width="9.6640625" style="37"/>
    <col min="7740" max="7740" width="11" style="37" customWidth="1"/>
    <col min="7741" max="7741" width="10.77734375" style="37" customWidth="1"/>
    <col min="7742" max="7742" width="11.44140625" style="37" customWidth="1"/>
    <col min="7743" max="7743" width="4" style="37" customWidth="1"/>
    <col min="7744" max="7934" width="9.6640625" style="37"/>
    <col min="7935" max="7935" width="6.44140625" style="37" customWidth="1"/>
    <col min="7936" max="7936" width="13.88671875" style="37" customWidth="1"/>
    <col min="7937" max="7937" width="11.88671875" style="37" customWidth="1"/>
    <col min="7938" max="7940" width="9.6640625" style="37"/>
    <col min="7941" max="7941" width="15.44140625" style="37" customWidth="1"/>
    <col min="7942" max="7942" width="16.21875" style="37" customWidth="1"/>
    <col min="7943" max="7954" width="9.6640625" style="37"/>
    <col min="7955" max="7955" width="12" style="37" customWidth="1"/>
    <col min="7956" max="7956" width="12.77734375" style="37" customWidth="1"/>
    <col min="7957" max="7957" width="11.109375" style="37" customWidth="1"/>
    <col min="7958" max="7958" width="12" style="37" customWidth="1"/>
    <col min="7959" max="7959" width="9.6640625" style="37"/>
    <col min="7960" max="7960" width="15.33203125" style="37" customWidth="1"/>
    <col min="7961" max="7961" width="15.21875" style="37" customWidth="1"/>
    <col min="7962" max="7962" width="21.44140625" style="37" customWidth="1"/>
    <col min="7963" max="7978" width="9.6640625" style="37"/>
    <col min="7979" max="7980" width="13.44140625" style="37" customWidth="1"/>
    <col min="7981" max="7981" width="9.6640625" style="37"/>
    <col min="7982" max="7982" width="13.88671875" style="37" customWidth="1"/>
    <col min="7983" max="7983" width="10.6640625" style="37" customWidth="1"/>
    <col min="7984" max="7984" width="17.33203125" style="37" customWidth="1"/>
    <col min="7985" max="7986" width="12.6640625" style="37" customWidth="1"/>
    <col min="7987" max="7987" width="11.21875" style="37" customWidth="1"/>
    <col min="7988" max="7988" width="18.33203125" style="37" customWidth="1"/>
    <col min="7989" max="7989" width="12.88671875" style="37" customWidth="1"/>
    <col min="7990" max="7991" width="13.21875" style="37" customWidth="1"/>
    <col min="7992" max="7992" width="10.88671875" style="37" customWidth="1"/>
    <col min="7993" max="7993" width="11.109375" style="37" customWidth="1"/>
    <col min="7994" max="7994" width="15.21875" style="37" customWidth="1"/>
    <col min="7995" max="7995" width="9.6640625" style="37"/>
    <col min="7996" max="7996" width="11" style="37" customWidth="1"/>
    <col min="7997" max="7997" width="10.77734375" style="37" customWidth="1"/>
    <col min="7998" max="7998" width="11.44140625" style="37" customWidth="1"/>
    <col min="7999" max="7999" width="4" style="37" customWidth="1"/>
    <col min="8000" max="8190" width="9.6640625" style="37"/>
    <col min="8191" max="8191" width="6.44140625" style="37" customWidth="1"/>
    <col min="8192" max="8192" width="13.88671875" style="37" customWidth="1"/>
    <col min="8193" max="8193" width="11.88671875" style="37" customWidth="1"/>
    <col min="8194" max="8196" width="9.6640625" style="37"/>
    <col min="8197" max="8197" width="15.44140625" style="37" customWidth="1"/>
    <col min="8198" max="8198" width="16.21875" style="37" customWidth="1"/>
    <col min="8199" max="8210" width="9.6640625" style="37"/>
    <col min="8211" max="8211" width="12" style="37" customWidth="1"/>
    <col min="8212" max="8212" width="12.77734375" style="37" customWidth="1"/>
    <col min="8213" max="8213" width="11.109375" style="37" customWidth="1"/>
    <col min="8214" max="8214" width="12" style="37" customWidth="1"/>
    <col min="8215" max="8215" width="9.6640625" style="37"/>
    <col min="8216" max="8216" width="15.33203125" style="37" customWidth="1"/>
    <col min="8217" max="8217" width="15.21875" style="37" customWidth="1"/>
    <col min="8218" max="8218" width="21.44140625" style="37" customWidth="1"/>
    <col min="8219" max="8234" width="9.6640625" style="37"/>
    <col min="8235" max="8236" width="13.44140625" style="37" customWidth="1"/>
    <col min="8237" max="8237" width="9.6640625" style="37"/>
    <col min="8238" max="8238" width="13.88671875" style="37" customWidth="1"/>
    <col min="8239" max="8239" width="10.6640625" style="37" customWidth="1"/>
    <col min="8240" max="8240" width="17.33203125" style="37" customWidth="1"/>
    <col min="8241" max="8242" width="12.6640625" style="37" customWidth="1"/>
    <col min="8243" max="8243" width="11.21875" style="37" customWidth="1"/>
    <col min="8244" max="8244" width="18.33203125" style="37" customWidth="1"/>
    <col min="8245" max="8245" width="12.88671875" style="37" customWidth="1"/>
    <col min="8246" max="8247" width="13.21875" style="37" customWidth="1"/>
    <col min="8248" max="8248" width="10.88671875" style="37" customWidth="1"/>
    <col min="8249" max="8249" width="11.109375" style="37" customWidth="1"/>
    <col min="8250" max="8250" width="15.21875" style="37" customWidth="1"/>
    <col min="8251" max="8251" width="9.6640625" style="37"/>
    <col min="8252" max="8252" width="11" style="37" customWidth="1"/>
    <col min="8253" max="8253" width="10.77734375" style="37" customWidth="1"/>
    <col min="8254" max="8254" width="11.44140625" style="37" customWidth="1"/>
    <col min="8255" max="8255" width="4" style="37" customWidth="1"/>
    <col min="8256" max="8446" width="9.6640625" style="37"/>
    <col min="8447" max="8447" width="6.44140625" style="37" customWidth="1"/>
    <col min="8448" max="8448" width="13.88671875" style="37" customWidth="1"/>
    <col min="8449" max="8449" width="11.88671875" style="37" customWidth="1"/>
    <col min="8450" max="8452" width="9.6640625" style="37"/>
    <col min="8453" max="8453" width="15.44140625" style="37" customWidth="1"/>
    <col min="8454" max="8454" width="16.21875" style="37" customWidth="1"/>
    <col min="8455" max="8466" width="9.6640625" style="37"/>
    <col min="8467" max="8467" width="12" style="37" customWidth="1"/>
    <col min="8468" max="8468" width="12.77734375" style="37" customWidth="1"/>
    <col min="8469" max="8469" width="11.109375" style="37" customWidth="1"/>
    <col min="8470" max="8470" width="12" style="37" customWidth="1"/>
    <col min="8471" max="8471" width="9.6640625" style="37"/>
    <col min="8472" max="8472" width="15.33203125" style="37" customWidth="1"/>
    <col min="8473" max="8473" width="15.21875" style="37" customWidth="1"/>
    <col min="8474" max="8474" width="21.44140625" style="37" customWidth="1"/>
    <col min="8475" max="8490" width="9.6640625" style="37"/>
    <col min="8491" max="8492" width="13.44140625" style="37" customWidth="1"/>
    <col min="8493" max="8493" width="9.6640625" style="37"/>
    <col min="8494" max="8494" width="13.88671875" style="37" customWidth="1"/>
    <col min="8495" max="8495" width="10.6640625" style="37" customWidth="1"/>
    <col min="8496" max="8496" width="17.33203125" style="37" customWidth="1"/>
    <col min="8497" max="8498" width="12.6640625" style="37" customWidth="1"/>
    <col min="8499" max="8499" width="11.21875" style="37" customWidth="1"/>
    <col min="8500" max="8500" width="18.33203125" style="37" customWidth="1"/>
    <col min="8501" max="8501" width="12.88671875" style="37" customWidth="1"/>
    <col min="8502" max="8503" width="13.21875" style="37" customWidth="1"/>
    <col min="8504" max="8504" width="10.88671875" style="37" customWidth="1"/>
    <col min="8505" max="8505" width="11.109375" style="37" customWidth="1"/>
    <col min="8506" max="8506" width="15.21875" style="37" customWidth="1"/>
    <col min="8507" max="8507" width="9.6640625" style="37"/>
    <col min="8508" max="8508" width="11" style="37" customWidth="1"/>
    <col min="8509" max="8509" width="10.77734375" style="37" customWidth="1"/>
    <col min="8510" max="8510" width="11.44140625" style="37" customWidth="1"/>
    <col min="8511" max="8511" width="4" style="37" customWidth="1"/>
    <col min="8512" max="8702" width="9.6640625" style="37"/>
    <col min="8703" max="8703" width="6.44140625" style="37" customWidth="1"/>
    <col min="8704" max="8704" width="13.88671875" style="37" customWidth="1"/>
    <col min="8705" max="8705" width="11.88671875" style="37" customWidth="1"/>
    <col min="8706" max="8708" width="9.6640625" style="37"/>
    <col min="8709" max="8709" width="15.44140625" style="37" customWidth="1"/>
    <col min="8710" max="8710" width="16.21875" style="37" customWidth="1"/>
    <col min="8711" max="8722" width="9.6640625" style="37"/>
    <col min="8723" max="8723" width="12" style="37" customWidth="1"/>
    <col min="8724" max="8724" width="12.77734375" style="37" customWidth="1"/>
    <col min="8725" max="8725" width="11.109375" style="37" customWidth="1"/>
    <col min="8726" max="8726" width="12" style="37" customWidth="1"/>
    <col min="8727" max="8727" width="9.6640625" style="37"/>
    <col min="8728" max="8728" width="15.33203125" style="37" customWidth="1"/>
    <col min="8729" max="8729" width="15.21875" style="37" customWidth="1"/>
    <col min="8730" max="8730" width="21.44140625" style="37" customWidth="1"/>
    <col min="8731" max="8746" width="9.6640625" style="37"/>
    <col min="8747" max="8748" width="13.44140625" style="37" customWidth="1"/>
    <col min="8749" max="8749" width="9.6640625" style="37"/>
    <col min="8750" max="8750" width="13.88671875" style="37" customWidth="1"/>
    <col min="8751" max="8751" width="10.6640625" style="37" customWidth="1"/>
    <col min="8752" max="8752" width="17.33203125" style="37" customWidth="1"/>
    <col min="8753" max="8754" width="12.6640625" style="37" customWidth="1"/>
    <col min="8755" max="8755" width="11.21875" style="37" customWidth="1"/>
    <col min="8756" max="8756" width="18.33203125" style="37" customWidth="1"/>
    <col min="8757" max="8757" width="12.88671875" style="37" customWidth="1"/>
    <col min="8758" max="8759" width="13.21875" style="37" customWidth="1"/>
    <col min="8760" max="8760" width="10.88671875" style="37" customWidth="1"/>
    <col min="8761" max="8761" width="11.109375" style="37" customWidth="1"/>
    <col min="8762" max="8762" width="15.21875" style="37" customWidth="1"/>
    <col min="8763" max="8763" width="9.6640625" style="37"/>
    <col min="8764" max="8764" width="11" style="37" customWidth="1"/>
    <col min="8765" max="8765" width="10.77734375" style="37" customWidth="1"/>
    <col min="8766" max="8766" width="11.44140625" style="37" customWidth="1"/>
    <col min="8767" max="8767" width="4" style="37" customWidth="1"/>
    <col min="8768" max="8958" width="9.6640625" style="37"/>
    <col min="8959" max="8959" width="6.44140625" style="37" customWidth="1"/>
    <col min="8960" max="8960" width="13.88671875" style="37" customWidth="1"/>
    <col min="8961" max="8961" width="11.88671875" style="37" customWidth="1"/>
    <col min="8962" max="8964" width="9.6640625" style="37"/>
    <col min="8965" max="8965" width="15.44140625" style="37" customWidth="1"/>
    <col min="8966" max="8966" width="16.21875" style="37" customWidth="1"/>
    <col min="8967" max="8978" width="9.6640625" style="37"/>
    <col min="8979" max="8979" width="12" style="37" customWidth="1"/>
    <col min="8980" max="8980" width="12.77734375" style="37" customWidth="1"/>
    <col min="8981" max="8981" width="11.109375" style="37" customWidth="1"/>
    <col min="8982" max="8982" width="12" style="37" customWidth="1"/>
    <col min="8983" max="8983" width="9.6640625" style="37"/>
    <col min="8984" max="8984" width="15.33203125" style="37" customWidth="1"/>
    <col min="8985" max="8985" width="15.21875" style="37" customWidth="1"/>
    <col min="8986" max="8986" width="21.44140625" style="37" customWidth="1"/>
    <col min="8987" max="9002" width="9.6640625" style="37"/>
    <col min="9003" max="9004" width="13.44140625" style="37" customWidth="1"/>
    <col min="9005" max="9005" width="9.6640625" style="37"/>
    <col min="9006" max="9006" width="13.88671875" style="37" customWidth="1"/>
    <col min="9007" max="9007" width="10.6640625" style="37" customWidth="1"/>
    <col min="9008" max="9008" width="17.33203125" style="37" customWidth="1"/>
    <col min="9009" max="9010" width="12.6640625" style="37" customWidth="1"/>
    <col min="9011" max="9011" width="11.21875" style="37" customWidth="1"/>
    <col min="9012" max="9012" width="18.33203125" style="37" customWidth="1"/>
    <col min="9013" max="9013" width="12.88671875" style="37" customWidth="1"/>
    <col min="9014" max="9015" width="13.21875" style="37" customWidth="1"/>
    <col min="9016" max="9016" width="10.88671875" style="37" customWidth="1"/>
    <col min="9017" max="9017" width="11.109375" style="37" customWidth="1"/>
    <col min="9018" max="9018" width="15.21875" style="37" customWidth="1"/>
    <col min="9019" max="9019" width="9.6640625" style="37"/>
    <col min="9020" max="9020" width="11" style="37" customWidth="1"/>
    <col min="9021" max="9021" width="10.77734375" style="37" customWidth="1"/>
    <col min="9022" max="9022" width="11.44140625" style="37" customWidth="1"/>
    <col min="9023" max="9023" width="4" style="37" customWidth="1"/>
    <col min="9024" max="9214" width="9.6640625" style="37"/>
    <col min="9215" max="9215" width="6.44140625" style="37" customWidth="1"/>
    <col min="9216" max="9216" width="13.88671875" style="37" customWidth="1"/>
    <col min="9217" max="9217" width="11.88671875" style="37" customWidth="1"/>
    <col min="9218" max="9220" width="9.6640625" style="37"/>
    <col min="9221" max="9221" width="15.44140625" style="37" customWidth="1"/>
    <col min="9222" max="9222" width="16.21875" style="37" customWidth="1"/>
    <col min="9223" max="9234" width="9.6640625" style="37"/>
    <col min="9235" max="9235" width="12" style="37" customWidth="1"/>
    <col min="9236" max="9236" width="12.77734375" style="37" customWidth="1"/>
    <col min="9237" max="9237" width="11.109375" style="37" customWidth="1"/>
    <col min="9238" max="9238" width="12" style="37" customWidth="1"/>
    <col min="9239" max="9239" width="9.6640625" style="37"/>
    <col min="9240" max="9240" width="15.33203125" style="37" customWidth="1"/>
    <col min="9241" max="9241" width="15.21875" style="37" customWidth="1"/>
    <col min="9242" max="9242" width="21.44140625" style="37" customWidth="1"/>
    <col min="9243" max="9258" width="9.6640625" style="37"/>
    <col min="9259" max="9260" width="13.44140625" style="37" customWidth="1"/>
    <col min="9261" max="9261" width="9.6640625" style="37"/>
    <col min="9262" max="9262" width="13.88671875" style="37" customWidth="1"/>
    <col min="9263" max="9263" width="10.6640625" style="37" customWidth="1"/>
    <col min="9264" max="9264" width="17.33203125" style="37" customWidth="1"/>
    <col min="9265" max="9266" width="12.6640625" style="37" customWidth="1"/>
    <col min="9267" max="9267" width="11.21875" style="37" customWidth="1"/>
    <col min="9268" max="9268" width="18.33203125" style="37" customWidth="1"/>
    <col min="9269" max="9269" width="12.88671875" style="37" customWidth="1"/>
    <col min="9270" max="9271" width="13.21875" style="37" customWidth="1"/>
    <col min="9272" max="9272" width="10.88671875" style="37" customWidth="1"/>
    <col min="9273" max="9273" width="11.109375" style="37" customWidth="1"/>
    <col min="9274" max="9274" width="15.21875" style="37" customWidth="1"/>
    <col min="9275" max="9275" width="9.6640625" style="37"/>
    <col min="9276" max="9276" width="11" style="37" customWidth="1"/>
    <col min="9277" max="9277" width="10.77734375" style="37" customWidth="1"/>
    <col min="9278" max="9278" width="11.44140625" style="37" customWidth="1"/>
    <col min="9279" max="9279" width="4" style="37" customWidth="1"/>
    <col min="9280" max="9470" width="9.6640625" style="37"/>
    <col min="9471" max="9471" width="6.44140625" style="37" customWidth="1"/>
    <col min="9472" max="9472" width="13.88671875" style="37" customWidth="1"/>
    <col min="9473" max="9473" width="11.88671875" style="37" customWidth="1"/>
    <col min="9474" max="9476" width="9.6640625" style="37"/>
    <col min="9477" max="9477" width="15.44140625" style="37" customWidth="1"/>
    <col min="9478" max="9478" width="16.21875" style="37" customWidth="1"/>
    <col min="9479" max="9490" width="9.6640625" style="37"/>
    <col min="9491" max="9491" width="12" style="37" customWidth="1"/>
    <col min="9492" max="9492" width="12.77734375" style="37" customWidth="1"/>
    <col min="9493" max="9493" width="11.109375" style="37" customWidth="1"/>
    <col min="9494" max="9494" width="12" style="37" customWidth="1"/>
    <col min="9495" max="9495" width="9.6640625" style="37"/>
    <col min="9496" max="9496" width="15.33203125" style="37" customWidth="1"/>
    <col min="9497" max="9497" width="15.21875" style="37" customWidth="1"/>
    <col min="9498" max="9498" width="21.44140625" style="37" customWidth="1"/>
    <col min="9499" max="9514" width="9.6640625" style="37"/>
    <col min="9515" max="9516" width="13.44140625" style="37" customWidth="1"/>
    <col min="9517" max="9517" width="9.6640625" style="37"/>
    <col min="9518" max="9518" width="13.88671875" style="37" customWidth="1"/>
    <col min="9519" max="9519" width="10.6640625" style="37" customWidth="1"/>
    <col min="9520" max="9520" width="17.33203125" style="37" customWidth="1"/>
    <col min="9521" max="9522" width="12.6640625" style="37" customWidth="1"/>
    <col min="9523" max="9523" width="11.21875" style="37" customWidth="1"/>
    <col min="9524" max="9524" width="18.33203125" style="37" customWidth="1"/>
    <col min="9525" max="9525" width="12.88671875" style="37" customWidth="1"/>
    <col min="9526" max="9527" width="13.21875" style="37" customWidth="1"/>
    <col min="9528" max="9528" width="10.88671875" style="37" customWidth="1"/>
    <col min="9529" max="9529" width="11.109375" style="37" customWidth="1"/>
    <col min="9530" max="9530" width="15.21875" style="37" customWidth="1"/>
    <col min="9531" max="9531" width="9.6640625" style="37"/>
    <col min="9532" max="9532" width="11" style="37" customWidth="1"/>
    <col min="9533" max="9533" width="10.77734375" style="37" customWidth="1"/>
    <col min="9534" max="9534" width="11.44140625" style="37" customWidth="1"/>
    <col min="9535" max="9535" width="4" style="37" customWidth="1"/>
    <col min="9536" max="9726" width="9.6640625" style="37"/>
    <col min="9727" max="9727" width="6.44140625" style="37" customWidth="1"/>
    <col min="9728" max="9728" width="13.88671875" style="37" customWidth="1"/>
    <col min="9729" max="9729" width="11.88671875" style="37" customWidth="1"/>
    <col min="9730" max="9732" width="9.6640625" style="37"/>
    <col min="9733" max="9733" width="15.44140625" style="37" customWidth="1"/>
    <col min="9734" max="9734" width="16.21875" style="37" customWidth="1"/>
    <col min="9735" max="9746" width="9.6640625" style="37"/>
    <col min="9747" max="9747" width="12" style="37" customWidth="1"/>
    <col min="9748" max="9748" width="12.77734375" style="37" customWidth="1"/>
    <col min="9749" max="9749" width="11.109375" style="37" customWidth="1"/>
    <col min="9750" max="9750" width="12" style="37" customWidth="1"/>
    <col min="9751" max="9751" width="9.6640625" style="37"/>
    <col min="9752" max="9752" width="15.33203125" style="37" customWidth="1"/>
    <col min="9753" max="9753" width="15.21875" style="37" customWidth="1"/>
    <col min="9754" max="9754" width="21.44140625" style="37" customWidth="1"/>
    <col min="9755" max="9770" width="9.6640625" style="37"/>
    <col min="9771" max="9772" width="13.44140625" style="37" customWidth="1"/>
    <col min="9773" max="9773" width="9.6640625" style="37"/>
    <col min="9774" max="9774" width="13.88671875" style="37" customWidth="1"/>
    <col min="9775" max="9775" width="10.6640625" style="37" customWidth="1"/>
    <col min="9776" max="9776" width="17.33203125" style="37" customWidth="1"/>
    <col min="9777" max="9778" width="12.6640625" style="37" customWidth="1"/>
    <col min="9779" max="9779" width="11.21875" style="37" customWidth="1"/>
    <col min="9780" max="9780" width="18.33203125" style="37" customWidth="1"/>
    <col min="9781" max="9781" width="12.88671875" style="37" customWidth="1"/>
    <col min="9782" max="9783" width="13.21875" style="37" customWidth="1"/>
    <col min="9784" max="9784" width="10.88671875" style="37" customWidth="1"/>
    <col min="9785" max="9785" width="11.109375" style="37" customWidth="1"/>
    <col min="9786" max="9786" width="15.21875" style="37" customWidth="1"/>
    <col min="9787" max="9787" width="9.6640625" style="37"/>
    <col min="9788" max="9788" width="11" style="37" customWidth="1"/>
    <col min="9789" max="9789" width="10.77734375" style="37" customWidth="1"/>
    <col min="9790" max="9790" width="11.44140625" style="37" customWidth="1"/>
    <col min="9791" max="9791" width="4" style="37" customWidth="1"/>
    <col min="9792" max="9982" width="9.6640625" style="37"/>
    <col min="9983" max="9983" width="6.44140625" style="37" customWidth="1"/>
    <col min="9984" max="9984" width="13.88671875" style="37" customWidth="1"/>
    <col min="9985" max="9985" width="11.88671875" style="37" customWidth="1"/>
    <col min="9986" max="9988" width="9.6640625" style="37"/>
    <col min="9989" max="9989" width="15.44140625" style="37" customWidth="1"/>
    <col min="9990" max="9990" width="16.21875" style="37" customWidth="1"/>
    <col min="9991" max="10002" width="9.6640625" style="37"/>
    <col min="10003" max="10003" width="12" style="37" customWidth="1"/>
    <col min="10004" max="10004" width="12.77734375" style="37" customWidth="1"/>
    <col min="10005" max="10005" width="11.109375" style="37" customWidth="1"/>
    <col min="10006" max="10006" width="12" style="37" customWidth="1"/>
    <col min="10007" max="10007" width="9.6640625" style="37"/>
    <col min="10008" max="10008" width="15.33203125" style="37" customWidth="1"/>
    <col min="10009" max="10009" width="15.21875" style="37" customWidth="1"/>
    <col min="10010" max="10010" width="21.44140625" style="37" customWidth="1"/>
    <col min="10011" max="10026" width="9.6640625" style="37"/>
    <col min="10027" max="10028" width="13.44140625" style="37" customWidth="1"/>
    <col min="10029" max="10029" width="9.6640625" style="37"/>
    <col min="10030" max="10030" width="13.88671875" style="37" customWidth="1"/>
    <col min="10031" max="10031" width="10.6640625" style="37" customWidth="1"/>
    <col min="10032" max="10032" width="17.33203125" style="37" customWidth="1"/>
    <col min="10033" max="10034" width="12.6640625" style="37" customWidth="1"/>
    <col min="10035" max="10035" width="11.21875" style="37" customWidth="1"/>
    <col min="10036" max="10036" width="18.33203125" style="37" customWidth="1"/>
    <col min="10037" max="10037" width="12.88671875" style="37" customWidth="1"/>
    <col min="10038" max="10039" width="13.21875" style="37" customWidth="1"/>
    <col min="10040" max="10040" width="10.88671875" style="37" customWidth="1"/>
    <col min="10041" max="10041" width="11.109375" style="37" customWidth="1"/>
    <col min="10042" max="10042" width="15.21875" style="37" customWidth="1"/>
    <col min="10043" max="10043" width="9.6640625" style="37"/>
    <col min="10044" max="10044" width="11" style="37" customWidth="1"/>
    <col min="10045" max="10045" width="10.77734375" style="37" customWidth="1"/>
    <col min="10046" max="10046" width="11.44140625" style="37" customWidth="1"/>
    <col min="10047" max="10047" width="4" style="37" customWidth="1"/>
    <col min="10048" max="10238" width="9.6640625" style="37"/>
    <col min="10239" max="10239" width="6.44140625" style="37" customWidth="1"/>
    <col min="10240" max="10240" width="13.88671875" style="37" customWidth="1"/>
    <col min="10241" max="10241" width="11.88671875" style="37" customWidth="1"/>
    <col min="10242" max="10244" width="9.6640625" style="37"/>
    <col min="10245" max="10245" width="15.44140625" style="37" customWidth="1"/>
    <col min="10246" max="10246" width="16.21875" style="37" customWidth="1"/>
    <col min="10247" max="10258" width="9.6640625" style="37"/>
    <col min="10259" max="10259" width="12" style="37" customWidth="1"/>
    <col min="10260" max="10260" width="12.77734375" style="37" customWidth="1"/>
    <col min="10261" max="10261" width="11.109375" style="37" customWidth="1"/>
    <col min="10262" max="10262" width="12" style="37" customWidth="1"/>
    <col min="10263" max="10263" width="9.6640625" style="37"/>
    <col min="10264" max="10264" width="15.33203125" style="37" customWidth="1"/>
    <col min="10265" max="10265" width="15.21875" style="37" customWidth="1"/>
    <col min="10266" max="10266" width="21.44140625" style="37" customWidth="1"/>
    <col min="10267" max="10282" width="9.6640625" style="37"/>
    <col min="10283" max="10284" width="13.44140625" style="37" customWidth="1"/>
    <col min="10285" max="10285" width="9.6640625" style="37"/>
    <col min="10286" max="10286" width="13.88671875" style="37" customWidth="1"/>
    <col min="10287" max="10287" width="10.6640625" style="37" customWidth="1"/>
    <col min="10288" max="10288" width="17.33203125" style="37" customWidth="1"/>
    <col min="10289" max="10290" width="12.6640625" style="37" customWidth="1"/>
    <col min="10291" max="10291" width="11.21875" style="37" customWidth="1"/>
    <col min="10292" max="10292" width="18.33203125" style="37" customWidth="1"/>
    <col min="10293" max="10293" width="12.88671875" style="37" customWidth="1"/>
    <col min="10294" max="10295" width="13.21875" style="37" customWidth="1"/>
    <col min="10296" max="10296" width="10.88671875" style="37" customWidth="1"/>
    <col min="10297" max="10297" width="11.109375" style="37" customWidth="1"/>
    <col min="10298" max="10298" width="15.21875" style="37" customWidth="1"/>
    <col min="10299" max="10299" width="9.6640625" style="37"/>
    <col min="10300" max="10300" width="11" style="37" customWidth="1"/>
    <col min="10301" max="10301" width="10.77734375" style="37" customWidth="1"/>
    <col min="10302" max="10302" width="11.44140625" style="37" customWidth="1"/>
    <col min="10303" max="10303" width="4" style="37" customWidth="1"/>
    <col min="10304" max="10494" width="9.6640625" style="37"/>
    <col min="10495" max="10495" width="6.44140625" style="37" customWidth="1"/>
    <col min="10496" max="10496" width="13.88671875" style="37" customWidth="1"/>
    <col min="10497" max="10497" width="11.88671875" style="37" customWidth="1"/>
    <col min="10498" max="10500" width="9.6640625" style="37"/>
    <col min="10501" max="10501" width="15.44140625" style="37" customWidth="1"/>
    <col min="10502" max="10502" width="16.21875" style="37" customWidth="1"/>
    <col min="10503" max="10514" width="9.6640625" style="37"/>
    <col min="10515" max="10515" width="12" style="37" customWidth="1"/>
    <col min="10516" max="10516" width="12.77734375" style="37" customWidth="1"/>
    <col min="10517" max="10517" width="11.109375" style="37" customWidth="1"/>
    <col min="10518" max="10518" width="12" style="37" customWidth="1"/>
    <col min="10519" max="10519" width="9.6640625" style="37"/>
    <col min="10520" max="10520" width="15.33203125" style="37" customWidth="1"/>
    <col min="10521" max="10521" width="15.21875" style="37" customWidth="1"/>
    <col min="10522" max="10522" width="21.44140625" style="37" customWidth="1"/>
    <col min="10523" max="10538" width="9.6640625" style="37"/>
    <col min="10539" max="10540" width="13.44140625" style="37" customWidth="1"/>
    <col min="10541" max="10541" width="9.6640625" style="37"/>
    <col min="10542" max="10542" width="13.88671875" style="37" customWidth="1"/>
    <col min="10543" max="10543" width="10.6640625" style="37" customWidth="1"/>
    <col min="10544" max="10544" width="17.33203125" style="37" customWidth="1"/>
    <col min="10545" max="10546" width="12.6640625" style="37" customWidth="1"/>
    <col min="10547" max="10547" width="11.21875" style="37" customWidth="1"/>
    <col min="10548" max="10548" width="18.33203125" style="37" customWidth="1"/>
    <col min="10549" max="10549" width="12.88671875" style="37" customWidth="1"/>
    <col min="10550" max="10551" width="13.21875" style="37" customWidth="1"/>
    <col min="10552" max="10552" width="10.88671875" style="37" customWidth="1"/>
    <col min="10553" max="10553" width="11.109375" style="37" customWidth="1"/>
    <col min="10554" max="10554" width="15.21875" style="37" customWidth="1"/>
    <col min="10555" max="10555" width="9.6640625" style="37"/>
    <col min="10556" max="10556" width="11" style="37" customWidth="1"/>
    <col min="10557" max="10557" width="10.77734375" style="37" customWidth="1"/>
    <col min="10558" max="10558" width="11.44140625" style="37" customWidth="1"/>
    <col min="10559" max="10559" width="4" style="37" customWidth="1"/>
    <col min="10560" max="10750" width="9.6640625" style="37"/>
    <col min="10751" max="10751" width="6.44140625" style="37" customWidth="1"/>
    <col min="10752" max="10752" width="13.88671875" style="37" customWidth="1"/>
    <col min="10753" max="10753" width="11.88671875" style="37" customWidth="1"/>
    <col min="10754" max="10756" width="9.6640625" style="37"/>
    <col min="10757" max="10757" width="15.44140625" style="37" customWidth="1"/>
    <col min="10758" max="10758" width="16.21875" style="37" customWidth="1"/>
    <col min="10759" max="10770" width="9.6640625" style="37"/>
    <col min="10771" max="10771" width="12" style="37" customWidth="1"/>
    <col min="10772" max="10772" width="12.77734375" style="37" customWidth="1"/>
    <col min="10773" max="10773" width="11.109375" style="37" customWidth="1"/>
    <col min="10774" max="10774" width="12" style="37" customWidth="1"/>
    <col min="10775" max="10775" width="9.6640625" style="37"/>
    <col min="10776" max="10776" width="15.33203125" style="37" customWidth="1"/>
    <col min="10777" max="10777" width="15.21875" style="37" customWidth="1"/>
    <col min="10778" max="10778" width="21.44140625" style="37" customWidth="1"/>
    <col min="10779" max="10794" width="9.6640625" style="37"/>
    <col min="10795" max="10796" width="13.44140625" style="37" customWidth="1"/>
    <col min="10797" max="10797" width="9.6640625" style="37"/>
    <col min="10798" max="10798" width="13.88671875" style="37" customWidth="1"/>
    <col min="10799" max="10799" width="10.6640625" style="37" customWidth="1"/>
    <col min="10800" max="10800" width="17.33203125" style="37" customWidth="1"/>
    <col min="10801" max="10802" width="12.6640625" style="37" customWidth="1"/>
    <col min="10803" max="10803" width="11.21875" style="37" customWidth="1"/>
    <col min="10804" max="10804" width="18.33203125" style="37" customWidth="1"/>
    <col min="10805" max="10805" width="12.88671875" style="37" customWidth="1"/>
    <col min="10806" max="10807" width="13.21875" style="37" customWidth="1"/>
    <col min="10808" max="10808" width="10.88671875" style="37" customWidth="1"/>
    <col min="10809" max="10809" width="11.109375" style="37" customWidth="1"/>
    <col min="10810" max="10810" width="15.21875" style="37" customWidth="1"/>
    <col min="10811" max="10811" width="9.6640625" style="37"/>
    <col min="10812" max="10812" width="11" style="37" customWidth="1"/>
    <col min="10813" max="10813" width="10.77734375" style="37" customWidth="1"/>
    <col min="10814" max="10814" width="11.44140625" style="37" customWidth="1"/>
    <col min="10815" max="10815" width="4" style="37" customWidth="1"/>
    <col min="10816" max="11006" width="9.6640625" style="37"/>
    <col min="11007" max="11007" width="6.44140625" style="37" customWidth="1"/>
    <col min="11008" max="11008" width="13.88671875" style="37" customWidth="1"/>
    <col min="11009" max="11009" width="11.88671875" style="37" customWidth="1"/>
    <col min="11010" max="11012" width="9.6640625" style="37"/>
    <col min="11013" max="11013" width="15.44140625" style="37" customWidth="1"/>
    <col min="11014" max="11014" width="16.21875" style="37" customWidth="1"/>
    <col min="11015" max="11026" width="9.6640625" style="37"/>
    <col min="11027" max="11027" width="12" style="37" customWidth="1"/>
    <col min="11028" max="11028" width="12.77734375" style="37" customWidth="1"/>
    <col min="11029" max="11029" width="11.109375" style="37" customWidth="1"/>
    <col min="11030" max="11030" width="12" style="37" customWidth="1"/>
    <col min="11031" max="11031" width="9.6640625" style="37"/>
    <col min="11032" max="11032" width="15.33203125" style="37" customWidth="1"/>
    <col min="11033" max="11033" width="15.21875" style="37" customWidth="1"/>
    <col min="11034" max="11034" width="21.44140625" style="37" customWidth="1"/>
    <col min="11035" max="11050" width="9.6640625" style="37"/>
    <col min="11051" max="11052" width="13.44140625" style="37" customWidth="1"/>
    <col min="11053" max="11053" width="9.6640625" style="37"/>
    <col min="11054" max="11054" width="13.88671875" style="37" customWidth="1"/>
    <col min="11055" max="11055" width="10.6640625" style="37" customWidth="1"/>
    <col min="11056" max="11056" width="17.33203125" style="37" customWidth="1"/>
    <col min="11057" max="11058" width="12.6640625" style="37" customWidth="1"/>
    <col min="11059" max="11059" width="11.21875" style="37" customWidth="1"/>
    <col min="11060" max="11060" width="18.33203125" style="37" customWidth="1"/>
    <col min="11061" max="11061" width="12.88671875" style="37" customWidth="1"/>
    <col min="11062" max="11063" width="13.21875" style="37" customWidth="1"/>
    <col min="11064" max="11064" width="10.88671875" style="37" customWidth="1"/>
    <col min="11065" max="11065" width="11.109375" style="37" customWidth="1"/>
    <col min="11066" max="11066" width="15.21875" style="37" customWidth="1"/>
    <col min="11067" max="11067" width="9.6640625" style="37"/>
    <col min="11068" max="11068" width="11" style="37" customWidth="1"/>
    <col min="11069" max="11069" width="10.77734375" style="37" customWidth="1"/>
    <col min="11070" max="11070" width="11.44140625" style="37" customWidth="1"/>
    <col min="11071" max="11071" width="4" style="37" customWidth="1"/>
    <col min="11072" max="11262" width="9.6640625" style="37"/>
    <col min="11263" max="11263" width="6.44140625" style="37" customWidth="1"/>
    <col min="11264" max="11264" width="13.88671875" style="37" customWidth="1"/>
    <col min="11265" max="11265" width="11.88671875" style="37" customWidth="1"/>
    <col min="11266" max="11268" width="9.6640625" style="37"/>
    <col min="11269" max="11269" width="15.44140625" style="37" customWidth="1"/>
    <col min="11270" max="11270" width="16.21875" style="37" customWidth="1"/>
    <col min="11271" max="11282" width="9.6640625" style="37"/>
    <col min="11283" max="11283" width="12" style="37" customWidth="1"/>
    <col min="11284" max="11284" width="12.77734375" style="37" customWidth="1"/>
    <col min="11285" max="11285" width="11.109375" style="37" customWidth="1"/>
    <col min="11286" max="11286" width="12" style="37" customWidth="1"/>
    <col min="11287" max="11287" width="9.6640625" style="37"/>
    <col min="11288" max="11288" width="15.33203125" style="37" customWidth="1"/>
    <col min="11289" max="11289" width="15.21875" style="37" customWidth="1"/>
    <col min="11290" max="11290" width="21.44140625" style="37" customWidth="1"/>
    <col min="11291" max="11306" width="9.6640625" style="37"/>
    <col min="11307" max="11308" width="13.44140625" style="37" customWidth="1"/>
    <col min="11309" max="11309" width="9.6640625" style="37"/>
    <col min="11310" max="11310" width="13.88671875" style="37" customWidth="1"/>
    <col min="11311" max="11311" width="10.6640625" style="37" customWidth="1"/>
    <col min="11312" max="11312" width="17.33203125" style="37" customWidth="1"/>
    <col min="11313" max="11314" width="12.6640625" style="37" customWidth="1"/>
    <col min="11315" max="11315" width="11.21875" style="37" customWidth="1"/>
    <col min="11316" max="11316" width="18.33203125" style="37" customWidth="1"/>
    <col min="11317" max="11317" width="12.88671875" style="37" customWidth="1"/>
    <col min="11318" max="11319" width="13.21875" style="37" customWidth="1"/>
    <col min="11320" max="11320" width="10.88671875" style="37" customWidth="1"/>
    <col min="11321" max="11321" width="11.109375" style="37" customWidth="1"/>
    <col min="11322" max="11322" width="15.21875" style="37" customWidth="1"/>
    <col min="11323" max="11323" width="9.6640625" style="37"/>
    <col min="11324" max="11324" width="11" style="37" customWidth="1"/>
    <col min="11325" max="11325" width="10.77734375" style="37" customWidth="1"/>
    <col min="11326" max="11326" width="11.44140625" style="37" customWidth="1"/>
    <col min="11327" max="11327" width="4" style="37" customWidth="1"/>
    <col min="11328" max="11518" width="9.6640625" style="37"/>
    <col min="11519" max="11519" width="6.44140625" style="37" customWidth="1"/>
    <col min="11520" max="11520" width="13.88671875" style="37" customWidth="1"/>
    <col min="11521" max="11521" width="11.88671875" style="37" customWidth="1"/>
    <col min="11522" max="11524" width="9.6640625" style="37"/>
    <col min="11525" max="11525" width="15.44140625" style="37" customWidth="1"/>
    <col min="11526" max="11526" width="16.21875" style="37" customWidth="1"/>
    <col min="11527" max="11538" width="9.6640625" style="37"/>
    <col min="11539" max="11539" width="12" style="37" customWidth="1"/>
    <col min="11540" max="11540" width="12.77734375" style="37" customWidth="1"/>
    <col min="11541" max="11541" width="11.109375" style="37" customWidth="1"/>
    <col min="11542" max="11542" width="12" style="37" customWidth="1"/>
    <col min="11543" max="11543" width="9.6640625" style="37"/>
    <col min="11544" max="11544" width="15.33203125" style="37" customWidth="1"/>
    <col min="11545" max="11545" width="15.21875" style="37" customWidth="1"/>
    <col min="11546" max="11546" width="21.44140625" style="37" customWidth="1"/>
    <col min="11547" max="11562" width="9.6640625" style="37"/>
    <col min="11563" max="11564" width="13.44140625" style="37" customWidth="1"/>
    <col min="11565" max="11565" width="9.6640625" style="37"/>
    <col min="11566" max="11566" width="13.88671875" style="37" customWidth="1"/>
    <col min="11567" max="11567" width="10.6640625" style="37" customWidth="1"/>
    <col min="11568" max="11568" width="17.33203125" style="37" customWidth="1"/>
    <col min="11569" max="11570" width="12.6640625" style="37" customWidth="1"/>
    <col min="11571" max="11571" width="11.21875" style="37" customWidth="1"/>
    <col min="11572" max="11572" width="18.33203125" style="37" customWidth="1"/>
    <col min="11573" max="11573" width="12.88671875" style="37" customWidth="1"/>
    <col min="11574" max="11575" width="13.21875" style="37" customWidth="1"/>
    <col min="11576" max="11576" width="10.88671875" style="37" customWidth="1"/>
    <col min="11577" max="11577" width="11.109375" style="37" customWidth="1"/>
    <col min="11578" max="11578" width="15.21875" style="37" customWidth="1"/>
    <col min="11579" max="11579" width="9.6640625" style="37"/>
    <col min="11580" max="11580" width="11" style="37" customWidth="1"/>
    <col min="11581" max="11581" width="10.77734375" style="37" customWidth="1"/>
    <col min="11582" max="11582" width="11.44140625" style="37" customWidth="1"/>
    <col min="11583" max="11583" width="4" style="37" customWidth="1"/>
    <col min="11584" max="11774" width="9.6640625" style="37"/>
    <col min="11775" max="11775" width="6.44140625" style="37" customWidth="1"/>
    <col min="11776" max="11776" width="13.88671875" style="37" customWidth="1"/>
    <col min="11777" max="11777" width="11.88671875" style="37" customWidth="1"/>
    <col min="11778" max="11780" width="9.6640625" style="37"/>
    <col min="11781" max="11781" width="15.44140625" style="37" customWidth="1"/>
    <col min="11782" max="11782" width="16.21875" style="37" customWidth="1"/>
    <col min="11783" max="11794" width="9.6640625" style="37"/>
    <col min="11795" max="11795" width="12" style="37" customWidth="1"/>
    <col min="11796" max="11796" width="12.77734375" style="37" customWidth="1"/>
    <col min="11797" max="11797" width="11.109375" style="37" customWidth="1"/>
    <col min="11798" max="11798" width="12" style="37" customWidth="1"/>
    <col min="11799" max="11799" width="9.6640625" style="37"/>
    <col min="11800" max="11800" width="15.33203125" style="37" customWidth="1"/>
    <col min="11801" max="11801" width="15.21875" style="37" customWidth="1"/>
    <col min="11802" max="11802" width="21.44140625" style="37" customWidth="1"/>
    <col min="11803" max="11818" width="9.6640625" style="37"/>
    <col min="11819" max="11820" width="13.44140625" style="37" customWidth="1"/>
    <col min="11821" max="11821" width="9.6640625" style="37"/>
    <col min="11822" max="11822" width="13.88671875" style="37" customWidth="1"/>
    <col min="11823" max="11823" width="10.6640625" style="37" customWidth="1"/>
    <col min="11824" max="11824" width="17.33203125" style="37" customWidth="1"/>
    <col min="11825" max="11826" width="12.6640625" style="37" customWidth="1"/>
    <col min="11827" max="11827" width="11.21875" style="37" customWidth="1"/>
    <col min="11828" max="11828" width="18.33203125" style="37" customWidth="1"/>
    <col min="11829" max="11829" width="12.88671875" style="37" customWidth="1"/>
    <col min="11830" max="11831" width="13.21875" style="37" customWidth="1"/>
    <col min="11832" max="11832" width="10.88671875" style="37" customWidth="1"/>
    <col min="11833" max="11833" width="11.109375" style="37" customWidth="1"/>
    <col min="11834" max="11834" width="15.21875" style="37" customWidth="1"/>
    <col min="11835" max="11835" width="9.6640625" style="37"/>
    <col min="11836" max="11836" width="11" style="37" customWidth="1"/>
    <col min="11837" max="11837" width="10.77734375" style="37" customWidth="1"/>
    <col min="11838" max="11838" width="11.44140625" style="37" customWidth="1"/>
    <col min="11839" max="11839" width="4" style="37" customWidth="1"/>
    <col min="11840" max="12030" width="9.6640625" style="37"/>
    <col min="12031" max="12031" width="6.44140625" style="37" customWidth="1"/>
    <col min="12032" max="12032" width="13.88671875" style="37" customWidth="1"/>
    <col min="12033" max="12033" width="11.88671875" style="37" customWidth="1"/>
    <col min="12034" max="12036" width="9.6640625" style="37"/>
    <col min="12037" max="12037" width="15.44140625" style="37" customWidth="1"/>
    <col min="12038" max="12038" width="16.21875" style="37" customWidth="1"/>
    <col min="12039" max="12050" width="9.6640625" style="37"/>
    <col min="12051" max="12051" width="12" style="37" customWidth="1"/>
    <col min="12052" max="12052" width="12.77734375" style="37" customWidth="1"/>
    <col min="12053" max="12053" width="11.109375" style="37" customWidth="1"/>
    <col min="12054" max="12054" width="12" style="37" customWidth="1"/>
    <col min="12055" max="12055" width="9.6640625" style="37"/>
    <col min="12056" max="12056" width="15.33203125" style="37" customWidth="1"/>
    <col min="12057" max="12057" width="15.21875" style="37" customWidth="1"/>
    <col min="12058" max="12058" width="21.44140625" style="37" customWidth="1"/>
    <col min="12059" max="12074" width="9.6640625" style="37"/>
    <col min="12075" max="12076" width="13.44140625" style="37" customWidth="1"/>
    <col min="12077" max="12077" width="9.6640625" style="37"/>
    <col min="12078" max="12078" width="13.88671875" style="37" customWidth="1"/>
    <col min="12079" max="12079" width="10.6640625" style="37" customWidth="1"/>
    <col min="12080" max="12080" width="17.33203125" style="37" customWidth="1"/>
    <col min="12081" max="12082" width="12.6640625" style="37" customWidth="1"/>
    <col min="12083" max="12083" width="11.21875" style="37" customWidth="1"/>
    <col min="12084" max="12084" width="18.33203125" style="37" customWidth="1"/>
    <col min="12085" max="12085" width="12.88671875" style="37" customWidth="1"/>
    <col min="12086" max="12087" width="13.21875" style="37" customWidth="1"/>
    <col min="12088" max="12088" width="10.88671875" style="37" customWidth="1"/>
    <col min="12089" max="12089" width="11.109375" style="37" customWidth="1"/>
    <col min="12090" max="12090" width="15.21875" style="37" customWidth="1"/>
    <col min="12091" max="12091" width="9.6640625" style="37"/>
    <col min="12092" max="12092" width="11" style="37" customWidth="1"/>
    <col min="12093" max="12093" width="10.77734375" style="37" customWidth="1"/>
    <col min="12094" max="12094" width="11.44140625" style="37" customWidth="1"/>
    <col min="12095" max="12095" width="4" style="37" customWidth="1"/>
    <col min="12096" max="12286" width="9.6640625" style="37"/>
    <col min="12287" max="12287" width="6.44140625" style="37" customWidth="1"/>
    <col min="12288" max="12288" width="13.88671875" style="37" customWidth="1"/>
    <col min="12289" max="12289" width="11.88671875" style="37" customWidth="1"/>
    <col min="12290" max="12292" width="9.6640625" style="37"/>
    <col min="12293" max="12293" width="15.44140625" style="37" customWidth="1"/>
    <col min="12294" max="12294" width="16.21875" style="37" customWidth="1"/>
    <col min="12295" max="12306" width="9.6640625" style="37"/>
    <col min="12307" max="12307" width="12" style="37" customWidth="1"/>
    <col min="12308" max="12308" width="12.77734375" style="37" customWidth="1"/>
    <col min="12309" max="12309" width="11.109375" style="37" customWidth="1"/>
    <col min="12310" max="12310" width="12" style="37" customWidth="1"/>
    <col min="12311" max="12311" width="9.6640625" style="37"/>
    <col min="12312" max="12312" width="15.33203125" style="37" customWidth="1"/>
    <col min="12313" max="12313" width="15.21875" style="37" customWidth="1"/>
    <col min="12314" max="12314" width="21.44140625" style="37" customWidth="1"/>
    <col min="12315" max="12330" width="9.6640625" style="37"/>
    <col min="12331" max="12332" width="13.44140625" style="37" customWidth="1"/>
    <col min="12333" max="12333" width="9.6640625" style="37"/>
    <col min="12334" max="12334" width="13.88671875" style="37" customWidth="1"/>
    <col min="12335" max="12335" width="10.6640625" style="37" customWidth="1"/>
    <col min="12336" max="12336" width="17.33203125" style="37" customWidth="1"/>
    <col min="12337" max="12338" width="12.6640625" style="37" customWidth="1"/>
    <col min="12339" max="12339" width="11.21875" style="37" customWidth="1"/>
    <col min="12340" max="12340" width="18.33203125" style="37" customWidth="1"/>
    <col min="12341" max="12341" width="12.88671875" style="37" customWidth="1"/>
    <col min="12342" max="12343" width="13.21875" style="37" customWidth="1"/>
    <col min="12344" max="12344" width="10.88671875" style="37" customWidth="1"/>
    <col min="12345" max="12345" width="11.109375" style="37" customWidth="1"/>
    <col min="12346" max="12346" width="15.21875" style="37" customWidth="1"/>
    <col min="12347" max="12347" width="9.6640625" style="37"/>
    <col min="12348" max="12348" width="11" style="37" customWidth="1"/>
    <col min="12349" max="12349" width="10.77734375" style="37" customWidth="1"/>
    <col min="12350" max="12350" width="11.44140625" style="37" customWidth="1"/>
    <col min="12351" max="12351" width="4" style="37" customWidth="1"/>
    <col min="12352" max="12542" width="9.6640625" style="37"/>
    <col min="12543" max="12543" width="6.44140625" style="37" customWidth="1"/>
    <col min="12544" max="12544" width="13.88671875" style="37" customWidth="1"/>
    <col min="12545" max="12545" width="11.88671875" style="37" customWidth="1"/>
    <col min="12546" max="12548" width="9.6640625" style="37"/>
    <col min="12549" max="12549" width="15.44140625" style="37" customWidth="1"/>
    <col min="12550" max="12550" width="16.21875" style="37" customWidth="1"/>
    <col min="12551" max="12562" width="9.6640625" style="37"/>
    <col min="12563" max="12563" width="12" style="37" customWidth="1"/>
    <col min="12564" max="12564" width="12.77734375" style="37" customWidth="1"/>
    <col min="12565" max="12565" width="11.109375" style="37" customWidth="1"/>
    <col min="12566" max="12566" width="12" style="37" customWidth="1"/>
    <col min="12567" max="12567" width="9.6640625" style="37"/>
    <col min="12568" max="12568" width="15.33203125" style="37" customWidth="1"/>
    <col min="12569" max="12569" width="15.21875" style="37" customWidth="1"/>
    <col min="12570" max="12570" width="21.44140625" style="37" customWidth="1"/>
    <col min="12571" max="12586" width="9.6640625" style="37"/>
    <col min="12587" max="12588" width="13.44140625" style="37" customWidth="1"/>
    <col min="12589" max="12589" width="9.6640625" style="37"/>
    <col min="12590" max="12590" width="13.88671875" style="37" customWidth="1"/>
    <col min="12591" max="12591" width="10.6640625" style="37" customWidth="1"/>
    <col min="12592" max="12592" width="17.33203125" style="37" customWidth="1"/>
    <col min="12593" max="12594" width="12.6640625" style="37" customWidth="1"/>
    <col min="12595" max="12595" width="11.21875" style="37" customWidth="1"/>
    <col min="12596" max="12596" width="18.33203125" style="37" customWidth="1"/>
    <col min="12597" max="12597" width="12.88671875" style="37" customWidth="1"/>
    <col min="12598" max="12599" width="13.21875" style="37" customWidth="1"/>
    <col min="12600" max="12600" width="10.88671875" style="37" customWidth="1"/>
    <col min="12601" max="12601" width="11.109375" style="37" customWidth="1"/>
    <col min="12602" max="12602" width="15.21875" style="37" customWidth="1"/>
    <col min="12603" max="12603" width="9.6640625" style="37"/>
    <col min="12604" max="12604" width="11" style="37" customWidth="1"/>
    <col min="12605" max="12605" width="10.77734375" style="37" customWidth="1"/>
    <col min="12606" max="12606" width="11.44140625" style="37" customWidth="1"/>
    <col min="12607" max="12607" width="4" style="37" customWidth="1"/>
    <col min="12608" max="12798" width="9.6640625" style="37"/>
    <col min="12799" max="12799" width="6.44140625" style="37" customWidth="1"/>
    <col min="12800" max="12800" width="13.88671875" style="37" customWidth="1"/>
    <col min="12801" max="12801" width="11.88671875" style="37" customWidth="1"/>
    <col min="12802" max="12804" width="9.6640625" style="37"/>
    <col min="12805" max="12805" width="15.44140625" style="37" customWidth="1"/>
    <col min="12806" max="12806" width="16.21875" style="37" customWidth="1"/>
    <col min="12807" max="12818" width="9.6640625" style="37"/>
    <col min="12819" max="12819" width="12" style="37" customWidth="1"/>
    <col min="12820" max="12820" width="12.77734375" style="37" customWidth="1"/>
    <col min="12821" max="12821" width="11.109375" style="37" customWidth="1"/>
    <col min="12822" max="12822" width="12" style="37" customWidth="1"/>
    <col min="12823" max="12823" width="9.6640625" style="37"/>
    <col min="12824" max="12824" width="15.33203125" style="37" customWidth="1"/>
    <col min="12825" max="12825" width="15.21875" style="37" customWidth="1"/>
    <col min="12826" max="12826" width="21.44140625" style="37" customWidth="1"/>
    <col min="12827" max="12842" width="9.6640625" style="37"/>
    <col min="12843" max="12844" width="13.44140625" style="37" customWidth="1"/>
    <col min="12845" max="12845" width="9.6640625" style="37"/>
    <col min="12846" max="12846" width="13.88671875" style="37" customWidth="1"/>
    <col min="12847" max="12847" width="10.6640625" style="37" customWidth="1"/>
    <col min="12848" max="12848" width="17.33203125" style="37" customWidth="1"/>
    <col min="12849" max="12850" width="12.6640625" style="37" customWidth="1"/>
    <col min="12851" max="12851" width="11.21875" style="37" customWidth="1"/>
    <col min="12852" max="12852" width="18.33203125" style="37" customWidth="1"/>
    <col min="12853" max="12853" width="12.88671875" style="37" customWidth="1"/>
    <col min="12854" max="12855" width="13.21875" style="37" customWidth="1"/>
    <col min="12856" max="12856" width="10.88671875" style="37" customWidth="1"/>
    <col min="12857" max="12857" width="11.109375" style="37" customWidth="1"/>
    <col min="12858" max="12858" width="15.21875" style="37" customWidth="1"/>
    <col min="12859" max="12859" width="9.6640625" style="37"/>
    <col min="12860" max="12860" width="11" style="37" customWidth="1"/>
    <col min="12861" max="12861" width="10.77734375" style="37" customWidth="1"/>
    <col min="12862" max="12862" width="11.44140625" style="37" customWidth="1"/>
    <col min="12863" max="12863" width="4" style="37" customWidth="1"/>
    <col min="12864" max="13054" width="9.6640625" style="37"/>
    <col min="13055" max="13055" width="6.44140625" style="37" customWidth="1"/>
    <col min="13056" max="13056" width="13.88671875" style="37" customWidth="1"/>
    <col min="13057" max="13057" width="11.88671875" style="37" customWidth="1"/>
    <col min="13058" max="13060" width="9.6640625" style="37"/>
    <col min="13061" max="13061" width="15.44140625" style="37" customWidth="1"/>
    <col min="13062" max="13062" width="16.21875" style="37" customWidth="1"/>
    <col min="13063" max="13074" width="9.6640625" style="37"/>
    <col min="13075" max="13075" width="12" style="37" customWidth="1"/>
    <col min="13076" max="13076" width="12.77734375" style="37" customWidth="1"/>
    <col min="13077" max="13077" width="11.109375" style="37" customWidth="1"/>
    <col min="13078" max="13078" width="12" style="37" customWidth="1"/>
    <col min="13079" max="13079" width="9.6640625" style="37"/>
    <col min="13080" max="13080" width="15.33203125" style="37" customWidth="1"/>
    <col min="13081" max="13081" width="15.21875" style="37" customWidth="1"/>
    <col min="13082" max="13082" width="21.44140625" style="37" customWidth="1"/>
    <col min="13083" max="13098" width="9.6640625" style="37"/>
    <col min="13099" max="13100" width="13.44140625" style="37" customWidth="1"/>
    <col min="13101" max="13101" width="9.6640625" style="37"/>
    <col min="13102" max="13102" width="13.88671875" style="37" customWidth="1"/>
    <col min="13103" max="13103" width="10.6640625" style="37" customWidth="1"/>
    <col min="13104" max="13104" width="17.33203125" style="37" customWidth="1"/>
    <col min="13105" max="13106" width="12.6640625" style="37" customWidth="1"/>
    <col min="13107" max="13107" width="11.21875" style="37" customWidth="1"/>
    <col min="13108" max="13108" width="18.33203125" style="37" customWidth="1"/>
    <col min="13109" max="13109" width="12.88671875" style="37" customWidth="1"/>
    <col min="13110" max="13111" width="13.21875" style="37" customWidth="1"/>
    <col min="13112" max="13112" width="10.88671875" style="37" customWidth="1"/>
    <col min="13113" max="13113" width="11.109375" style="37" customWidth="1"/>
    <col min="13114" max="13114" width="15.21875" style="37" customWidth="1"/>
    <col min="13115" max="13115" width="9.6640625" style="37"/>
    <col min="13116" max="13116" width="11" style="37" customWidth="1"/>
    <col min="13117" max="13117" width="10.77734375" style="37" customWidth="1"/>
    <col min="13118" max="13118" width="11.44140625" style="37" customWidth="1"/>
    <col min="13119" max="13119" width="4" style="37" customWidth="1"/>
    <col min="13120" max="13310" width="9.6640625" style="37"/>
    <col min="13311" max="13311" width="6.44140625" style="37" customWidth="1"/>
    <col min="13312" max="13312" width="13.88671875" style="37" customWidth="1"/>
    <col min="13313" max="13313" width="11.88671875" style="37" customWidth="1"/>
    <col min="13314" max="13316" width="9.6640625" style="37"/>
    <col min="13317" max="13317" width="15.44140625" style="37" customWidth="1"/>
    <col min="13318" max="13318" width="16.21875" style="37" customWidth="1"/>
    <col min="13319" max="13330" width="9.6640625" style="37"/>
    <col min="13331" max="13331" width="12" style="37" customWidth="1"/>
    <col min="13332" max="13332" width="12.77734375" style="37" customWidth="1"/>
    <col min="13333" max="13333" width="11.109375" style="37" customWidth="1"/>
    <col min="13334" max="13334" width="12" style="37" customWidth="1"/>
    <col min="13335" max="13335" width="9.6640625" style="37"/>
    <col min="13336" max="13336" width="15.33203125" style="37" customWidth="1"/>
    <col min="13337" max="13337" width="15.21875" style="37" customWidth="1"/>
    <col min="13338" max="13338" width="21.44140625" style="37" customWidth="1"/>
    <col min="13339" max="13354" width="9.6640625" style="37"/>
    <col min="13355" max="13356" width="13.44140625" style="37" customWidth="1"/>
    <col min="13357" max="13357" width="9.6640625" style="37"/>
    <col min="13358" max="13358" width="13.88671875" style="37" customWidth="1"/>
    <col min="13359" max="13359" width="10.6640625" style="37" customWidth="1"/>
    <col min="13360" max="13360" width="17.33203125" style="37" customWidth="1"/>
    <col min="13361" max="13362" width="12.6640625" style="37" customWidth="1"/>
    <col min="13363" max="13363" width="11.21875" style="37" customWidth="1"/>
    <col min="13364" max="13364" width="18.33203125" style="37" customWidth="1"/>
    <col min="13365" max="13365" width="12.88671875" style="37" customWidth="1"/>
    <col min="13366" max="13367" width="13.21875" style="37" customWidth="1"/>
    <col min="13368" max="13368" width="10.88671875" style="37" customWidth="1"/>
    <col min="13369" max="13369" width="11.109375" style="37" customWidth="1"/>
    <col min="13370" max="13370" width="15.21875" style="37" customWidth="1"/>
    <col min="13371" max="13371" width="9.6640625" style="37"/>
    <col min="13372" max="13372" width="11" style="37" customWidth="1"/>
    <col min="13373" max="13373" width="10.77734375" style="37" customWidth="1"/>
    <col min="13374" max="13374" width="11.44140625" style="37" customWidth="1"/>
    <col min="13375" max="13375" width="4" style="37" customWidth="1"/>
    <col min="13376" max="13566" width="9.6640625" style="37"/>
    <col min="13567" max="13567" width="6.44140625" style="37" customWidth="1"/>
    <col min="13568" max="13568" width="13.88671875" style="37" customWidth="1"/>
    <col min="13569" max="13569" width="11.88671875" style="37" customWidth="1"/>
    <col min="13570" max="13572" width="9.6640625" style="37"/>
    <col min="13573" max="13573" width="15.44140625" style="37" customWidth="1"/>
    <col min="13574" max="13574" width="16.21875" style="37" customWidth="1"/>
    <col min="13575" max="13586" width="9.6640625" style="37"/>
    <col min="13587" max="13587" width="12" style="37" customWidth="1"/>
    <col min="13588" max="13588" width="12.77734375" style="37" customWidth="1"/>
    <col min="13589" max="13589" width="11.109375" style="37" customWidth="1"/>
    <col min="13590" max="13590" width="12" style="37" customWidth="1"/>
    <col min="13591" max="13591" width="9.6640625" style="37"/>
    <col min="13592" max="13592" width="15.33203125" style="37" customWidth="1"/>
    <col min="13593" max="13593" width="15.21875" style="37" customWidth="1"/>
    <col min="13594" max="13594" width="21.44140625" style="37" customWidth="1"/>
    <col min="13595" max="13610" width="9.6640625" style="37"/>
    <col min="13611" max="13612" width="13.44140625" style="37" customWidth="1"/>
    <col min="13613" max="13613" width="9.6640625" style="37"/>
    <col min="13614" max="13614" width="13.88671875" style="37" customWidth="1"/>
    <col min="13615" max="13615" width="10.6640625" style="37" customWidth="1"/>
    <col min="13616" max="13616" width="17.33203125" style="37" customWidth="1"/>
    <col min="13617" max="13618" width="12.6640625" style="37" customWidth="1"/>
    <col min="13619" max="13619" width="11.21875" style="37" customWidth="1"/>
    <col min="13620" max="13620" width="18.33203125" style="37" customWidth="1"/>
    <col min="13621" max="13621" width="12.88671875" style="37" customWidth="1"/>
    <col min="13622" max="13623" width="13.21875" style="37" customWidth="1"/>
    <col min="13624" max="13624" width="10.88671875" style="37" customWidth="1"/>
    <col min="13625" max="13625" width="11.109375" style="37" customWidth="1"/>
    <col min="13626" max="13626" width="15.21875" style="37" customWidth="1"/>
    <col min="13627" max="13627" width="9.6640625" style="37"/>
    <col min="13628" max="13628" width="11" style="37" customWidth="1"/>
    <col min="13629" max="13629" width="10.77734375" style="37" customWidth="1"/>
    <col min="13630" max="13630" width="11.44140625" style="37" customWidth="1"/>
    <col min="13631" max="13631" width="4" style="37" customWidth="1"/>
    <col min="13632" max="13822" width="9.6640625" style="37"/>
    <col min="13823" max="13823" width="6.44140625" style="37" customWidth="1"/>
    <col min="13824" max="13824" width="13.88671875" style="37" customWidth="1"/>
    <col min="13825" max="13825" width="11.88671875" style="37" customWidth="1"/>
    <col min="13826" max="13828" width="9.6640625" style="37"/>
    <col min="13829" max="13829" width="15.44140625" style="37" customWidth="1"/>
    <col min="13830" max="13830" width="16.21875" style="37" customWidth="1"/>
    <col min="13831" max="13842" width="9.6640625" style="37"/>
    <col min="13843" max="13843" width="12" style="37" customWidth="1"/>
    <col min="13844" max="13844" width="12.77734375" style="37" customWidth="1"/>
    <col min="13845" max="13845" width="11.109375" style="37" customWidth="1"/>
    <col min="13846" max="13846" width="12" style="37" customWidth="1"/>
    <col min="13847" max="13847" width="9.6640625" style="37"/>
    <col min="13848" max="13848" width="15.33203125" style="37" customWidth="1"/>
    <col min="13849" max="13849" width="15.21875" style="37" customWidth="1"/>
    <col min="13850" max="13850" width="21.44140625" style="37" customWidth="1"/>
    <col min="13851" max="13866" width="9.6640625" style="37"/>
    <col min="13867" max="13868" width="13.44140625" style="37" customWidth="1"/>
    <col min="13869" max="13869" width="9.6640625" style="37"/>
    <col min="13870" max="13870" width="13.88671875" style="37" customWidth="1"/>
    <col min="13871" max="13871" width="10.6640625" style="37" customWidth="1"/>
    <col min="13872" max="13872" width="17.33203125" style="37" customWidth="1"/>
    <col min="13873" max="13874" width="12.6640625" style="37" customWidth="1"/>
    <col min="13875" max="13875" width="11.21875" style="37" customWidth="1"/>
    <col min="13876" max="13876" width="18.33203125" style="37" customWidth="1"/>
    <col min="13877" max="13877" width="12.88671875" style="37" customWidth="1"/>
    <col min="13878" max="13879" width="13.21875" style="37" customWidth="1"/>
    <col min="13880" max="13880" width="10.88671875" style="37" customWidth="1"/>
    <col min="13881" max="13881" width="11.109375" style="37" customWidth="1"/>
    <col min="13882" max="13882" width="15.21875" style="37" customWidth="1"/>
    <col min="13883" max="13883" width="9.6640625" style="37"/>
    <col min="13884" max="13884" width="11" style="37" customWidth="1"/>
    <col min="13885" max="13885" width="10.77734375" style="37" customWidth="1"/>
    <col min="13886" max="13886" width="11.44140625" style="37" customWidth="1"/>
    <col min="13887" max="13887" width="4" style="37" customWidth="1"/>
    <col min="13888" max="14078" width="9.6640625" style="37"/>
    <col min="14079" max="14079" width="6.44140625" style="37" customWidth="1"/>
    <col min="14080" max="14080" width="13.88671875" style="37" customWidth="1"/>
    <col min="14081" max="14081" width="11.88671875" style="37" customWidth="1"/>
    <col min="14082" max="14084" width="9.6640625" style="37"/>
    <col min="14085" max="14085" width="15.44140625" style="37" customWidth="1"/>
    <col min="14086" max="14086" width="16.21875" style="37" customWidth="1"/>
    <col min="14087" max="14098" width="9.6640625" style="37"/>
    <col min="14099" max="14099" width="12" style="37" customWidth="1"/>
    <col min="14100" max="14100" width="12.77734375" style="37" customWidth="1"/>
    <col min="14101" max="14101" width="11.109375" style="37" customWidth="1"/>
    <col min="14102" max="14102" width="12" style="37" customWidth="1"/>
    <col min="14103" max="14103" width="9.6640625" style="37"/>
    <col min="14104" max="14104" width="15.33203125" style="37" customWidth="1"/>
    <col min="14105" max="14105" width="15.21875" style="37" customWidth="1"/>
    <col min="14106" max="14106" width="21.44140625" style="37" customWidth="1"/>
    <col min="14107" max="14122" width="9.6640625" style="37"/>
    <col min="14123" max="14124" width="13.44140625" style="37" customWidth="1"/>
    <col min="14125" max="14125" width="9.6640625" style="37"/>
    <col min="14126" max="14126" width="13.88671875" style="37" customWidth="1"/>
    <col min="14127" max="14127" width="10.6640625" style="37" customWidth="1"/>
    <col min="14128" max="14128" width="17.33203125" style="37" customWidth="1"/>
    <col min="14129" max="14130" width="12.6640625" style="37" customWidth="1"/>
    <col min="14131" max="14131" width="11.21875" style="37" customWidth="1"/>
    <col min="14132" max="14132" width="18.33203125" style="37" customWidth="1"/>
    <col min="14133" max="14133" width="12.88671875" style="37" customWidth="1"/>
    <col min="14134" max="14135" width="13.21875" style="37" customWidth="1"/>
    <col min="14136" max="14136" width="10.88671875" style="37" customWidth="1"/>
    <col min="14137" max="14137" width="11.109375" style="37" customWidth="1"/>
    <col min="14138" max="14138" width="15.21875" style="37" customWidth="1"/>
    <col min="14139" max="14139" width="9.6640625" style="37"/>
    <col min="14140" max="14140" width="11" style="37" customWidth="1"/>
    <col min="14141" max="14141" width="10.77734375" style="37" customWidth="1"/>
    <col min="14142" max="14142" width="11.44140625" style="37" customWidth="1"/>
    <col min="14143" max="14143" width="4" style="37" customWidth="1"/>
    <col min="14144" max="14334" width="9.6640625" style="37"/>
    <col min="14335" max="14335" width="6.44140625" style="37" customWidth="1"/>
    <col min="14336" max="14336" width="13.88671875" style="37" customWidth="1"/>
    <col min="14337" max="14337" width="11.88671875" style="37" customWidth="1"/>
    <col min="14338" max="14340" width="9.6640625" style="37"/>
    <col min="14341" max="14341" width="15.44140625" style="37" customWidth="1"/>
    <col min="14342" max="14342" width="16.21875" style="37" customWidth="1"/>
    <col min="14343" max="14354" width="9.6640625" style="37"/>
    <col min="14355" max="14355" width="12" style="37" customWidth="1"/>
    <col min="14356" max="14356" width="12.77734375" style="37" customWidth="1"/>
    <col min="14357" max="14357" width="11.109375" style="37" customWidth="1"/>
    <col min="14358" max="14358" width="12" style="37" customWidth="1"/>
    <col min="14359" max="14359" width="9.6640625" style="37"/>
    <col min="14360" max="14360" width="15.33203125" style="37" customWidth="1"/>
    <col min="14361" max="14361" width="15.21875" style="37" customWidth="1"/>
    <col min="14362" max="14362" width="21.44140625" style="37" customWidth="1"/>
    <col min="14363" max="14378" width="9.6640625" style="37"/>
    <col min="14379" max="14380" width="13.44140625" style="37" customWidth="1"/>
    <col min="14381" max="14381" width="9.6640625" style="37"/>
    <col min="14382" max="14382" width="13.88671875" style="37" customWidth="1"/>
    <col min="14383" max="14383" width="10.6640625" style="37" customWidth="1"/>
    <col min="14384" max="14384" width="17.33203125" style="37" customWidth="1"/>
    <col min="14385" max="14386" width="12.6640625" style="37" customWidth="1"/>
    <col min="14387" max="14387" width="11.21875" style="37" customWidth="1"/>
    <col min="14388" max="14388" width="18.33203125" style="37" customWidth="1"/>
    <col min="14389" max="14389" width="12.88671875" style="37" customWidth="1"/>
    <col min="14390" max="14391" width="13.21875" style="37" customWidth="1"/>
    <col min="14392" max="14392" width="10.88671875" style="37" customWidth="1"/>
    <col min="14393" max="14393" width="11.109375" style="37" customWidth="1"/>
    <col min="14394" max="14394" width="15.21875" style="37" customWidth="1"/>
    <col min="14395" max="14395" width="9.6640625" style="37"/>
    <col min="14396" max="14396" width="11" style="37" customWidth="1"/>
    <col min="14397" max="14397" width="10.77734375" style="37" customWidth="1"/>
    <col min="14398" max="14398" width="11.44140625" style="37" customWidth="1"/>
    <col min="14399" max="14399" width="4" style="37" customWidth="1"/>
    <col min="14400" max="14590" width="9.6640625" style="37"/>
    <col min="14591" max="14591" width="6.44140625" style="37" customWidth="1"/>
    <col min="14592" max="14592" width="13.88671875" style="37" customWidth="1"/>
    <col min="14593" max="14593" width="11.88671875" style="37" customWidth="1"/>
    <col min="14594" max="14596" width="9.6640625" style="37"/>
    <col min="14597" max="14597" width="15.44140625" style="37" customWidth="1"/>
    <col min="14598" max="14598" width="16.21875" style="37" customWidth="1"/>
    <col min="14599" max="14610" width="9.6640625" style="37"/>
    <col min="14611" max="14611" width="12" style="37" customWidth="1"/>
    <col min="14612" max="14612" width="12.77734375" style="37" customWidth="1"/>
    <col min="14613" max="14613" width="11.109375" style="37" customWidth="1"/>
    <col min="14614" max="14614" width="12" style="37" customWidth="1"/>
    <col min="14615" max="14615" width="9.6640625" style="37"/>
    <col min="14616" max="14616" width="15.33203125" style="37" customWidth="1"/>
    <col min="14617" max="14617" width="15.21875" style="37" customWidth="1"/>
    <col min="14618" max="14618" width="21.44140625" style="37" customWidth="1"/>
    <col min="14619" max="14634" width="9.6640625" style="37"/>
    <col min="14635" max="14636" width="13.44140625" style="37" customWidth="1"/>
    <col min="14637" max="14637" width="9.6640625" style="37"/>
    <col min="14638" max="14638" width="13.88671875" style="37" customWidth="1"/>
    <col min="14639" max="14639" width="10.6640625" style="37" customWidth="1"/>
    <col min="14640" max="14640" width="17.33203125" style="37" customWidth="1"/>
    <col min="14641" max="14642" width="12.6640625" style="37" customWidth="1"/>
    <col min="14643" max="14643" width="11.21875" style="37" customWidth="1"/>
    <col min="14644" max="14644" width="18.33203125" style="37" customWidth="1"/>
    <col min="14645" max="14645" width="12.88671875" style="37" customWidth="1"/>
    <col min="14646" max="14647" width="13.21875" style="37" customWidth="1"/>
    <col min="14648" max="14648" width="10.88671875" style="37" customWidth="1"/>
    <col min="14649" max="14649" width="11.109375" style="37" customWidth="1"/>
    <col min="14650" max="14650" width="15.21875" style="37" customWidth="1"/>
    <col min="14651" max="14651" width="9.6640625" style="37"/>
    <col min="14652" max="14652" width="11" style="37" customWidth="1"/>
    <col min="14653" max="14653" width="10.77734375" style="37" customWidth="1"/>
    <col min="14654" max="14654" width="11.44140625" style="37" customWidth="1"/>
    <col min="14655" max="14655" width="4" style="37" customWidth="1"/>
    <col min="14656" max="14846" width="9.6640625" style="37"/>
    <col min="14847" max="14847" width="6.44140625" style="37" customWidth="1"/>
    <col min="14848" max="14848" width="13.88671875" style="37" customWidth="1"/>
    <col min="14849" max="14849" width="11.88671875" style="37" customWidth="1"/>
    <col min="14850" max="14852" width="9.6640625" style="37"/>
    <col min="14853" max="14853" width="15.44140625" style="37" customWidth="1"/>
    <col min="14854" max="14854" width="16.21875" style="37" customWidth="1"/>
    <col min="14855" max="14866" width="9.6640625" style="37"/>
    <col min="14867" max="14867" width="12" style="37" customWidth="1"/>
    <col min="14868" max="14868" width="12.77734375" style="37" customWidth="1"/>
    <col min="14869" max="14869" width="11.109375" style="37" customWidth="1"/>
    <col min="14870" max="14870" width="12" style="37" customWidth="1"/>
    <col min="14871" max="14871" width="9.6640625" style="37"/>
    <col min="14872" max="14872" width="15.33203125" style="37" customWidth="1"/>
    <col min="14873" max="14873" width="15.21875" style="37" customWidth="1"/>
    <col min="14874" max="14874" width="21.44140625" style="37" customWidth="1"/>
    <col min="14875" max="14890" width="9.6640625" style="37"/>
    <col min="14891" max="14892" width="13.44140625" style="37" customWidth="1"/>
    <col min="14893" max="14893" width="9.6640625" style="37"/>
    <col min="14894" max="14894" width="13.88671875" style="37" customWidth="1"/>
    <col min="14895" max="14895" width="10.6640625" style="37" customWidth="1"/>
    <col min="14896" max="14896" width="17.33203125" style="37" customWidth="1"/>
    <col min="14897" max="14898" width="12.6640625" style="37" customWidth="1"/>
    <col min="14899" max="14899" width="11.21875" style="37" customWidth="1"/>
    <col min="14900" max="14900" width="18.33203125" style="37" customWidth="1"/>
    <col min="14901" max="14901" width="12.88671875" style="37" customWidth="1"/>
    <col min="14902" max="14903" width="13.21875" style="37" customWidth="1"/>
    <col min="14904" max="14904" width="10.88671875" style="37" customWidth="1"/>
    <col min="14905" max="14905" width="11.109375" style="37" customWidth="1"/>
    <col min="14906" max="14906" width="15.21875" style="37" customWidth="1"/>
    <col min="14907" max="14907" width="9.6640625" style="37"/>
    <col min="14908" max="14908" width="11" style="37" customWidth="1"/>
    <col min="14909" max="14909" width="10.77734375" style="37" customWidth="1"/>
    <col min="14910" max="14910" width="11.44140625" style="37" customWidth="1"/>
    <col min="14911" max="14911" width="4" style="37" customWidth="1"/>
    <col min="14912" max="15102" width="9.6640625" style="37"/>
    <col min="15103" max="15103" width="6.44140625" style="37" customWidth="1"/>
    <col min="15104" max="15104" width="13.88671875" style="37" customWidth="1"/>
    <col min="15105" max="15105" width="11.88671875" style="37" customWidth="1"/>
    <col min="15106" max="15108" width="9.6640625" style="37"/>
    <col min="15109" max="15109" width="15.44140625" style="37" customWidth="1"/>
    <col min="15110" max="15110" width="16.21875" style="37" customWidth="1"/>
    <col min="15111" max="15122" width="9.6640625" style="37"/>
    <col min="15123" max="15123" width="12" style="37" customWidth="1"/>
    <col min="15124" max="15124" width="12.77734375" style="37" customWidth="1"/>
    <col min="15125" max="15125" width="11.109375" style="37" customWidth="1"/>
    <col min="15126" max="15126" width="12" style="37" customWidth="1"/>
    <col min="15127" max="15127" width="9.6640625" style="37"/>
    <col min="15128" max="15128" width="15.33203125" style="37" customWidth="1"/>
    <col min="15129" max="15129" width="15.21875" style="37" customWidth="1"/>
    <col min="15130" max="15130" width="21.44140625" style="37" customWidth="1"/>
    <col min="15131" max="15146" width="9.6640625" style="37"/>
    <col min="15147" max="15148" width="13.44140625" style="37" customWidth="1"/>
    <col min="15149" max="15149" width="9.6640625" style="37"/>
    <col min="15150" max="15150" width="13.88671875" style="37" customWidth="1"/>
    <col min="15151" max="15151" width="10.6640625" style="37" customWidth="1"/>
    <col min="15152" max="15152" width="17.33203125" style="37" customWidth="1"/>
    <col min="15153" max="15154" width="12.6640625" style="37" customWidth="1"/>
    <col min="15155" max="15155" width="11.21875" style="37" customWidth="1"/>
    <col min="15156" max="15156" width="18.33203125" style="37" customWidth="1"/>
    <col min="15157" max="15157" width="12.88671875" style="37" customWidth="1"/>
    <col min="15158" max="15159" width="13.21875" style="37" customWidth="1"/>
    <col min="15160" max="15160" width="10.88671875" style="37" customWidth="1"/>
    <col min="15161" max="15161" width="11.109375" style="37" customWidth="1"/>
    <col min="15162" max="15162" width="15.21875" style="37" customWidth="1"/>
    <col min="15163" max="15163" width="9.6640625" style="37"/>
    <col min="15164" max="15164" width="11" style="37" customWidth="1"/>
    <col min="15165" max="15165" width="10.77734375" style="37" customWidth="1"/>
    <col min="15166" max="15166" width="11.44140625" style="37" customWidth="1"/>
    <col min="15167" max="15167" width="4" style="37" customWidth="1"/>
    <col min="15168" max="15358" width="9.6640625" style="37"/>
    <col min="15359" max="15359" width="6.44140625" style="37" customWidth="1"/>
    <col min="15360" max="15360" width="13.88671875" style="37" customWidth="1"/>
    <col min="15361" max="15361" width="11.88671875" style="37" customWidth="1"/>
    <col min="15362" max="15364" width="9.6640625" style="37"/>
    <col min="15365" max="15365" width="15.44140625" style="37" customWidth="1"/>
    <col min="15366" max="15366" width="16.21875" style="37" customWidth="1"/>
    <col min="15367" max="15378" width="9.6640625" style="37"/>
    <col min="15379" max="15379" width="12" style="37" customWidth="1"/>
    <col min="15380" max="15380" width="12.77734375" style="37" customWidth="1"/>
    <col min="15381" max="15381" width="11.109375" style="37" customWidth="1"/>
    <col min="15382" max="15382" width="12" style="37" customWidth="1"/>
    <col min="15383" max="15383" width="9.6640625" style="37"/>
    <col min="15384" max="15384" width="15.33203125" style="37" customWidth="1"/>
    <col min="15385" max="15385" width="15.21875" style="37" customWidth="1"/>
    <col min="15386" max="15386" width="21.44140625" style="37" customWidth="1"/>
    <col min="15387" max="15402" width="9.6640625" style="37"/>
    <col min="15403" max="15404" width="13.44140625" style="37" customWidth="1"/>
    <col min="15405" max="15405" width="9.6640625" style="37"/>
    <col min="15406" max="15406" width="13.88671875" style="37" customWidth="1"/>
    <col min="15407" max="15407" width="10.6640625" style="37" customWidth="1"/>
    <col min="15408" max="15408" width="17.33203125" style="37" customWidth="1"/>
    <col min="15409" max="15410" width="12.6640625" style="37" customWidth="1"/>
    <col min="15411" max="15411" width="11.21875" style="37" customWidth="1"/>
    <col min="15412" max="15412" width="18.33203125" style="37" customWidth="1"/>
    <col min="15413" max="15413" width="12.88671875" style="37" customWidth="1"/>
    <col min="15414" max="15415" width="13.21875" style="37" customWidth="1"/>
    <col min="15416" max="15416" width="10.88671875" style="37" customWidth="1"/>
    <col min="15417" max="15417" width="11.109375" style="37" customWidth="1"/>
    <col min="15418" max="15418" width="15.21875" style="37" customWidth="1"/>
    <col min="15419" max="15419" width="9.6640625" style="37"/>
    <col min="15420" max="15420" width="11" style="37" customWidth="1"/>
    <col min="15421" max="15421" width="10.77734375" style="37" customWidth="1"/>
    <col min="15422" max="15422" width="11.44140625" style="37" customWidth="1"/>
    <col min="15423" max="15423" width="4" style="37" customWidth="1"/>
    <col min="15424" max="15614" width="9.6640625" style="37"/>
    <col min="15615" max="15615" width="6.44140625" style="37" customWidth="1"/>
    <col min="15616" max="15616" width="13.88671875" style="37" customWidth="1"/>
    <col min="15617" max="15617" width="11.88671875" style="37" customWidth="1"/>
    <col min="15618" max="15620" width="9.6640625" style="37"/>
    <col min="15621" max="15621" width="15.44140625" style="37" customWidth="1"/>
    <col min="15622" max="15622" width="16.21875" style="37" customWidth="1"/>
    <col min="15623" max="15634" width="9.6640625" style="37"/>
    <col min="15635" max="15635" width="12" style="37" customWidth="1"/>
    <col min="15636" max="15636" width="12.77734375" style="37" customWidth="1"/>
    <col min="15637" max="15637" width="11.109375" style="37" customWidth="1"/>
    <col min="15638" max="15638" width="12" style="37" customWidth="1"/>
    <col min="15639" max="15639" width="9.6640625" style="37"/>
    <col min="15640" max="15640" width="15.33203125" style="37" customWidth="1"/>
    <col min="15641" max="15641" width="15.21875" style="37" customWidth="1"/>
    <col min="15642" max="15642" width="21.44140625" style="37" customWidth="1"/>
    <col min="15643" max="15658" width="9.6640625" style="37"/>
    <col min="15659" max="15660" width="13.44140625" style="37" customWidth="1"/>
    <col min="15661" max="15661" width="9.6640625" style="37"/>
    <col min="15662" max="15662" width="13.88671875" style="37" customWidth="1"/>
    <col min="15663" max="15663" width="10.6640625" style="37" customWidth="1"/>
    <col min="15664" max="15664" width="17.33203125" style="37" customWidth="1"/>
    <col min="15665" max="15666" width="12.6640625" style="37" customWidth="1"/>
    <col min="15667" max="15667" width="11.21875" style="37" customWidth="1"/>
    <col min="15668" max="15668" width="18.33203125" style="37" customWidth="1"/>
    <col min="15669" max="15669" width="12.88671875" style="37" customWidth="1"/>
    <col min="15670" max="15671" width="13.21875" style="37" customWidth="1"/>
    <col min="15672" max="15672" width="10.88671875" style="37" customWidth="1"/>
    <col min="15673" max="15673" width="11.109375" style="37" customWidth="1"/>
    <col min="15674" max="15674" width="15.21875" style="37" customWidth="1"/>
    <col min="15675" max="15675" width="9.6640625" style="37"/>
    <col min="15676" max="15676" width="11" style="37" customWidth="1"/>
    <col min="15677" max="15677" width="10.77734375" style="37" customWidth="1"/>
    <col min="15678" max="15678" width="11.44140625" style="37" customWidth="1"/>
    <col min="15679" max="15679" width="4" style="37" customWidth="1"/>
    <col min="15680" max="15870" width="9.6640625" style="37"/>
    <col min="15871" max="15871" width="6.44140625" style="37" customWidth="1"/>
    <col min="15872" max="15872" width="13.88671875" style="37" customWidth="1"/>
    <col min="15873" max="15873" width="11.88671875" style="37" customWidth="1"/>
    <col min="15874" max="15876" width="9.6640625" style="37"/>
    <col min="15877" max="15877" width="15.44140625" style="37" customWidth="1"/>
    <col min="15878" max="15878" width="16.21875" style="37" customWidth="1"/>
    <col min="15879" max="15890" width="9.6640625" style="37"/>
    <col min="15891" max="15891" width="12" style="37" customWidth="1"/>
    <col min="15892" max="15892" width="12.77734375" style="37" customWidth="1"/>
    <col min="15893" max="15893" width="11.109375" style="37" customWidth="1"/>
    <col min="15894" max="15894" width="12" style="37" customWidth="1"/>
    <col min="15895" max="15895" width="9.6640625" style="37"/>
    <col min="15896" max="15896" width="15.33203125" style="37" customWidth="1"/>
    <col min="15897" max="15897" width="15.21875" style="37" customWidth="1"/>
    <col min="15898" max="15898" width="21.44140625" style="37" customWidth="1"/>
    <col min="15899" max="15914" width="9.6640625" style="37"/>
    <col min="15915" max="15916" width="13.44140625" style="37" customWidth="1"/>
    <col min="15917" max="15917" width="9.6640625" style="37"/>
    <col min="15918" max="15918" width="13.88671875" style="37" customWidth="1"/>
    <col min="15919" max="15919" width="10.6640625" style="37" customWidth="1"/>
    <col min="15920" max="15920" width="17.33203125" style="37" customWidth="1"/>
    <col min="15921" max="15922" width="12.6640625" style="37" customWidth="1"/>
    <col min="15923" max="15923" width="11.21875" style="37" customWidth="1"/>
    <col min="15924" max="15924" width="18.33203125" style="37" customWidth="1"/>
    <col min="15925" max="15925" width="12.88671875" style="37" customWidth="1"/>
    <col min="15926" max="15927" width="13.21875" style="37" customWidth="1"/>
    <col min="15928" max="15928" width="10.88671875" style="37" customWidth="1"/>
    <col min="15929" max="15929" width="11.109375" style="37" customWidth="1"/>
    <col min="15930" max="15930" width="15.21875" style="37" customWidth="1"/>
    <col min="15931" max="15931" width="9.6640625" style="37"/>
    <col min="15932" max="15932" width="11" style="37" customWidth="1"/>
    <col min="15933" max="15933" width="10.77734375" style="37" customWidth="1"/>
    <col min="15934" max="15934" width="11.44140625" style="37" customWidth="1"/>
    <col min="15935" max="15935" width="4" style="37" customWidth="1"/>
    <col min="15936" max="16126" width="9.6640625" style="37"/>
    <col min="16127" max="16127" width="6.44140625" style="37" customWidth="1"/>
    <col min="16128" max="16128" width="13.88671875" style="37" customWidth="1"/>
    <col min="16129" max="16129" width="11.88671875" style="37" customWidth="1"/>
    <col min="16130" max="16132" width="9.6640625" style="37"/>
    <col min="16133" max="16133" width="15.44140625" style="37" customWidth="1"/>
    <col min="16134" max="16134" width="16.21875" style="37" customWidth="1"/>
    <col min="16135" max="16146" width="9.6640625" style="37"/>
    <col min="16147" max="16147" width="12" style="37" customWidth="1"/>
    <col min="16148" max="16148" width="12.77734375" style="37" customWidth="1"/>
    <col min="16149" max="16149" width="11.109375" style="37" customWidth="1"/>
    <col min="16150" max="16150" width="12" style="37" customWidth="1"/>
    <col min="16151" max="16151" width="9.6640625" style="37"/>
    <col min="16152" max="16152" width="15.33203125" style="37" customWidth="1"/>
    <col min="16153" max="16153" width="15.21875" style="37" customWidth="1"/>
    <col min="16154" max="16154" width="21.44140625" style="37" customWidth="1"/>
    <col min="16155" max="16170" width="9.6640625" style="37"/>
    <col min="16171" max="16172" width="13.44140625" style="37" customWidth="1"/>
    <col min="16173" max="16173" width="9.6640625" style="37"/>
    <col min="16174" max="16174" width="13.88671875" style="37" customWidth="1"/>
    <col min="16175" max="16175" width="10.6640625" style="37" customWidth="1"/>
    <col min="16176" max="16176" width="17.33203125" style="37" customWidth="1"/>
    <col min="16177" max="16178" width="12.6640625" style="37" customWidth="1"/>
    <col min="16179" max="16179" width="11.21875" style="37" customWidth="1"/>
    <col min="16180" max="16180" width="18.33203125" style="37" customWidth="1"/>
    <col min="16181" max="16181" width="12.88671875" style="37" customWidth="1"/>
    <col min="16182" max="16183" width="13.21875" style="37" customWidth="1"/>
    <col min="16184" max="16184" width="10.88671875" style="37" customWidth="1"/>
    <col min="16185" max="16185" width="11.109375" style="37" customWidth="1"/>
    <col min="16186" max="16186" width="15.21875" style="37" customWidth="1"/>
    <col min="16187" max="16187" width="9.6640625" style="37"/>
    <col min="16188" max="16188" width="11" style="37" customWidth="1"/>
    <col min="16189" max="16189" width="10.77734375" style="37" customWidth="1"/>
    <col min="16190" max="16190" width="11.44140625" style="37" customWidth="1"/>
    <col min="16191" max="16191" width="4" style="37" customWidth="1"/>
    <col min="16192" max="16384" width="9.6640625" style="37"/>
  </cols>
  <sheetData>
    <row r="1" spans="1:77" ht="13.2" x14ac:dyDescent="0.2">
      <c r="A1" s="36" t="s">
        <v>106</v>
      </c>
    </row>
    <row r="2" spans="1:77" x14ac:dyDescent="0.2">
      <c r="C2" s="39" t="s">
        <v>107</v>
      </c>
    </row>
    <row r="3" spans="1:77" s="38" customFormat="1" x14ac:dyDescent="0.2">
      <c r="A3" s="40"/>
      <c r="B3" s="41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</row>
    <row r="4" spans="1:77" s="38" customFormat="1" x14ac:dyDescent="0.2">
      <c r="A4" s="40"/>
      <c r="B4" s="44" t="s">
        <v>108</v>
      </c>
      <c r="C4" s="42" t="s">
        <v>109</v>
      </c>
      <c r="D4" s="42" t="s">
        <v>109</v>
      </c>
      <c r="E4" s="42" t="s">
        <v>109</v>
      </c>
      <c r="F4" s="42" t="s">
        <v>109</v>
      </c>
      <c r="G4" s="42" t="s">
        <v>109</v>
      </c>
      <c r="H4" s="42" t="s">
        <v>109</v>
      </c>
      <c r="I4" s="42" t="s">
        <v>109</v>
      </c>
      <c r="J4" s="42" t="s">
        <v>109</v>
      </c>
      <c r="K4" s="42" t="s">
        <v>109</v>
      </c>
      <c r="L4" s="42" t="s">
        <v>100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</row>
    <row r="5" spans="1:77" s="38" customFormat="1" x14ac:dyDescent="0.2">
      <c r="A5" s="40"/>
      <c r="B5" s="41" t="s">
        <v>110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</row>
    <row r="6" spans="1:77" s="88" customFormat="1" ht="21.6" customHeight="1" x14ac:dyDescent="0.2">
      <c r="A6" s="83"/>
      <c r="B6" s="44" t="s">
        <v>111</v>
      </c>
      <c r="C6" s="44" t="s">
        <v>11</v>
      </c>
      <c r="D6" s="44" t="s">
        <v>191</v>
      </c>
      <c r="E6" s="44" t="s">
        <v>195</v>
      </c>
      <c r="F6" s="44" t="s">
        <v>36</v>
      </c>
      <c r="G6" s="44" t="s">
        <v>41</v>
      </c>
      <c r="H6" s="44" t="s">
        <v>39</v>
      </c>
      <c r="I6" s="44" t="s">
        <v>170</v>
      </c>
      <c r="J6" s="44" t="s">
        <v>37</v>
      </c>
      <c r="K6" s="44" t="s">
        <v>56</v>
      </c>
      <c r="L6" s="44" t="s">
        <v>99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84"/>
      <c r="Y6" s="84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6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</row>
    <row r="7" spans="1:77" x14ac:dyDescent="0.2">
      <c r="A7" s="50" t="s">
        <v>14</v>
      </c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</row>
    <row r="8" spans="1:77" x14ac:dyDescent="0.2">
      <c r="A8" s="53" t="s">
        <v>122</v>
      </c>
      <c r="B8" s="51"/>
      <c r="C8" s="61">
        <v>62.030769230769231</v>
      </c>
      <c r="D8" s="61"/>
      <c r="E8" s="61"/>
      <c r="F8" s="61"/>
      <c r="G8" s="61"/>
      <c r="H8" s="61"/>
      <c r="I8" s="61"/>
      <c r="J8" s="61"/>
      <c r="K8" s="61">
        <v>0.49538461538461537</v>
      </c>
      <c r="L8" s="61">
        <v>0.16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</row>
    <row r="9" spans="1:77" x14ac:dyDescent="0.2">
      <c r="A9" s="53" t="s">
        <v>118</v>
      </c>
      <c r="B9" s="51"/>
      <c r="C9" s="61">
        <v>49.107692307692304</v>
      </c>
      <c r="D9" s="61"/>
      <c r="E9" s="61"/>
      <c r="F9" s="61"/>
      <c r="G9" s="61"/>
      <c r="H9" s="61"/>
      <c r="I9" s="61"/>
      <c r="J9" s="61"/>
      <c r="K9" s="61"/>
      <c r="L9" s="6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</row>
    <row r="10" spans="1:77" x14ac:dyDescent="0.2">
      <c r="A10" s="53" t="s">
        <v>123</v>
      </c>
      <c r="B10" s="51"/>
      <c r="C10" s="61">
        <v>50.051282051282044</v>
      </c>
      <c r="D10" s="61"/>
      <c r="E10" s="61"/>
      <c r="F10" s="61"/>
      <c r="G10" s="61"/>
      <c r="H10" s="61"/>
      <c r="I10" s="61"/>
      <c r="J10" s="61"/>
      <c r="K10" s="61"/>
      <c r="L10" s="6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</row>
    <row r="11" spans="1:77" x14ac:dyDescent="0.2">
      <c r="A11" s="53" t="s">
        <v>119</v>
      </c>
      <c r="B11" s="51"/>
      <c r="C11" s="61">
        <v>40.743589743589745</v>
      </c>
      <c r="D11" s="61">
        <v>2.0102564102564102</v>
      </c>
      <c r="E11" s="61"/>
      <c r="F11" s="61"/>
      <c r="G11" s="61"/>
      <c r="H11" s="61"/>
      <c r="I11" s="61"/>
      <c r="J11" s="61"/>
      <c r="K11" s="61">
        <v>1.0769230769230769</v>
      </c>
      <c r="L11" s="6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</row>
    <row r="12" spans="1:77" x14ac:dyDescent="0.2">
      <c r="A12" s="53" t="s">
        <v>120</v>
      </c>
      <c r="B12" s="51"/>
      <c r="C12" s="61">
        <v>48.533333333333324</v>
      </c>
      <c r="D12" s="61">
        <v>1.346153846153846</v>
      </c>
      <c r="E12" s="61"/>
      <c r="F12" s="61"/>
      <c r="G12" s="61">
        <v>2.0820512820512818</v>
      </c>
      <c r="H12" s="61"/>
      <c r="I12" s="61"/>
      <c r="J12" s="61"/>
      <c r="K12" s="61">
        <v>1.2205128205128204</v>
      </c>
      <c r="L12" s="6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</row>
    <row r="13" spans="1:77" x14ac:dyDescent="0.2">
      <c r="A13" s="53" t="s">
        <v>121</v>
      </c>
      <c r="B13" s="51"/>
      <c r="C13" s="61">
        <v>73.34282861025163</v>
      </c>
      <c r="D13" s="61">
        <v>1.4104390117356083</v>
      </c>
      <c r="E13" s="61"/>
      <c r="F13" s="61"/>
      <c r="G13" s="61">
        <v>2.5916816840641799</v>
      </c>
      <c r="H13" s="61">
        <v>0.56417560469424322</v>
      </c>
      <c r="I13" s="61"/>
      <c r="J13" s="61"/>
      <c r="K13" s="61"/>
      <c r="L13" s="6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</row>
    <row r="14" spans="1:77" x14ac:dyDescent="0.2">
      <c r="A14" s="53" t="s">
        <v>115</v>
      </c>
      <c r="B14" s="52"/>
      <c r="C14" s="61">
        <v>80.84</v>
      </c>
      <c r="D14" s="61">
        <v>2.5694303669166834</v>
      </c>
      <c r="E14" s="61">
        <v>1.0957238984154547</v>
      </c>
      <c r="F14" s="81">
        <v>0.89531914893617026</v>
      </c>
      <c r="G14" s="61"/>
      <c r="H14" s="61"/>
      <c r="I14" s="61">
        <v>5.375</v>
      </c>
      <c r="J14" s="61">
        <v>7.5919258046917619</v>
      </c>
      <c r="K14" s="61"/>
      <c r="L14" s="61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2"/>
      <c r="Y14" s="52"/>
      <c r="Z14" s="52"/>
      <c r="AA14" s="52"/>
      <c r="AB14" s="52"/>
      <c r="AC14" s="56"/>
      <c r="AD14" s="52"/>
      <c r="AE14" s="52"/>
      <c r="AF14" s="52"/>
      <c r="AG14" s="52"/>
      <c r="AH14" s="52"/>
      <c r="AI14" s="52"/>
      <c r="AJ14" s="52"/>
      <c r="AK14" s="56"/>
      <c r="AL14" s="56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4"/>
      <c r="BH14" s="54"/>
      <c r="BI14" s="54"/>
      <c r="BJ14" s="54"/>
      <c r="BK14" s="52"/>
      <c r="BL14" s="52"/>
      <c r="BM14" s="52"/>
    </row>
    <row r="15" spans="1:77" x14ac:dyDescent="0.2">
      <c r="A15" s="53" t="s">
        <v>116</v>
      </c>
      <c r="B15" s="52"/>
      <c r="C15" s="61">
        <v>113.75291375291376</v>
      </c>
      <c r="D15" s="61">
        <v>1.8093049971280872</v>
      </c>
      <c r="E15" s="61">
        <v>1.0337078651685394</v>
      </c>
      <c r="F15" s="61">
        <v>2.067539627842867</v>
      </c>
      <c r="G15" s="61"/>
      <c r="H15" s="61"/>
      <c r="I15" s="61">
        <v>4.9236829148202856</v>
      </c>
      <c r="J15" s="61">
        <v>5.2625237946073584</v>
      </c>
      <c r="K15" s="61"/>
      <c r="L15" s="61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4"/>
      <c r="BH15" s="54"/>
      <c r="BI15" s="54"/>
      <c r="BJ15" s="54"/>
      <c r="BK15" s="52"/>
      <c r="BL15" s="52"/>
      <c r="BM15" s="52"/>
    </row>
    <row r="16" spans="1:77" x14ac:dyDescent="0.2">
      <c r="A16" s="53" t="s">
        <v>117</v>
      </c>
      <c r="B16" s="52"/>
      <c r="C16" s="61">
        <v>85.256159561986706</v>
      </c>
      <c r="D16" s="61">
        <v>2.07796623891835</v>
      </c>
      <c r="E16" s="61">
        <v>1.3867723255105151</v>
      </c>
      <c r="F16" s="61">
        <v>2.5310021226678585</v>
      </c>
      <c r="G16" s="61"/>
      <c r="H16" s="61"/>
      <c r="I16" s="61">
        <v>3.7601952900631819</v>
      </c>
      <c r="J16" s="61">
        <v>2.7470346610052148</v>
      </c>
      <c r="K16" s="61"/>
      <c r="L16" s="61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4"/>
      <c r="BH16" s="54"/>
      <c r="BI16" s="54"/>
      <c r="BJ16" s="54"/>
      <c r="BK16" s="52"/>
      <c r="BL16" s="52"/>
      <c r="BM16" s="52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13"/>
  <sheetViews>
    <sheetView workbookViewId="0">
      <pane xSplit="2" ySplit="8" topLeftCell="I9" activePane="bottomRight" state="frozenSplit"/>
      <selection activeCell="C8" sqref="C8:Y11"/>
      <selection pane="topRight" activeCell="C8" sqref="C8:Y11"/>
      <selection pane="bottomLeft" activeCell="C8" sqref="C8:Y11"/>
      <selection pane="bottomRight" activeCell="I7" sqref="I7"/>
    </sheetView>
  </sheetViews>
  <sheetFormatPr defaultColWidth="9.6640625" defaultRowHeight="12" x14ac:dyDescent="0.2"/>
  <cols>
    <col min="1" max="1" width="6.44140625" style="38" customWidth="1"/>
    <col min="2" max="2" width="13.88671875" style="37" customWidth="1"/>
    <col min="3" max="3" width="11.88671875" style="37" customWidth="1"/>
    <col min="4" max="6" width="9.6640625" style="37"/>
    <col min="7" max="7" width="15.44140625" style="37" customWidth="1"/>
    <col min="8" max="8" width="8" style="37" customWidth="1"/>
    <col min="9" max="9" width="9.6640625" style="37"/>
    <col min="10" max="10" width="12.21875" style="37" customWidth="1"/>
    <col min="11" max="11" width="11.88671875" style="37" customWidth="1"/>
    <col min="12" max="12" width="13.44140625" style="37" customWidth="1"/>
    <col min="13" max="13" width="12" style="37" customWidth="1"/>
    <col min="14" max="14" width="11.33203125" style="37" customWidth="1"/>
    <col min="15" max="20" width="9.6640625" style="37"/>
    <col min="21" max="21" width="12" style="37" customWidth="1"/>
    <col min="22" max="22" width="12.77734375" style="37" customWidth="1"/>
    <col min="23" max="23" width="11.109375" style="37" customWidth="1"/>
    <col min="24" max="24" width="12" style="37" customWidth="1"/>
    <col min="25" max="25" width="11.33203125" style="37" customWidth="1"/>
    <col min="26" max="26" width="15.33203125" style="37" customWidth="1"/>
    <col min="27" max="27" width="11.33203125" style="37" customWidth="1"/>
    <col min="28" max="28" width="9.44140625" style="37" customWidth="1"/>
    <col min="29" max="29" width="13.21875" style="37" customWidth="1"/>
    <col min="30" max="37" width="9.6640625" style="37"/>
    <col min="38" max="38" width="12.5546875" style="37" customWidth="1"/>
    <col min="39" max="39" width="12.88671875" style="37" customWidth="1"/>
    <col min="40" max="40" width="12.5546875" style="37" customWidth="1"/>
    <col min="41" max="41" width="15.5546875" style="37" customWidth="1"/>
    <col min="42" max="44" width="9.6640625" style="37"/>
    <col min="45" max="46" width="13.44140625" style="37" customWidth="1"/>
    <col min="47" max="47" width="9.6640625" style="37"/>
    <col min="48" max="48" width="13.88671875" style="37" customWidth="1"/>
    <col min="49" max="49" width="10.6640625" style="37" customWidth="1"/>
    <col min="50" max="50" width="17.33203125" style="37" customWidth="1"/>
    <col min="51" max="52" width="12.6640625" style="37" customWidth="1"/>
    <col min="53" max="53" width="11.21875" style="37" customWidth="1"/>
    <col min="54" max="54" width="18.33203125" style="37" customWidth="1"/>
    <col min="55" max="55" width="12.88671875" style="37" customWidth="1"/>
    <col min="56" max="57" width="13.21875" style="37" customWidth="1"/>
    <col min="58" max="58" width="10.88671875" style="37" customWidth="1"/>
    <col min="59" max="59" width="11.109375" style="37" customWidth="1"/>
    <col min="60" max="60" width="15.21875" style="37" customWidth="1"/>
    <col min="61" max="61" width="9.6640625" style="37"/>
    <col min="62" max="62" width="11" style="37" customWidth="1"/>
    <col min="63" max="63" width="10.77734375" style="37" customWidth="1"/>
    <col min="64" max="64" width="11.44140625" style="37" customWidth="1"/>
    <col min="65" max="65" width="4" style="37" customWidth="1"/>
    <col min="66" max="256" width="9.6640625" style="37"/>
    <col min="257" max="257" width="6.44140625" style="37" customWidth="1"/>
    <col min="258" max="258" width="13.88671875" style="37" customWidth="1"/>
    <col min="259" max="259" width="11.88671875" style="37" customWidth="1"/>
    <col min="260" max="262" width="9.6640625" style="37"/>
    <col min="263" max="263" width="15.44140625" style="37" customWidth="1"/>
    <col min="264" max="264" width="16.21875" style="37" customWidth="1"/>
    <col min="265" max="276" width="9.6640625" style="37"/>
    <col min="277" max="277" width="12" style="37" customWidth="1"/>
    <col min="278" max="278" width="12.77734375" style="37" customWidth="1"/>
    <col min="279" max="279" width="11.109375" style="37" customWidth="1"/>
    <col min="280" max="280" width="12" style="37" customWidth="1"/>
    <col min="281" max="281" width="9.6640625" style="37"/>
    <col min="282" max="282" width="15.33203125" style="37" customWidth="1"/>
    <col min="283" max="283" width="15.21875" style="37" customWidth="1"/>
    <col min="284" max="284" width="21.44140625" style="37" customWidth="1"/>
    <col min="285" max="300" width="9.6640625" style="37"/>
    <col min="301" max="302" width="13.44140625" style="37" customWidth="1"/>
    <col min="303" max="303" width="9.6640625" style="37"/>
    <col min="304" max="304" width="13.88671875" style="37" customWidth="1"/>
    <col min="305" max="305" width="10.6640625" style="37" customWidth="1"/>
    <col min="306" max="306" width="17.33203125" style="37" customWidth="1"/>
    <col min="307" max="308" width="12.6640625" style="37" customWidth="1"/>
    <col min="309" max="309" width="11.21875" style="37" customWidth="1"/>
    <col min="310" max="310" width="18.33203125" style="37" customWidth="1"/>
    <col min="311" max="311" width="12.88671875" style="37" customWidth="1"/>
    <col min="312" max="313" width="13.21875" style="37" customWidth="1"/>
    <col min="314" max="314" width="10.88671875" style="37" customWidth="1"/>
    <col min="315" max="315" width="11.109375" style="37" customWidth="1"/>
    <col min="316" max="316" width="15.21875" style="37" customWidth="1"/>
    <col min="317" max="317" width="9.6640625" style="37"/>
    <col min="318" max="318" width="11" style="37" customWidth="1"/>
    <col min="319" max="319" width="10.77734375" style="37" customWidth="1"/>
    <col min="320" max="320" width="11.44140625" style="37" customWidth="1"/>
    <col min="321" max="321" width="4" style="37" customWidth="1"/>
    <col min="322" max="512" width="9.6640625" style="37"/>
    <col min="513" max="513" width="6.44140625" style="37" customWidth="1"/>
    <col min="514" max="514" width="13.88671875" style="37" customWidth="1"/>
    <col min="515" max="515" width="11.88671875" style="37" customWidth="1"/>
    <col min="516" max="518" width="9.6640625" style="37"/>
    <col min="519" max="519" width="15.44140625" style="37" customWidth="1"/>
    <col min="520" max="520" width="16.21875" style="37" customWidth="1"/>
    <col min="521" max="532" width="9.6640625" style="37"/>
    <col min="533" max="533" width="12" style="37" customWidth="1"/>
    <col min="534" max="534" width="12.77734375" style="37" customWidth="1"/>
    <col min="535" max="535" width="11.109375" style="37" customWidth="1"/>
    <col min="536" max="536" width="12" style="37" customWidth="1"/>
    <col min="537" max="537" width="9.6640625" style="37"/>
    <col min="538" max="538" width="15.33203125" style="37" customWidth="1"/>
    <col min="539" max="539" width="15.21875" style="37" customWidth="1"/>
    <col min="540" max="540" width="21.44140625" style="37" customWidth="1"/>
    <col min="541" max="556" width="9.6640625" style="37"/>
    <col min="557" max="558" width="13.44140625" style="37" customWidth="1"/>
    <col min="559" max="559" width="9.6640625" style="37"/>
    <col min="560" max="560" width="13.88671875" style="37" customWidth="1"/>
    <col min="561" max="561" width="10.6640625" style="37" customWidth="1"/>
    <col min="562" max="562" width="17.33203125" style="37" customWidth="1"/>
    <col min="563" max="564" width="12.6640625" style="37" customWidth="1"/>
    <col min="565" max="565" width="11.21875" style="37" customWidth="1"/>
    <col min="566" max="566" width="18.33203125" style="37" customWidth="1"/>
    <col min="567" max="567" width="12.88671875" style="37" customWidth="1"/>
    <col min="568" max="569" width="13.21875" style="37" customWidth="1"/>
    <col min="570" max="570" width="10.88671875" style="37" customWidth="1"/>
    <col min="571" max="571" width="11.109375" style="37" customWidth="1"/>
    <col min="572" max="572" width="15.21875" style="37" customWidth="1"/>
    <col min="573" max="573" width="9.6640625" style="37"/>
    <col min="574" max="574" width="11" style="37" customWidth="1"/>
    <col min="575" max="575" width="10.77734375" style="37" customWidth="1"/>
    <col min="576" max="576" width="11.44140625" style="37" customWidth="1"/>
    <col min="577" max="577" width="4" style="37" customWidth="1"/>
    <col min="578" max="768" width="9.6640625" style="37"/>
    <col min="769" max="769" width="6.44140625" style="37" customWidth="1"/>
    <col min="770" max="770" width="13.88671875" style="37" customWidth="1"/>
    <col min="771" max="771" width="11.88671875" style="37" customWidth="1"/>
    <col min="772" max="774" width="9.6640625" style="37"/>
    <col min="775" max="775" width="15.44140625" style="37" customWidth="1"/>
    <col min="776" max="776" width="16.21875" style="37" customWidth="1"/>
    <col min="777" max="788" width="9.6640625" style="37"/>
    <col min="789" max="789" width="12" style="37" customWidth="1"/>
    <col min="790" max="790" width="12.77734375" style="37" customWidth="1"/>
    <col min="791" max="791" width="11.109375" style="37" customWidth="1"/>
    <col min="792" max="792" width="12" style="37" customWidth="1"/>
    <col min="793" max="793" width="9.6640625" style="37"/>
    <col min="794" max="794" width="15.33203125" style="37" customWidth="1"/>
    <col min="795" max="795" width="15.21875" style="37" customWidth="1"/>
    <col min="796" max="796" width="21.44140625" style="37" customWidth="1"/>
    <col min="797" max="812" width="9.6640625" style="37"/>
    <col min="813" max="814" width="13.44140625" style="37" customWidth="1"/>
    <col min="815" max="815" width="9.6640625" style="37"/>
    <col min="816" max="816" width="13.88671875" style="37" customWidth="1"/>
    <col min="817" max="817" width="10.6640625" style="37" customWidth="1"/>
    <col min="818" max="818" width="17.33203125" style="37" customWidth="1"/>
    <col min="819" max="820" width="12.6640625" style="37" customWidth="1"/>
    <col min="821" max="821" width="11.21875" style="37" customWidth="1"/>
    <col min="822" max="822" width="18.33203125" style="37" customWidth="1"/>
    <col min="823" max="823" width="12.88671875" style="37" customWidth="1"/>
    <col min="824" max="825" width="13.21875" style="37" customWidth="1"/>
    <col min="826" max="826" width="10.88671875" style="37" customWidth="1"/>
    <col min="827" max="827" width="11.109375" style="37" customWidth="1"/>
    <col min="828" max="828" width="15.21875" style="37" customWidth="1"/>
    <col min="829" max="829" width="9.6640625" style="37"/>
    <col min="830" max="830" width="11" style="37" customWidth="1"/>
    <col min="831" max="831" width="10.77734375" style="37" customWidth="1"/>
    <col min="832" max="832" width="11.44140625" style="37" customWidth="1"/>
    <col min="833" max="833" width="4" style="37" customWidth="1"/>
    <col min="834" max="1024" width="9.6640625" style="37"/>
    <col min="1025" max="1025" width="6.44140625" style="37" customWidth="1"/>
    <col min="1026" max="1026" width="13.88671875" style="37" customWidth="1"/>
    <col min="1027" max="1027" width="11.88671875" style="37" customWidth="1"/>
    <col min="1028" max="1030" width="9.6640625" style="37"/>
    <col min="1031" max="1031" width="15.44140625" style="37" customWidth="1"/>
    <col min="1032" max="1032" width="16.21875" style="37" customWidth="1"/>
    <col min="1033" max="1044" width="9.6640625" style="37"/>
    <col min="1045" max="1045" width="12" style="37" customWidth="1"/>
    <col min="1046" max="1046" width="12.77734375" style="37" customWidth="1"/>
    <col min="1047" max="1047" width="11.109375" style="37" customWidth="1"/>
    <col min="1048" max="1048" width="12" style="37" customWidth="1"/>
    <col min="1049" max="1049" width="9.6640625" style="37"/>
    <col min="1050" max="1050" width="15.33203125" style="37" customWidth="1"/>
    <col min="1051" max="1051" width="15.21875" style="37" customWidth="1"/>
    <col min="1052" max="1052" width="21.44140625" style="37" customWidth="1"/>
    <col min="1053" max="1068" width="9.6640625" style="37"/>
    <col min="1069" max="1070" width="13.44140625" style="37" customWidth="1"/>
    <col min="1071" max="1071" width="9.6640625" style="37"/>
    <col min="1072" max="1072" width="13.88671875" style="37" customWidth="1"/>
    <col min="1073" max="1073" width="10.6640625" style="37" customWidth="1"/>
    <col min="1074" max="1074" width="17.33203125" style="37" customWidth="1"/>
    <col min="1075" max="1076" width="12.6640625" style="37" customWidth="1"/>
    <col min="1077" max="1077" width="11.21875" style="37" customWidth="1"/>
    <col min="1078" max="1078" width="18.33203125" style="37" customWidth="1"/>
    <col min="1079" max="1079" width="12.88671875" style="37" customWidth="1"/>
    <col min="1080" max="1081" width="13.21875" style="37" customWidth="1"/>
    <col min="1082" max="1082" width="10.88671875" style="37" customWidth="1"/>
    <col min="1083" max="1083" width="11.109375" style="37" customWidth="1"/>
    <col min="1084" max="1084" width="15.21875" style="37" customWidth="1"/>
    <col min="1085" max="1085" width="9.6640625" style="37"/>
    <col min="1086" max="1086" width="11" style="37" customWidth="1"/>
    <col min="1087" max="1087" width="10.77734375" style="37" customWidth="1"/>
    <col min="1088" max="1088" width="11.44140625" style="37" customWidth="1"/>
    <col min="1089" max="1089" width="4" style="37" customWidth="1"/>
    <col min="1090" max="1280" width="9.6640625" style="37"/>
    <col min="1281" max="1281" width="6.44140625" style="37" customWidth="1"/>
    <col min="1282" max="1282" width="13.88671875" style="37" customWidth="1"/>
    <col min="1283" max="1283" width="11.88671875" style="37" customWidth="1"/>
    <col min="1284" max="1286" width="9.6640625" style="37"/>
    <col min="1287" max="1287" width="15.44140625" style="37" customWidth="1"/>
    <col min="1288" max="1288" width="16.21875" style="37" customWidth="1"/>
    <col min="1289" max="1300" width="9.6640625" style="37"/>
    <col min="1301" max="1301" width="12" style="37" customWidth="1"/>
    <col min="1302" max="1302" width="12.77734375" style="37" customWidth="1"/>
    <col min="1303" max="1303" width="11.109375" style="37" customWidth="1"/>
    <col min="1304" max="1304" width="12" style="37" customWidth="1"/>
    <col min="1305" max="1305" width="9.6640625" style="37"/>
    <col min="1306" max="1306" width="15.33203125" style="37" customWidth="1"/>
    <col min="1307" max="1307" width="15.21875" style="37" customWidth="1"/>
    <col min="1308" max="1308" width="21.44140625" style="37" customWidth="1"/>
    <col min="1309" max="1324" width="9.6640625" style="37"/>
    <col min="1325" max="1326" width="13.44140625" style="37" customWidth="1"/>
    <col min="1327" max="1327" width="9.6640625" style="37"/>
    <col min="1328" max="1328" width="13.88671875" style="37" customWidth="1"/>
    <col min="1329" max="1329" width="10.6640625" style="37" customWidth="1"/>
    <col min="1330" max="1330" width="17.33203125" style="37" customWidth="1"/>
    <col min="1331" max="1332" width="12.6640625" style="37" customWidth="1"/>
    <col min="1333" max="1333" width="11.21875" style="37" customWidth="1"/>
    <col min="1334" max="1334" width="18.33203125" style="37" customWidth="1"/>
    <col min="1335" max="1335" width="12.88671875" style="37" customWidth="1"/>
    <col min="1336" max="1337" width="13.21875" style="37" customWidth="1"/>
    <col min="1338" max="1338" width="10.88671875" style="37" customWidth="1"/>
    <col min="1339" max="1339" width="11.109375" style="37" customWidth="1"/>
    <col min="1340" max="1340" width="15.21875" style="37" customWidth="1"/>
    <col min="1341" max="1341" width="9.6640625" style="37"/>
    <col min="1342" max="1342" width="11" style="37" customWidth="1"/>
    <col min="1343" max="1343" width="10.77734375" style="37" customWidth="1"/>
    <col min="1344" max="1344" width="11.44140625" style="37" customWidth="1"/>
    <col min="1345" max="1345" width="4" style="37" customWidth="1"/>
    <col min="1346" max="1536" width="9.6640625" style="37"/>
    <col min="1537" max="1537" width="6.44140625" style="37" customWidth="1"/>
    <col min="1538" max="1538" width="13.88671875" style="37" customWidth="1"/>
    <col min="1539" max="1539" width="11.88671875" style="37" customWidth="1"/>
    <col min="1540" max="1542" width="9.6640625" style="37"/>
    <col min="1543" max="1543" width="15.44140625" style="37" customWidth="1"/>
    <col min="1544" max="1544" width="16.21875" style="37" customWidth="1"/>
    <col min="1545" max="1556" width="9.6640625" style="37"/>
    <col min="1557" max="1557" width="12" style="37" customWidth="1"/>
    <col min="1558" max="1558" width="12.77734375" style="37" customWidth="1"/>
    <col min="1559" max="1559" width="11.109375" style="37" customWidth="1"/>
    <col min="1560" max="1560" width="12" style="37" customWidth="1"/>
    <col min="1561" max="1561" width="9.6640625" style="37"/>
    <col min="1562" max="1562" width="15.33203125" style="37" customWidth="1"/>
    <col min="1563" max="1563" width="15.21875" style="37" customWidth="1"/>
    <col min="1564" max="1564" width="21.44140625" style="37" customWidth="1"/>
    <col min="1565" max="1580" width="9.6640625" style="37"/>
    <col min="1581" max="1582" width="13.44140625" style="37" customWidth="1"/>
    <col min="1583" max="1583" width="9.6640625" style="37"/>
    <col min="1584" max="1584" width="13.88671875" style="37" customWidth="1"/>
    <col min="1585" max="1585" width="10.6640625" style="37" customWidth="1"/>
    <col min="1586" max="1586" width="17.33203125" style="37" customWidth="1"/>
    <col min="1587" max="1588" width="12.6640625" style="37" customWidth="1"/>
    <col min="1589" max="1589" width="11.21875" style="37" customWidth="1"/>
    <col min="1590" max="1590" width="18.33203125" style="37" customWidth="1"/>
    <col min="1591" max="1591" width="12.88671875" style="37" customWidth="1"/>
    <col min="1592" max="1593" width="13.21875" style="37" customWidth="1"/>
    <col min="1594" max="1594" width="10.88671875" style="37" customWidth="1"/>
    <col min="1595" max="1595" width="11.109375" style="37" customWidth="1"/>
    <col min="1596" max="1596" width="15.21875" style="37" customWidth="1"/>
    <col min="1597" max="1597" width="9.6640625" style="37"/>
    <col min="1598" max="1598" width="11" style="37" customWidth="1"/>
    <col min="1599" max="1599" width="10.77734375" style="37" customWidth="1"/>
    <col min="1600" max="1600" width="11.44140625" style="37" customWidth="1"/>
    <col min="1601" max="1601" width="4" style="37" customWidth="1"/>
    <col min="1602" max="1792" width="9.6640625" style="37"/>
    <col min="1793" max="1793" width="6.44140625" style="37" customWidth="1"/>
    <col min="1794" max="1794" width="13.88671875" style="37" customWidth="1"/>
    <col min="1795" max="1795" width="11.88671875" style="37" customWidth="1"/>
    <col min="1796" max="1798" width="9.6640625" style="37"/>
    <col min="1799" max="1799" width="15.44140625" style="37" customWidth="1"/>
    <col min="1800" max="1800" width="16.21875" style="37" customWidth="1"/>
    <col min="1801" max="1812" width="9.6640625" style="37"/>
    <col min="1813" max="1813" width="12" style="37" customWidth="1"/>
    <col min="1814" max="1814" width="12.77734375" style="37" customWidth="1"/>
    <col min="1815" max="1815" width="11.109375" style="37" customWidth="1"/>
    <col min="1816" max="1816" width="12" style="37" customWidth="1"/>
    <col min="1817" max="1817" width="9.6640625" style="37"/>
    <col min="1818" max="1818" width="15.33203125" style="37" customWidth="1"/>
    <col min="1819" max="1819" width="15.21875" style="37" customWidth="1"/>
    <col min="1820" max="1820" width="21.44140625" style="37" customWidth="1"/>
    <col min="1821" max="1836" width="9.6640625" style="37"/>
    <col min="1837" max="1838" width="13.44140625" style="37" customWidth="1"/>
    <col min="1839" max="1839" width="9.6640625" style="37"/>
    <col min="1840" max="1840" width="13.88671875" style="37" customWidth="1"/>
    <col min="1841" max="1841" width="10.6640625" style="37" customWidth="1"/>
    <col min="1842" max="1842" width="17.33203125" style="37" customWidth="1"/>
    <col min="1843" max="1844" width="12.6640625" style="37" customWidth="1"/>
    <col min="1845" max="1845" width="11.21875" style="37" customWidth="1"/>
    <col min="1846" max="1846" width="18.33203125" style="37" customWidth="1"/>
    <col min="1847" max="1847" width="12.88671875" style="37" customWidth="1"/>
    <col min="1848" max="1849" width="13.21875" style="37" customWidth="1"/>
    <col min="1850" max="1850" width="10.88671875" style="37" customWidth="1"/>
    <col min="1851" max="1851" width="11.109375" style="37" customWidth="1"/>
    <col min="1852" max="1852" width="15.21875" style="37" customWidth="1"/>
    <col min="1853" max="1853" width="9.6640625" style="37"/>
    <col min="1854" max="1854" width="11" style="37" customWidth="1"/>
    <col min="1855" max="1855" width="10.77734375" style="37" customWidth="1"/>
    <col min="1856" max="1856" width="11.44140625" style="37" customWidth="1"/>
    <col min="1857" max="1857" width="4" style="37" customWidth="1"/>
    <col min="1858" max="2048" width="9.6640625" style="37"/>
    <col min="2049" max="2049" width="6.44140625" style="37" customWidth="1"/>
    <col min="2050" max="2050" width="13.88671875" style="37" customWidth="1"/>
    <col min="2051" max="2051" width="11.88671875" style="37" customWidth="1"/>
    <col min="2052" max="2054" width="9.6640625" style="37"/>
    <col min="2055" max="2055" width="15.44140625" style="37" customWidth="1"/>
    <col min="2056" max="2056" width="16.21875" style="37" customWidth="1"/>
    <col min="2057" max="2068" width="9.6640625" style="37"/>
    <col min="2069" max="2069" width="12" style="37" customWidth="1"/>
    <col min="2070" max="2070" width="12.77734375" style="37" customWidth="1"/>
    <col min="2071" max="2071" width="11.109375" style="37" customWidth="1"/>
    <col min="2072" max="2072" width="12" style="37" customWidth="1"/>
    <col min="2073" max="2073" width="9.6640625" style="37"/>
    <col min="2074" max="2074" width="15.33203125" style="37" customWidth="1"/>
    <col min="2075" max="2075" width="15.21875" style="37" customWidth="1"/>
    <col min="2076" max="2076" width="21.44140625" style="37" customWidth="1"/>
    <col min="2077" max="2092" width="9.6640625" style="37"/>
    <col min="2093" max="2094" width="13.44140625" style="37" customWidth="1"/>
    <col min="2095" max="2095" width="9.6640625" style="37"/>
    <col min="2096" max="2096" width="13.88671875" style="37" customWidth="1"/>
    <col min="2097" max="2097" width="10.6640625" style="37" customWidth="1"/>
    <col min="2098" max="2098" width="17.33203125" style="37" customWidth="1"/>
    <col min="2099" max="2100" width="12.6640625" style="37" customWidth="1"/>
    <col min="2101" max="2101" width="11.21875" style="37" customWidth="1"/>
    <col min="2102" max="2102" width="18.33203125" style="37" customWidth="1"/>
    <col min="2103" max="2103" width="12.88671875" style="37" customWidth="1"/>
    <col min="2104" max="2105" width="13.21875" style="37" customWidth="1"/>
    <col min="2106" max="2106" width="10.88671875" style="37" customWidth="1"/>
    <col min="2107" max="2107" width="11.109375" style="37" customWidth="1"/>
    <col min="2108" max="2108" width="15.21875" style="37" customWidth="1"/>
    <col min="2109" max="2109" width="9.6640625" style="37"/>
    <col min="2110" max="2110" width="11" style="37" customWidth="1"/>
    <col min="2111" max="2111" width="10.77734375" style="37" customWidth="1"/>
    <col min="2112" max="2112" width="11.44140625" style="37" customWidth="1"/>
    <col min="2113" max="2113" width="4" style="37" customWidth="1"/>
    <col min="2114" max="2304" width="9.6640625" style="37"/>
    <col min="2305" max="2305" width="6.44140625" style="37" customWidth="1"/>
    <col min="2306" max="2306" width="13.88671875" style="37" customWidth="1"/>
    <col min="2307" max="2307" width="11.88671875" style="37" customWidth="1"/>
    <col min="2308" max="2310" width="9.6640625" style="37"/>
    <col min="2311" max="2311" width="15.44140625" style="37" customWidth="1"/>
    <col min="2312" max="2312" width="16.21875" style="37" customWidth="1"/>
    <col min="2313" max="2324" width="9.6640625" style="37"/>
    <col min="2325" max="2325" width="12" style="37" customWidth="1"/>
    <col min="2326" max="2326" width="12.77734375" style="37" customWidth="1"/>
    <col min="2327" max="2327" width="11.109375" style="37" customWidth="1"/>
    <col min="2328" max="2328" width="12" style="37" customWidth="1"/>
    <col min="2329" max="2329" width="9.6640625" style="37"/>
    <col min="2330" max="2330" width="15.33203125" style="37" customWidth="1"/>
    <col min="2331" max="2331" width="15.21875" style="37" customWidth="1"/>
    <col min="2332" max="2332" width="21.44140625" style="37" customWidth="1"/>
    <col min="2333" max="2348" width="9.6640625" style="37"/>
    <col min="2349" max="2350" width="13.44140625" style="37" customWidth="1"/>
    <col min="2351" max="2351" width="9.6640625" style="37"/>
    <col min="2352" max="2352" width="13.88671875" style="37" customWidth="1"/>
    <col min="2353" max="2353" width="10.6640625" style="37" customWidth="1"/>
    <col min="2354" max="2354" width="17.33203125" style="37" customWidth="1"/>
    <col min="2355" max="2356" width="12.6640625" style="37" customWidth="1"/>
    <col min="2357" max="2357" width="11.21875" style="37" customWidth="1"/>
    <col min="2358" max="2358" width="18.33203125" style="37" customWidth="1"/>
    <col min="2359" max="2359" width="12.88671875" style="37" customWidth="1"/>
    <col min="2360" max="2361" width="13.21875" style="37" customWidth="1"/>
    <col min="2362" max="2362" width="10.88671875" style="37" customWidth="1"/>
    <col min="2363" max="2363" width="11.109375" style="37" customWidth="1"/>
    <col min="2364" max="2364" width="15.21875" style="37" customWidth="1"/>
    <col min="2365" max="2365" width="9.6640625" style="37"/>
    <col min="2366" max="2366" width="11" style="37" customWidth="1"/>
    <col min="2367" max="2367" width="10.77734375" style="37" customWidth="1"/>
    <col min="2368" max="2368" width="11.44140625" style="37" customWidth="1"/>
    <col min="2369" max="2369" width="4" style="37" customWidth="1"/>
    <col min="2370" max="2560" width="9.6640625" style="37"/>
    <col min="2561" max="2561" width="6.44140625" style="37" customWidth="1"/>
    <col min="2562" max="2562" width="13.88671875" style="37" customWidth="1"/>
    <col min="2563" max="2563" width="11.88671875" style="37" customWidth="1"/>
    <col min="2564" max="2566" width="9.6640625" style="37"/>
    <col min="2567" max="2567" width="15.44140625" style="37" customWidth="1"/>
    <col min="2568" max="2568" width="16.21875" style="37" customWidth="1"/>
    <col min="2569" max="2580" width="9.6640625" style="37"/>
    <col min="2581" max="2581" width="12" style="37" customWidth="1"/>
    <col min="2582" max="2582" width="12.77734375" style="37" customWidth="1"/>
    <col min="2583" max="2583" width="11.109375" style="37" customWidth="1"/>
    <col min="2584" max="2584" width="12" style="37" customWidth="1"/>
    <col min="2585" max="2585" width="9.6640625" style="37"/>
    <col min="2586" max="2586" width="15.33203125" style="37" customWidth="1"/>
    <col min="2587" max="2587" width="15.21875" style="37" customWidth="1"/>
    <col min="2588" max="2588" width="21.44140625" style="37" customWidth="1"/>
    <col min="2589" max="2604" width="9.6640625" style="37"/>
    <col min="2605" max="2606" width="13.44140625" style="37" customWidth="1"/>
    <col min="2607" max="2607" width="9.6640625" style="37"/>
    <col min="2608" max="2608" width="13.88671875" style="37" customWidth="1"/>
    <col min="2609" max="2609" width="10.6640625" style="37" customWidth="1"/>
    <col min="2610" max="2610" width="17.33203125" style="37" customWidth="1"/>
    <col min="2611" max="2612" width="12.6640625" style="37" customWidth="1"/>
    <col min="2613" max="2613" width="11.21875" style="37" customWidth="1"/>
    <col min="2614" max="2614" width="18.33203125" style="37" customWidth="1"/>
    <col min="2615" max="2615" width="12.88671875" style="37" customWidth="1"/>
    <col min="2616" max="2617" width="13.21875" style="37" customWidth="1"/>
    <col min="2618" max="2618" width="10.88671875" style="37" customWidth="1"/>
    <col min="2619" max="2619" width="11.109375" style="37" customWidth="1"/>
    <col min="2620" max="2620" width="15.21875" style="37" customWidth="1"/>
    <col min="2621" max="2621" width="9.6640625" style="37"/>
    <col min="2622" max="2622" width="11" style="37" customWidth="1"/>
    <col min="2623" max="2623" width="10.77734375" style="37" customWidth="1"/>
    <col min="2624" max="2624" width="11.44140625" style="37" customWidth="1"/>
    <col min="2625" max="2625" width="4" style="37" customWidth="1"/>
    <col min="2626" max="2816" width="9.6640625" style="37"/>
    <col min="2817" max="2817" width="6.44140625" style="37" customWidth="1"/>
    <col min="2818" max="2818" width="13.88671875" style="37" customWidth="1"/>
    <col min="2819" max="2819" width="11.88671875" style="37" customWidth="1"/>
    <col min="2820" max="2822" width="9.6640625" style="37"/>
    <col min="2823" max="2823" width="15.44140625" style="37" customWidth="1"/>
    <col min="2824" max="2824" width="16.21875" style="37" customWidth="1"/>
    <col min="2825" max="2836" width="9.6640625" style="37"/>
    <col min="2837" max="2837" width="12" style="37" customWidth="1"/>
    <col min="2838" max="2838" width="12.77734375" style="37" customWidth="1"/>
    <col min="2839" max="2839" width="11.109375" style="37" customWidth="1"/>
    <col min="2840" max="2840" width="12" style="37" customWidth="1"/>
    <col min="2841" max="2841" width="9.6640625" style="37"/>
    <col min="2842" max="2842" width="15.33203125" style="37" customWidth="1"/>
    <col min="2843" max="2843" width="15.21875" style="37" customWidth="1"/>
    <col min="2844" max="2844" width="21.44140625" style="37" customWidth="1"/>
    <col min="2845" max="2860" width="9.6640625" style="37"/>
    <col min="2861" max="2862" width="13.44140625" style="37" customWidth="1"/>
    <col min="2863" max="2863" width="9.6640625" style="37"/>
    <col min="2864" max="2864" width="13.88671875" style="37" customWidth="1"/>
    <col min="2865" max="2865" width="10.6640625" style="37" customWidth="1"/>
    <col min="2866" max="2866" width="17.33203125" style="37" customWidth="1"/>
    <col min="2867" max="2868" width="12.6640625" style="37" customWidth="1"/>
    <col min="2869" max="2869" width="11.21875" style="37" customWidth="1"/>
    <col min="2870" max="2870" width="18.33203125" style="37" customWidth="1"/>
    <col min="2871" max="2871" width="12.88671875" style="37" customWidth="1"/>
    <col min="2872" max="2873" width="13.21875" style="37" customWidth="1"/>
    <col min="2874" max="2874" width="10.88671875" style="37" customWidth="1"/>
    <col min="2875" max="2875" width="11.109375" style="37" customWidth="1"/>
    <col min="2876" max="2876" width="15.21875" style="37" customWidth="1"/>
    <col min="2877" max="2877" width="9.6640625" style="37"/>
    <col min="2878" max="2878" width="11" style="37" customWidth="1"/>
    <col min="2879" max="2879" width="10.77734375" style="37" customWidth="1"/>
    <col min="2880" max="2880" width="11.44140625" style="37" customWidth="1"/>
    <col min="2881" max="2881" width="4" style="37" customWidth="1"/>
    <col min="2882" max="3072" width="9.6640625" style="37"/>
    <col min="3073" max="3073" width="6.44140625" style="37" customWidth="1"/>
    <col min="3074" max="3074" width="13.88671875" style="37" customWidth="1"/>
    <col min="3075" max="3075" width="11.88671875" style="37" customWidth="1"/>
    <col min="3076" max="3078" width="9.6640625" style="37"/>
    <col min="3079" max="3079" width="15.44140625" style="37" customWidth="1"/>
    <col min="3080" max="3080" width="16.21875" style="37" customWidth="1"/>
    <col min="3081" max="3092" width="9.6640625" style="37"/>
    <col min="3093" max="3093" width="12" style="37" customWidth="1"/>
    <col min="3094" max="3094" width="12.77734375" style="37" customWidth="1"/>
    <col min="3095" max="3095" width="11.109375" style="37" customWidth="1"/>
    <col min="3096" max="3096" width="12" style="37" customWidth="1"/>
    <col min="3097" max="3097" width="9.6640625" style="37"/>
    <col min="3098" max="3098" width="15.33203125" style="37" customWidth="1"/>
    <col min="3099" max="3099" width="15.21875" style="37" customWidth="1"/>
    <col min="3100" max="3100" width="21.44140625" style="37" customWidth="1"/>
    <col min="3101" max="3116" width="9.6640625" style="37"/>
    <col min="3117" max="3118" width="13.44140625" style="37" customWidth="1"/>
    <col min="3119" max="3119" width="9.6640625" style="37"/>
    <col min="3120" max="3120" width="13.88671875" style="37" customWidth="1"/>
    <col min="3121" max="3121" width="10.6640625" style="37" customWidth="1"/>
    <col min="3122" max="3122" width="17.33203125" style="37" customWidth="1"/>
    <col min="3123" max="3124" width="12.6640625" style="37" customWidth="1"/>
    <col min="3125" max="3125" width="11.21875" style="37" customWidth="1"/>
    <col min="3126" max="3126" width="18.33203125" style="37" customWidth="1"/>
    <col min="3127" max="3127" width="12.88671875" style="37" customWidth="1"/>
    <col min="3128" max="3129" width="13.21875" style="37" customWidth="1"/>
    <col min="3130" max="3130" width="10.88671875" style="37" customWidth="1"/>
    <col min="3131" max="3131" width="11.109375" style="37" customWidth="1"/>
    <col min="3132" max="3132" width="15.21875" style="37" customWidth="1"/>
    <col min="3133" max="3133" width="9.6640625" style="37"/>
    <col min="3134" max="3134" width="11" style="37" customWidth="1"/>
    <col min="3135" max="3135" width="10.77734375" style="37" customWidth="1"/>
    <col min="3136" max="3136" width="11.44140625" style="37" customWidth="1"/>
    <col min="3137" max="3137" width="4" style="37" customWidth="1"/>
    <col min="3138" max="3328" width="9.6640625" style="37"/>
    <col min="3329" max="3329" width="6.44140625" style="37" customWidth="1"/>
    <col min="3330" max="3330" width="13.88671875" style="37" customWidth="1"/>
    <col min="3331" max="3331" width="11.88671875" style="37" customWidth="1"/>
    <col min="3332" max="3334" width="9.6640625" style="37"/>
    <col min="3335" max="3335" width="15.44140625" style="37" customWidth="1"/>
    <col min="3336" max="3336" width="16.21875" style="37" customWidth="1"/>
    <col min="3337" max="3348" width="9.6640625" style="37"/>
    <col min="3349" max="3349" width="12" style="37" customWidth="1"/>
    <col min="3350" max="3350" width="12.77734375" style="37" customWidth="1"/>
    <col min="3351" max="3351" width="11.109375" style="37" customWidth="1"/>
    <col min="3352" max="3352" width="12" style="37" customWidth="1"/>
    <col min="3353" max="3353" width="9.6640625" style="37"/>
    <col min="3354" max="3354" width="15.33203125" style="37" customWidth="1"/>
    <col min="3355" max="3355" width="15.21875" style="37" customWidth="1"/>
    <col min="3356" max="3356" width="21.44140625" style="37" customWidth="1"/>
    <col min="3357" max="3372" width="9.6640625" style="37"/>
    <col min="3373" max="3374" width="13.44140625" style="37" customWidth="1"/>
    <col min="3375" max="3375" width="9.6640625" style="37"/>
    <col min="3376" max="3376" width="13.88671875" style="37" customWidth="1"/>
    <col min="3377" max="3377" width="10.6640625" style="37" customWidth="1"/>
    <col min="3378" max="3378" width="17.33203125" style="37" customWidth="1"/>
    <col min="3379" max="3380" width="12.6640625" style="37" customWidth="1"/>
    <col min="3381" max="3381" width="11.21875" style="37" customWidth="1"/>
    <col min="3382" max="3382" width="18.33203125" style="37" customWidth="1"/>
    <col min="3383" max="3383" width="12.88671875" style="37" customWidth="1"/>
    <col min="3384" max="3385" width="13.21875" style="37" customWidth="1"/>
    <col min="3386" max="3386" width="10.88671875" style="37" customWidth="1"/>
    <col min="3387" max="3387" width="11.109375" style="37" customWidth="1"/>
    <col min="3388" max="3388" width="15.21875" style="37" customWidth="1"/>
    <col min="3389" max="3389" width="9.6640625" style="37"/>
    <col min="3390" max="3390" width="11" style="37" customWidth="1"/>
    <col min="3391" max="3391" width="10.77734375" style="37" customWidth="1"/>
    <col min="3392" max="3392" width="11.44140625" style="37" customWidth="1"/>
    <col min="3393" max="3393" width="4" style="37" customWidth="1"/>
    <col min="3394" max="3584" width="9.6640625" style="37"/>
    <col min="3585" max="3585" width="6.44140625" style="37" customWidth="1"/>
    <col min="3586" max="3586" width="13.88671875" style="37" customWidth="1"/>
    <col min="3587" max="3587" width="11.88671875" style="37" customWidth="1"/>
    <col min="3588" max="3590" width="9.6640625" style="37"/>
    <col min="3591" max="3591" width="15.44140625" style="37" customWidth="1"/>
    <col min="3592" max="3592" width="16.21875" style="37" customWidth="1"/>
    <col min="3593" max="3604" width="9.6640625" style="37"/>
    <col min="3605" max="3605" width="12" style="37" customWidth="1"/>
    <col min="3606" max="3606" width="12.77734375" style="37" customWidth="1"/>
    <col min="3607" max="3607" width="11.109375" style="37" customWidth="1"/>
    <col min="3608" max="3608" width="12" style="37" customWidth="1"/>
    <col min="3609" max="3609" width="9.6640625" style="37"/>
    <col min="3610" max="3610" width="15.33203125" style="37" customWidth="1"/>
    <col min="3611" max="3611" width="15.21875" style="37" customWidth="1"/>
    <col min="3612" max="3612" width="21.44140625" style="37" customWidth="1"/>
    <col min="3613" max="3628" width="9.6640625" style="37"/>
    <col min="3629" max="3630" width="13.44140625" style="37" customWidth="1"/>
    <col min="3631" max="3631" width="9.6640625" style="37"/>
    <col min="3632" max="3632" width="13.88671875" style="37" customWidth="1"/>
    <col min="3633" max="3633" width="10.6640625" style="37" customWidth="1"/>
    <col min="3634" max="3634" width="17.33203125" style="37" customWidth="1"/>
    <col min="3635" max="3636" width="12.6640625" style="37" customWidth="1"/>
    <col min="3637" max="3637" width="11.21875" style="37" customWidth="1"/>
    <col min="3638" max="3638" width="18.33203125" style="37" customWidth="1"/>
    <col min="3639" max="3639" width="12.88671875" style="37" customWidth="1"/>
    <col min="3640" max="3641" width="13.21875" style="37" customWidth="1"/>
    <col min="3642" max="3642" width="10.88671875" style="37" customWidth="1"/>
    <col min="3643" max="3643" width="11.109375" style="37" customWidth="1"/>
    <col min="3644" max="3644" width="15.21875" style="37" customWidth="1"/>
    <col min="3645" max="3645" width="9.6640625" style="37"/>
    <col min="3646" max="3646" width="11" style="37" customWidth="1"/>
    <col min="3647" max="3647" width="10.77734375" style="37" customWidth="1"/>
    <col min="3648" max="3648" width="11.44140625" style="37" customWidth="1"/>
    <col min="3649" max="3649" width="4" style="37" customWidth="1"/>
    <col min="3650" max="3840" width="9.6640625" style="37"/>
    <col min="3841" max="3841" width="6.44140625" style="37" customWidth="1"/>
    <col min="3842" max="3842" width="13.88671875" style="37" customWidth="1"/>
    <col min="3843" max="3843" width="11.88671875" style="37" customWidth="1"/>
    <col min="3844" max="3846" width="9.6640625" style="37"/>
    <col min="3847" max="3847" width="15.44140625" style="37" customWidth="1"/>
    <col min="3848" max="3848" width="16.21875" style="37" customWidth="1"/>
    <col min="3849" max="3860" width="9.6640625" style="37"/>
    <col min="3861" max="3861" width="12" style="37" customWidth="1"/>
    <col min="3862" max="3862" width="12.77734375" style="37" customWidth="1"/>
    <col min="3863" max="3863" width="11.109375" style="37" customWidth="1"/>
    <col min="3864" max="3864" width="12" style="37" customWidth="1"/>
    <col min="3865" max="3865" width="9.6640625" style="37"/>
    <col min="3866" max="3866" width="15.33203125" style="37" customWidth="1"/>
    <col min="3867" max="3867" width="15.21875" style="37" customWidth="1"/>
    <col min="3868" max="3868" width="21.44140625" style="37" customWidth="1"/>
    <col min="3869" max="3884" width="9.6640625" style="37"/>
    <col min="3885" max="3886" width="13.44140625" style="37" customWidth="1"/>
    <col min="3887" max="3887" width="9.6640625" style="37"/>
    <col min="3888" max="3888" width="13.88671875" style="37" customWidth="1"/>
    <col min="3889" max="3889" width="10.6640625" style="37" customWidth="1"/>
    <col min="3890" max="3890" width="17.33203125" style="37" customWidth="1"/>
    <col min="3891" max="3892" width="12.6640625" style="37" customWidth="1"/>
    <col min="3893" max="3893" width="11.21875" style="37" customWidth="1"/>
    <col min="3894" max="3894" width="18.33203125" style="37" customWidth="1"/>
    <col min="3895" max="3895" width="12.88671875" style="37" customWidth="1"/>
    <col min="3896" max="3897" width="13.21875" style="37" customWidth="1"/>
    <col min="3898" max="3898" width="10.88671875" style="37" customWidth="1"/>
    <col min="3899" max="3899" width="11.109375" style="37" customWidth="1"/>
    <col min="3900" max="3900" width="15.21875" style="37" customWidth="1"/>
    <col min="3901" max="3901" width="9.6640625" style="37"/>
    <col min="3902" max="3902" width="11" style="37" customWidth="1"/>
    <col min="3903" max="3903" width="10.77734375" style="37" customWidth="1"/>
    <col min="3904" max="3904" width="11.44140625" style="37" customWidth="1"/>
    <col min="3905" max="3905" width="4" style="37" customWidth="1"/>
    <col min="3906" max="4096" width="9.6640625" style="37"/>
    <col min="4097" max="4097" width="6.44140625" style="37" customWidth="1"/>
    <col min="4098" max="4098" width="13.88671875" style="37" customWidth="1"/>
    <col min="4099" max="4099" width="11.88671875" style="37" customWidth="1"/>
    <col min="4100" max="4102" width="9.6640625" style="37"/>
    <col min="4103" max="4103" width="15.44140625" style="37" customWidth="1"/>
    <col min="4104" max="4104" width="16.21875" style="37" customWidth="1"/>
    <col min="4105" max="4116" width="9.6640625" style="37"/>
    <col min="4117" max="4117" width="12" style="37" customWidth="1"/>
    <col min="4118" max="4118" width="12.77734375" style="37" customWidth="1"/>
    <col min="4119" max="4119" width="11.109375" style="37" customWidth="1"/>
    <col min="4120" max="4120" width="12" style="37" customWidth="1"/>
    <col min="4121" max="4121" width="9.6640625" style="37"/>
    <col min="4122" max="4122" width="15.33203125" style="37" customWidth="1"/>
    <col min="4123" max="4123" width="15.21875" style="37" customWidth="1"/>
    <col min="4124" max="4124" width="21.44140625" style="37" customWidth="1"/>
    <col min="4125" max="4140" width="9.6640625" style="37"/>
    <col min="4141" max="4142" width="13.44140625" style="37" customWidth="1"/>
    <col min="4143" max="4143" width="9.6640625" style="37"/>
    <col min="4144" max="4144" width="13.88671875" style="37" customWidth="1"/>
    <col min="4145" max="4145" width="10.6640625" style="37" customWidth="1"/>
    <col min="4146" max="4146" width="17.33203125" style="37" customWidth="1"/>
    <col min="4147" max="4148" width="12.6640625" style="37" customWidth="1"/>
    <col min="4149" max="4149" width="11.21875" style="37" customWidth="1"/>
    <col min="4150" max="4150" width="18.33203125" style="37" customWidth="1"/>
    <col min="4151" max="4151" width="12.88671875" style="37" customWidth="1"/>
    <col min="4152" max="4153" width="13.21875" style="37" customWidth="1"/>
    <col min="4154" max="4154" width="10.88671875" style="37" customWidth="1"/>
    <col min="4155" max="4155" width="11.109375" style="37" customWidth="1"/>
    <col min="4156" max="4156" width="15.21875" style="37" customWidth="1"/>
    <col min="4157" max="4157" width="9.6640625" style="37"/>
    <col min="4158" max="4158" width="11" style="37" customWidth="1"/>
    <col min="4159" max="4159" width="10.77734375" style="37" customWidth="1"/>
    <col min="4160" max="4160" width="11.44140625" style="37" customWidth="1"/>
    <col min="4161" max="4161" width="4" style="37" customWidth="1"/>
    <col min="4162" max="4352" width="9.6640625" style="37"/>
    <col min="4353" max="4353" width="6.44140625" style="37" customWidth="1"/>
    <col min="4354" max="4354" width="13.88671875" style="37" customWidth="1"/>
    <col min="4355" max="4355" width="11.88671875" style="37" customWidth="1"/>
    <col min="4356" max="4358" width="9.6640625" style="37"/>
    <col min="4359" max="4359" width="15.44140625" style="37" customWidth="1"/>
    <col min="4360" max="4360" width="16.21875" style="37" customWidth="1"/>
    <col min="4361" max="4372" width="9.6640625" style="37"/>
    <col min="4373" max="4373" width="12" style="37" customWidth="1"/>
    <col min="4374" max="4374" width="12.77734375" style="37" customWidth="1"/>
    <col min="4375" max="4375" width="11.109375" style="37" customWidth="1"/>
    <col min="4376" max="4376" width="12" style="37" customWidth="1"/>
    <col min="4377" max="4377" width="9.6640625" style="37"/>
    <col min="4378" max="4378" width="15.33203125" style="37" customWidth="1"/>
    <col min="4379" max="4379" width="15.21875" style="37" customWidth="1"/>
    <col min="4380" max="4380" width="21.44140625" style="37" customWidth="1"/>
    <col min="4381" max="4396" width="9.6640625" style="37"/>
    <col min="4397" max="4398" width="13.44140625" style="37" customWidth="1"/>
    <col min="4399" max="4399" width="9.6640625" style="37"/>
    <col min="4400" max="4400" width="13.88671875" style="37" customWidth="1"/>
    <col min="4401" max="4401" width="10.6640625" style="37" customWidth="1"/>
    <col min="4402" max="4402" width="17.33203125" style="37" customWidth="1"/>
    <col min="4403" max="4404" width="12.6640625" style="37" customWidth="1"/>
    <col min="4405" max="4405" width="11.21875" style="37" customWidth="1"/>
    <col min="4406" max="4406" width="18.33203125" style="37" customWidth="1"/>
    <col min="4407" max="4407" width="12.88671875" style="37" customWidth="1"/>
    <col min="4408" max="4409" width="13.21875" style="37" customWidth="1"/>
    <col min="4410" max="4410" width="10.88671875" style="37" customWidth="1"/>
    <col min="4411" max="4411" width="11.109375" style="37" customWidth="1"/>
    <col min="4412" max="4412" width="15.21875" style="37" customWidth="1"/>
    <col min="4413" max="4413" width="9.6640625" style="37"/>
    <col min="4414" max="4414" width="11" style="37" customWidth="1"/>
    <col min="4415" max="4415" width="10.77734375" style="37" customWidth="1"/>
    <col min="4416" max="4416" width="11.44140625" style="37" customWidth="1"/>
    <col min="4417" max="4417" width="4" style="37" customWidth="1"/>
    <col min="4418" max="4608" width="9.6640625" style="37"/>
    <col min="4609" max="4609" width="6.44140625" style="37" customWidth="1"/>
    <col min="4610" max="4610" width="13.88671875" style="37" customWidth="1"/>
    <col min="4611" max="4611" width="11.88671875" style="37" customWidth="1"/>
    <col min="4612" max="4614" width="9.6640625" style="37"/>
    <col min="4615" max="4615" width="15.44140625" style="37" customWidth="1"/>
    <col min="4616" max="4616" width="16.21875" style="37" customWidth="1"/>
    <col min="4617" max="4628" width="9.6640625" style="37"/>
    <col min="4629" max="4629" width="12" style="37" customWidth="1"/>
    <col min="4630" max="4630" width="12.77734375" style="37" customWidth="1"/>
    <col min="4631" max="4631" width="11.109375" style="37" customWidth="1"/>
    <col min="4632" max="4632" width="12" style="37" customWidth="1"/>
    <col min="4633" max="4633" width="9.6640625" style="37"/>
    <col min="4634" max="4634" width="15.33203125" style="37" customWidth="1"/>
    <col min="4635" max="4635" width="15.21875" style="37" customWidth="1"/>
    <col min="4636" max="4636" width="21.44140625" style="37" customWidth="1"/>
    <col min="4637" max="4652" width="9.6640625" style="37"/>
    <col min="4653" max="4654" width="13.44140625" style="37" customWidth="1"/>
    <col min="4655" max="4655" width="9.6640625" style="37"/>
    <col min="4656" max="4656" width="13.88671875" style="37" customWidth="1"/>
    <col min="4657" max="4657" width="10.6640625" style="37" customWidth="1"/>
    <col min="4658" max="4658" width="17.33203125" style="37" customWidth="1"/>
    <col min="4659" max="4660" width="12.6640625" style="37" customWidth="1"/>
    <col min="4661" max="4661" width="11.21875" style="37" customWidth="1"/>
    <col min="4662" max="4662" width="18.33203125" style="37" customWidth="1"/>
    <col min="4663" max="4663" width="12.88671875" style="37" customWidth="1"/>
    <col min="4664" max="4665" width="13.21875" style="37" customWidth="1"/>
    <col min="4666" max="4666" width="10.88671875" style="37" customWidth="1"/>
    <col min="4667" max="4667" width="11.109375" style="37" customWidth="1"/>
    <col min="4668" max="4668" width="15.21875" style="37" customWidth="1"/>
    <col min="4669" max="4669" width="9.6640625" style="37"/>
    <col min="4670" max="4670" width="11" style="37" customWidth="1"/>
    <col min="4671" max="4671" width="10.77734375" style="37" customWidth="1"/>
    <col min="4672" max="4672" width="11.44140625" style="37" customWidth="1"/>
    <col min="4673" max="4673" width="4" style="37" customWidth="1"/>
    <col min="4674" max="4864" width="9.6640625" style="37"/>
    <col min="4865" max="4865" width="6.44140625" style="37" customWidth="1"/>
    <col min="4866" max="4866" width="13.88671875" style="37" customWidth="1"/>
    <col min="4867" max="4867" width="11.88671875" style="37" customWidth="1"/>
    <col min="4868" max="4870" width="9.6640625" style="37"/>
    <col min="4871" max="4871" width="15.44140625" style="37" customWidth="1"/>
    <col min="4872" max="4872" width="16.21875" style="37" customWidth="1"/>
    <col min="4873" max="4884" width="9.6640625" style="37"/>
    <col min="4885" max="4885" width="12" style="37" customWidth="1"/>
    <col min="4886" max="4886" width="12.77734375" style="37" customWidth="1"/>
    <col min="4887" max="4887" width="11.109375" style="37" customWidth="1"/>
    <col min="4888" max="4888" width="12" style="37" customWidth="1"/>
    <col min="4889" max="4889" width="9.6640625" style="37"/>
    <col min="4890" max="4890" width="15.33203125" style="37" customWidth="1"/>
    <col min="4891" max="4891" width="15.21875" style="37" customWidth="1"/>
    <col min="4892" max="4892" width="21.44140625" style="37" customWidth="1"/>
    <col min="4893" max="4908" width="9.6640625" style="37"/>
    <col min="4909" max="4910" width="13.44140625" style="37" customWidth="1"/>
    <col min="4911" max="4911" width="9.6640625" style="37"/>
    <col min="4912" max="4912" width="13.88671875" style="37" customWidth="1"/>
    <col min="4913" max="4913" width="10.6640625" style="37" customWidth="1"/>
    <col min="4914" max="4914" width="17.33203125" style="37" customWidth="1"/>
    <col min="4915" max="4916" width="12.6640625" style="37" customWidth="1"/>
    <col min="4917" max="4917" width="11.21875" style="37" customWidth="1"/>
    <col min="4918" max="4918" width="18.33203125" style="37" customWidth="1"/>
    <col min="4919" max="4919" width="12.88671875" style="37" customWidth="1"/>
    <col min="4920" max="4921" width="13.21875" style="37" customWidth="1"/>
    <col min="4922" max="4922" width="10.88671875" style="37" customWidth="1"/>
    <col min="4923" max="4923" width="11.109375" style="37" customWidth="1"/>
    <col min="4924" max="4924" width="15.21875" style="37" customWidth="1"/>
    <col min="4925" max="4925" width="9.6640625" style="37"/>
    <col min="4926" max="4926" width="11" style="37" customWidth="1"/>
    <col min="4927" max="4927" width="10.77734375" style="37" customWidth="1"/>
    <col min="4928" max="4928" width="11.44140625" style="37" customWidth="1"/>
    <col min="4929" max="4929" width="4" style="37" customWidth="1"/>
    <col min="4930" max="5120" width="9.6640625" style="37"/>
    <col min="5121" max="5121" width="6.44140625" style="37" customWidth="1"/>
    <col min="5122" max="5122" width="13.88671875" style="37" customWidth="1"/>
    <col min="5123" max="5123" width="11.88671875" style="37" customWidth="1"/>
    <col min="5124" max="5126" width="9.6640625" style="37"/>
    <col min="5127" max="5127" width="15.44140625" style="37" customWidth="1"/>
    <col min="5128" max="5128" width="16.21875" style="37" customWidth="1"/>
    <col min="5129" max="5140" width="9.6640625" style="37"/>
    <col min="5141" max="5141" width="12" style="37" customWidth="1"/>
    <col min="5142" max="5142" width="12.77734375" style="37" customWidth="1"/>
    <col min="5143" max="5143" width="11.109375" style="37" customWidth="1"/>
    <col min="5144" max="5144" width="12" style="37" customWidth="1"/>
    <col min="5145" max="5145" width="9.6640625" style="37"/>
    <col min="5146" max="5146" width="15.33203125" style="37" customWidth="1"/>
    <col min="5147" max="5147" width="15.21875" style="37" customWidth="1"/>
    <col min="5148" max="5148" width="21.44140625" style="37" customWidth="1"/>
    <col min="5149" max="5164" width="9.6640625" style="37"/>
    <col min="5165" max="5166" width="13.44140625" style="37" customWidth="1"/>
    <col min="5167" max="5167" width="9.6640625" style="37"/>
    <col min="5168" max="5168" width="13.88671875" style="37" customWidth="1"/>
    <col min="5169" max="5169" width="10.6640625" style="37" customWidth="1"/>
    <col min="5170" max="5170" width="17.33203125" style="37" customWidth="1"/>
    <col min="5171" max="5172" width="12.6640625" style="37" customWidth="1"/>
    <col min="5173" max="5173" width="11.21875" style="37" customWidth="1"/>
    <col min="5174" max="5174" width="18.33203125" style="37" customWidth="1"/>
    <col min="5175" max="5175" width="12.88671875" style="37" customWidth="1"/>
    <col min="5176" max="5177" width="13.21875" style="37" customWidth="1"/>
    <col min="5178" max="5178" width="10.88671875" style="37" customWidth="1"/>
    <col min="5179" max="5179" width="11.109375" style="37" customWidth="1"/>
    <col min="5180" max="5180" width="15.21875" style="37" customWidth="1"/>
    <col min="5181" max="5181" width="9.6640625" style="37"/>
    <col min="5182" max="5182" width="11" style="37" customWidth="1"/>
    <col min="5183" max="5183" width="10.77734375" style="37" customWidth="1"/>
    <col min="5184" max="5184" width="11.44140625" style="37" customWidth="1"/>
    <col min="5185" max="5185" width="4" style="37" customWidth="1"/>
    <col min="5186" max="5376" width="9.6640625" style="37"/>
    <col min="5377" max="5377" width="6.44140625" style="37" customWidth="1"/>
    <col min="5378" max="5378" width="13.88671875" style="37" customWidth="1"/>
    <col min="5379" max="5379" width="11.88671875" style="37" customWidth="1"/>
    <col min="5380" max="5382" width="9.6640625" style="37"/>
    <col min="5383" max="5383" width="15.44140625" style="37" customWidth="1"/>
    <col min="5384" max="5384" width="16.21875" style="37" customWidth="1"/>
    <col min="5385" max="5396" width="9.6640625" style="37"/>
    <col min="5397" max="5397" width="12" style="37" customWidth="1"/>
    <col min="5398" max="5398" width="12.77734375" style="37" customWidth="1"/>
    <col min="5399" max="5399" width="11.109375" style="37" customWidth="1"/>
    <col min="5400" max="5400" width="12" style="37" customWidth="1"/>
    <col min="5401" max="5401" width="9.6640625" style="37"/>
    <col min="5402" max="5402" width="15.33203125" style="37" customWidth="1"/>
    <col min="5403" max="5403" width="15.21875" style="37" customWidth="1"/>
    <col min="5404" max="5404" width="21.44140625" style="37" customWidth="1"/>
    <col min="5405" max="5420" width="9.6640625" style="37"/>
    <col min="5421" max="5422" width="13.44140625" style="37" customWidth="1"/>
    <col min="5423" max="5423" width="9.6640625" style="37"/>
    <col min="5424" max="5424" width="13.88671875" style="37" customWidth="1"/>
    <col min="5425" max="5425" width="10.6640625" style="37" customWidth="1"/>
    <col min="5426" max="5426" width="17.33203125" style="37" customWidth="1"/>
    <col min="5427" max="5428" width="12.6640625" style="37" customWidth="1"/>
    <col min="5429" max="5429" width="11.21875" style="37" customWidth="1"/>
    <col min="5430" max="5430" width="18.33203125" style="37" customWidth="1"/>
    <col min="5431" max="5431" width="12.88671875" style="37" customWidth="1"/>
    <col min="5432" max="5433" width="13.21875" style="37" customWidth="1"/>
    <col min="5434" max="5434" width="10.88671875" style="37" customWidth="1"/>
    <col min="5435" max="5435" width="11.109375" style="37" customWidth="1"/>
    <col min="5436" max="5436" width="15.21875" style="37" customWidth="1"/>
    <col min="5437" max="5437" width="9.6640625" style="37"/>
    <col min="5438" max="5438" width="11" style="37" customWidth="1"/>
    <col min="5439" max="5439" width="10.77734375" style="37" customWidth="1"/>
    <col min="5440" max="5440" width="11.44140625" style="37" customWidth="1"/>
    <col min="5441" max="5441" width="4" style="37" customWidth="1"/>
    <col min="5442" max="5632" width="9.6640625" style="37"/>
    <col min="5633" max="5633" width="6.44140625" style="37" customWidth="1"/>
    <col min="5634" max="5634" width="13.88671875" style="37" customWidth="1"/>
    <col min="5635" max="5635" width="11.88671875" style="37" customWidth="1"/>
    <col min="5636" max="5638" width="9.6640625" style="37"/>
    <col min="5639" max="5639" width="15.44140625" style="37" customWidth="1"/>
    <col min="5640" max="5640" width="16.21875" style="37" customWidth="1"/>
    <col min="5641" max="5652" width="9.6640625" style="37"/>
    <col min="5653" max="5653" width="12" style="37" customWidth="1"/>
    <col min="5654" max="5654" width="12.77734375" style="37" customWidth="1"/>
    <col min="5655" max="5655" width="11.109375" style="37" customWidth="1"/>
    <col min="5656" max="5656" width="12" style="37" customWidth="1"/>
    <col min="5657" max="5657" width="9.6640625" style="37"/>
    <col min="5658" max="5658" width="15.33203125" style="37" customWidth="1"/>
    <col min="5659" max="5659" width="15.21875" style="37" customWidth="1"/>
    <col min="5660" max="5660" width="21.44140625" style="37" customWidth="1"/>
    <col min="5661" max="5676" width="9.6640625" style="37"/>
    <col min="5677" max="5678" width="13.44140625" style="37" customWidth="1"/>
    <col min="5679" max="5679" width="9.6640625" style="37"/>
    <col min="5680" max="5680" width="13.88671875" style="37" customWidth="1"/>
    <col min="5681" max="5681" width="10.6640625" style="37" customWidth="1"/>
    <col min="5682" max="5682" width="17.33203125" style="37" customWidth="1"/>
    <col min="5683" max="5684" width="12.6640625" style="37" customWidth="1"/>
    <col min="5685" max="5685" width="11.21875" style="37" customWidth="1"/>
    <col min="5686" max="5686" width="18.33203125" style="37" customWidth="1"/>
    <col min="5687" max="5687" width="12.88671875" style="37" customWidth="1"/>
    <col min="5688" max="5689" width="13.21875" style="37" customWidth="1"/>
    <col min="5690" max="5690" width="10.88671875" style="37" customWidth="1"/>
    <col min="5691" max="5691" width="11.109375" style="37" customWidth="1"/>
    <col min="5692" max="5692" width="15.21875" style="37" customWidth="1"/>
    <col min="5693" max="5693" width="9.6640625" style="37"/>
    <col min="5694" max="5694" width="11" style="37" customWidth="1"/>
    <col min="5695" max="5695" width="10.77734375" style="37" customWidth="1"/>
    <col min="5696" max="5696" width="11.44140625" style="37" customWidth="1"/>
    <col min="5697" max="5697" width="4" style="37" customWidth="1"/>
    <col min="5698" max="5888" width="9.6640625" style="37"/>
    <col min="5889" max="5889" width="6.44140625" style="37" customWidth="1"/>
    <col min="5890" max="5890" width="13.88671875" style="37" customWidth="1"/>
    <col min="5891" max="5891" width="11.88671875" style="37" customWidth="1"/>
    <col min="5892" max="5894" width="9.6640625" style="37"/>
    <col min="5895" max="5895" width="15.44140625" style="37" customWidth="1"/>
    <col min="5896" max="5896" width="16.21875" style="37" customWidth="1"/>
    <col min="5897" max="5908" width="9.6640625" style="37"/>
    <col min="5909" max="5909" width="12" style="37" customWidth="1"/>
    <col min="5910" max="5910" width="12.77734375" style="37" customWidth="1"/>
    <col min="5911" max="5911" width="11.109375" style="37" customWidth="1"/>
    <col min="5912" max="5912" width="12" style="37" customWidth="1"/>
    <col min="5913" max="5913" width="9.6640625" style="37"/>
    <col min="5914" max="5914" width="15.33203125" style="37" customWidth="1"/>
    <col min="5915" max="5915" width="15.21875" style="37" customWidth="1"/>
    <col min="5916" max="5916" width="21.44140625" style="37" customWidth="1"/>
    <col min="5917" max="5932" width="9.6640625" style="37"/>
    <col min="5933" max="5934" width="13.44140625" style="37" customWidth="1"/>
    <col min="5935" max="5935" width="9.6640625" style="37"/>
    <col min="5936" max="5936" width="13.88671875" style="37" customWidth="1"/>
    <col min="5937" max="5937" width="10.6640625" style="37" customWidth="1"/>
    <col min="5938" max="5938" width="17.33203125" style="37" customWidth="1"/>
    <col min="5939" max="5940" width="12.6640625" style="37" customWidth="1"/>
    <col min="5941" max="5941" width="11.21875" style="37" customWidth="1"/>
    <col min="5942" max="5942" width="18.33203125" style="37" customWidth="1"/>
    <col min="5943" max="5943" width="12.88671875" style="37" customWidth="1"/>
    <col min="5944" max="5945" width="13.21875" style="37" customWidth="1"/>
    <col min="5946" max="5946" width="10.88671875" style="37" customWidth="1"/>
    <col min="5947" max="5947" width="11.109375" style="37" customWidth="1"/>
    <col min="5948" max="5948" width="15.21875" style="37" customWidth="1"/>
    <col min="5949" max="5949" width="9.6640625" style="37"/>
    <col min="5950" max="5950" width="11" style="37" customWidth="1"/>
    <col min="5951" max="5951" width="10.77734375" style="37" customWidth="1"/>
    <col min="5952" max="5952" width="11.44140625" style="37" customWidth="1"/>
    <col min="5953" max="5953" width="4" style="37" customWidth="1"/>
    <col min="5954" max="6144" width="9.6640625" style="37"/>
    <col min="6145" max="6145" width="6.44140625" style="37" customWidth="1"/>
    <col min="6146" max="6146" width="13.88671875" style="37" customWidth="1"/>
    <col min="6147" max="6147" width="11.88671875" style="37" customWidth="1"/>
    <col min="6148" max="6150" width="9.6640625" style="37"/>
    <col min="6151" max="6151" width="15.44140625" style="37" customWidth="1"/>
    <col min="6152" max="6152" width="16.21875" style="37" customWidth="1"/>
    <col min="6153" max="6164" width="9.6640625" style="37"/>
    <col min="6165" max="6165" width="12" style="37" customWidth="1"/>
    <col min="6166" max="6166" width="12.77734375" style="37" customWidth="1"/>
    <col min="6167" max="6167" width="11.109375" style="37" customWidth="1"/>
    <col min="6168" max="6168" width="12" style="37" customWidth="1"/>
    <col min="6169" max="6169" width="9.6640625" style="37"/>
    <col min="6170" max="6170" width="15.33203125" style="37" customWidth="1"/>
    <col min="6171" max="6171" width="15.21875" style="37" customWidth="1"/>
    <col min="6172" max="6172" width="21.44140625" style="37" customWidth="1"/>
    <col min="6173" max="6188" width="9.6640625" style="37"/>
    <col min="6189" max="6190" width="13.44140625" style="37" customWidth="1"/>
    <col min="6191" max="6191" width="9.6640625" style="37"/>
    <col min="6192" max="6192" width="13.88671875" style="37" customWidth="1"/>
    <col min="6193" max="6193" width="10.6640625" style="37" customWidth="1"/>
    <col min="6194" max="6194" width="17.33203125" style="37" customWidth="1"/>
    <col min="6195" max="6196" width="12.6640625" style="37" customWidth="1"/>
    <col min="6197" max="6197" width="11.21875" style="37" customWidth="1"/>
    <col min="6198" max="6198" width="18.33203125" style="37" customWidth="1"/>
    <col min="6199" max="6199" width="12.88671875" style="37" customWidth="1"/>
    <col min="6200" max="6201" width="13.21875" style="37" customWidth="1"/>
    <col min="6202" max="6202" width="10.88671875" style="37" customWidth="1"/>
    <col min="6203" max="6203" width="11.109375" style="37" customWidth="1"/>
    <col min="6204" max="6204" width="15.21875" style="37" customWidth="1"/>
    <col min="6205" max="6205" width="9.6640625" style="37"/>
    <col min="6206" max="6206" width="11" style="37" customWidth="1"/>
    <col min="6207" max="6207" width="10.77734375" style="37" customWidth="1"/>
    <col min="6208" max="6208" width="11.44140625" style="37" customWidth="1"/>
    <col min="6209" max="6209" width="4" style="37" customWidth="1"/>
    <col min="6210" max="6400" width="9.6640625" style="37"/>
    <col min="6401" max="6401" width="6.44140625" style="37" customWidth="1"/>
    <col min="6402" max="6402" width="13.88671875" style="37" customWidth="1"/>
    <col min="6403" max="6403" width="11.88671875" style="37" customWidth="1"/>
    <col min="6404" max="6406" width="9.6640625" style="37"/>
    <col min="6407" max="6407" width="15.44140625" style="37" customWidth="1"/>
    <col min="6408" max="6408" width="16.21875" style="37" customWidth="1"/>
    <col min="6409" max="6420" width="9.6640625" style="37"/>
    <col min="6421" max="6421" width="12" style="37" customWidth="1"/>
    <col min="6422" max="6422" width="12.77734375" style="37" customWidth="1"/>
    <col min="6423" max="6423" width="11.109375" style="37" customWidth="1"/>
    <col min="6424" max="6424" width="12" style="37" customWidth="1"/>
    <col min="6425" max="6425" width="9.6640625" style="37"/>
    <col min="6426" max="6426" width="15.33203125" style="37" customWidth="1"/>
    <col min="6427" max="6427" width="15.21875" style="37" customWidth="1"/>
    <col min="6428" max="6428" width="21.44140625" style="37" customWidth="1"/>
    <col min="6429" max="6444" width="9.6640625" style="37"/>
    <col min="6445" max="6446" width="13.44140625" style="37" customWidth="1"/>
    <col min="6447" max="6447" width="9.6640625" style="37"/>
    <col min="6448" max="6448" width="13.88671875" style="37" customWidth="1"/>
    <col min="6449" max="6449" width="10.6640625" style="37" customWidth="1"/>
    <col min="6450" max="6450" width="17.33203125" style="37" customWidth="1"/>
    <col min="6451" max="6452" width="12.6640625" style="37" customWidth="1"/>
    <col min="6453" max="6453" width="11.21875" style="37" customWidth="1"/>
    <col min="6454" max="6454" width="18.33203125" style="37" customWidth="1"/>
    <col min="6455" max="6455" width="12.88671875" style="37" customWidth="1"/>
    <col min="6456" max="6457" width="13.21875" style="37" customWidth="1"/>
    <col min="6458" max="6458" width="10.88671875" style="37" customWidth="1"/>
    <col min="6459" max="6459" width="11.109375" style="37" customWidth="1"/>
    <col min="6460" max="6460" width="15.21875" style="37" customWidth="1"/>
    <col min="6461" max="6461" width="9.6640625" style="37"/>
    <col min="6462" max="6462" width="11" style="37" customWidth="1"/>
    <col min="6463" max="6463" width="10.77734375" style="37" customWidth="1"/>
    <col min="6464" max="6464" width="11.44140625" style="37" customWidth="1"/>
    <col min="6465" max="6465" width="4" style="37" customWidth="1"/>
    <col min="6466" max="6656" width="9.6640625" style="37"/>
    <col min="6657" max="6657" width="6.44140625" style="37" customWidth="1"/>
    <col min="6658" max="6658" width="13.88671875" style="37" customWidth="1"/>
    <col min="6659" max="6659" width="11.88671875" style="37" customWidth="1"/>
    <col min="6660" max="6662" width="9.6640625" style="37"/>
    <col min="6663" max="6663" width="15.44140625" style="37" customWidth="1"/>
    <col min="6664" max="6664" width="16.21875" style="37" customWidth="1"/>
    <col min="6665" max="6676" width="9.6640625" style="37"/>
    <col min="6677" max="6677" width="12" style="37" customWidth="1"/>
    <col min="6678" max="6678" width="12.77734375" style="37" customWidth="1"/>
    <col min="6679" max="6679" width="11.109375" style="37" customWidth="1"/>
    <col min="6680" max="6680" width="12" style="37" customWidth="1"/>
    <col min="6681" max="6681" width="9.6640625" style="37"/>
    <col min="6682" max="6682" width="15.33203125" style="37" customWidth="1"/>
    <col min="6683" max="6683" width="15.21875" style="37" customWidth="1"/>
    <col min="6684" max="6684" width="21.44140625" style="37" customWidth="1"/>
    <col min="6685" max="6700" width="9.6640625" style="37"/>
    <col min="6701" max="6702" width="13.44140625" style="37" customWidth="1"/>
    <col min="6703" max="6703" width="9.6640625" style="37"/>
    <col min="6704" max="6704" width="13.88671875" style="37" customWidth="1"/>
    <col min="6705" max="6705" width="10.6640625" style="37" customWidth="1"/>
    <col min="6706" max="6706" width="17.33203125" style="37" customWidth="1"/>
    <col min="6707" max="6708" width="12.6640625" style="37" customWidth="1"/>
    <col min="6709" max="6709" width="11.21875" style="37" customWidth="1"/>
    <col min="6710" max="6710" width="18.33203125" style="37" customWidth="1"/>
    <col min="6711" max="6711" width="12.88671875" style="37" customWidth="1"/>
    <col min="6712" max="6713" width="13.21875" style="37" customWidth="1"/>
    <col min="6714" max="6714" width="10.88671875" style="37" customWidth="1"/>
    <col min="6715" max="6715" width="11.109375" style="37" customWidth="1"/>
    <col min="6716" max="6716" width="15.21875" style="37" customWidth="1"/>
    <col min="6717" max="6717" width="9.6640625" style="37"/>
    <col min="6718" max="6718" width="11" style="37" customWidth="1"/>
    <col min="6719" max="6719" width="10.77734375" style="37" customWidth="1"/>
    <col min="6720" max="6720" width="11.44140625" style="37" customWidth="1"/>
    <col min="6721" max="6721" width="4" style="37" customWidth="1"/>
    <col min="6722" max="6912" width="9.6640625" style="37"/>
    <col min="6913" max="6913" width="6.44140625" style="37" customWidth="1"/>
    <col min="6914" max="6914" width="13.88671875" style="37" customWidth="1"/>
    <col min="6915" max="6915" width="11.88671875" style="37" customWidth="1"/>
    <col min="6916" max="6918" width="9.6640625" style="37"/>
    <col min="6919" max="6919" width="15.44140625" style="37" customWidth="1"/>
    <col min="6920" max="6920" width="16.21875" style="37" customWidth="1"/>
    <col min="6921" max="6932" width="9.6640625" style="37"/>
    <col min="6933" max="6933" width="12" style="37" customWidth="1"/>
    <col min="6934" max="6934" width="12.77734375" style="37" customWidth="1"/>
    <col min="6935" max="6935" width="11.109375" style="37" customWidth="1"/>
    <col min="6936" max="6936" width="12" style="37" customWidth="1"/>
    <col min="6937" max="6937" width="9.6640625" style="37"/>
    <col min="6938" max="6938" width="15.33203125" style="37" customWidth="1"/>
    <col min="6939" max="6939" width="15.21875" style="37" customWidth="1"/>
    <col min="6940" max="6940" width="21.44140625" style="37" customWidth="1"/>
    <col min="6941" max="6956" width="9.6640625" style="37"/>
    <col min="6957" max="6958" width="13.44140625" style="37" customWidth="1"/>
    <col min="6959" max="6959" width="9.6640625" style="37"/>
    <col min="6960" max="6960" width="13.88671875" style="37" customWidth="1"/>
    <col min="6961" max="6961" width="10.6640625" style="37" customWidth="1"/>
    <col min="6962" max="6962" width="17.33203125" style="37" customWidth="1"/>
    <col min="6963" max="6964" width="12.6640625" style="37" customWidth="1"/>
    <col min="6965" max="6965" width="11.21875" style="37" customWidth="1"/>
    <col min="6966" max="6966" width="18.33203125" style="37" customWidth="1"/>
    <col min="6967" max="6967" width="12.88671875" style="37" customWidth="1"/>
    <col min="6968" max="6969" width="13.21875" style="37" customWidth="1"/>
    <col min="6970" max="6970" width="10.88671875" style="37" customWidth="1"/>
    <col min="6971" max="6971" width="11.109375" style="37" customWidth="1"/>
    <col min="6972" max="6972" width="15.21875" style="37" customWidth="1"/>
    <col min="6973" max="6973" width="9.6640625" style="37"/>
    <col min="6974" max="6974" width="11" style="37" customWidth="1"/>
    <col min="6975" max="6975" width="10.77734375" style="37" customWidth="1"/>
    <col min="6976" max="6976" width="11.44140625" style="37" customWidth="1"/>
    <col min="6977" max="6977" width="4" style="37" customWidth="1"/>
    <col min="6978" max="7168" width="9.6640625" style="37"/>
    <col min="7169" max="7169" width="6.44140625" style="37" customWidth="1"/>
    <col min="7170" max="7170" width="13.88671875" style="37" customWidth="1"/>
    <col min="7171" max="7171" width="11.88671875" style="37" customWidth="1"/>
    <col min="7172" max="7174" width="9.6640625" style="37"/>
    <col min="7175" max="7175" width="15.44140625" style="37" customWidth="1"/>
    <col min="7176" max="7176" width="16.21875" style="37" customWidth="1"/>
    <col min="7177" max="7188" width="9.6640625" style="37"/>
    <col min="7189" max="7189" width="12" style="37" customWidth="1"/>
    <col min="7190" max="7190" width="12.77734375" style="37" customWidth="1"/>
    <col min="7191" max="7191" width="11.109375" style="37" customWidth="1"/>
    <col min="7192" max="7192" width="12" style="37" customWidth="1"/>
    <col min="7193" max="7193" width="9.6640625" style="37"/>
    <col min="7194" max="7194" width="15.33203125" style="37" customWidth="1"/>
    <col min="7195" max="7195" width="15.21875" style="37" customWidth="1"/>
    <col min="7196" max="7196" width="21.44140625" style="37" customWidth="1"/>
    <col min="7197" max="7212" width="9.6640625" style="37"/>
    <col min="7213" max="7214" width="13.44140625" style="37" customWidth="1"/>
    <col min="7215" max="7215" width="9.6640625" style="37"/>
    <col min="7216" max="7216" width="13.88671875" style="37" customWidth="1"/>
    <col min="7217" max="7217" width="10.6640625" style="37" customWidth="1"/>
    <col min="7218" max="7218" width="17.33203125" style="37" customWidth="1"/>
    <col min="7219" max="7220" width="12.6640625" style="37" customWidth="1"/>
    <col min="7221" max="7221" width="11.21875" style="37" customWidth="1"/>
    <col min="7222" max="7222" width="18.33203125" style="37" customWidth="1"/>
    <col min="7223" max="7223" width="12.88671875" style="37" customWidth="1"/>
    <col min="7224" max="7225" width="13.21875" style="37" customWidth="1"/>
    <col min="7226" max="7226" width="10.88671875" style="37" customWidth="1"/>
    <col min="7227" max="7227" width="11.109375" style="37" customWidth="1"/>
    <col min="7228" max="7228" width="15.21875" style="37" customWidth="1"/>
    <col min="7229" max="7229" width="9.6640625" style="37"/>
    <col min="7230" max="7230" width="11" style="37" customWidth="1"/>
    <col min="7231" max="7231" width="10.77734375" style="37" customWidth="1"/>
    <col min="7232" max="7232" width="11.44140625" style="37" customWidth="1"/>
    <col min="7233" max="7233" width="4" style="37" customWidth="1"/>
    <col min="7234" max="7424" width="9.6640625" style="37"/>
    <col min="7425" max="7425" width="6.44140625" style="37" customWidth="1"/>
    <col min="7426" max="7426" width="13.88671875" style="37" customWidth="1"/>
    <col min="7427" max="7427" width="11.88671875" style="37" customWidth="1"/>
    <col min="7428" max="7430" width="9.6640625" style="37"/>
    <col min="7431" max="7431" width="15.44140625" style="37" customWidth="1"/>
    <col min="7432" max="7432" width="16.21875" style="37" customWidth="1"/>
    <col min="7433" max="7444" width="9.6640625" style="37"/>
    <col min="7445" max="7445" width="12" style="37" customWidth="1"/>
    <col min="7446" max="7446" width="12.77734375" style="37" customWidth="1"/>
    <col min="7447" max="7447" width="11.109375" style="37" customWidth="1"/>
    <col min="7448" max="7448" width="12" style="37" customWidth="1"/>
    <col min="7449" max="7449" width="9.6640625" style="37"/>
    <col min="7450" max="7450" width="15.33203125" style="37" customWidth="1"/>
    <col min="7451" max="7451" width="15.21875" style="37" customWidth="1"/>
    <col min="7452" max="7452" width="21.44140625" style="37" customWidth="1"/>
    <col min="7453" max="7468" width="9.6640625" style="37"/>
    <col min="7469" max="7470" width="13.44140625" style="37" customWidth="1"/>
    <col min="7471" max="7471" width="9.6640625" style="37"/>
    <col min="7472" max="7472" width="13.88671875" style="37" customWidth="1"/>
    <col min="7473" max="7473" width="10.6640625" style="37" customWidth="1"/>
    <col min="7474" max="7474" width="17.33203125" style="37" customWidth="1"/>
    <col min="7475" max="7476" width="12.6640625" style="37" customWidth="1"/>
    <col min="7477" max="7477" width="11.21875" style="37" customWidth="1"/>
    <col min="7478" max="7478" width="18.33203125" style="37" customWidth="1"/>
    <col min="7479" max="7479" width="12.88671875" style="37" customWidth="1"/>
    <col min="7480" max="7481" width="13.21875" style="37" customWidth="1"/>
    <col min="7482" max="7482" width="10.88671875" style="37" customWidth="1"/>
    <col min="7483" max="7483" width="11.109375" style="37" customWidth="1"/>
    <col min="7484" max="7484" width="15.21875" style="37" customWidth="1"/>
    <col min="7485" max="7485" width="9.6640625" style="37"/>
    <col min="7486" max="7486" width="11" style="37" customWidth="1"/>
    <col min="7487" max="7487" width="10.77734375" style="37" customWidth="1"/>
    <col min="7488" max="7488" width="11.44140625" style="37" customWidth="1"/>
    <col min="7489" max="7489" width="4" style="37" customWidth="1"/>
    <col min="7490" max="7680" width="9.6640625" style="37"/>
    <col min="7681" max="7681" width="6.44140625" style="37" customWidth="1"/>
    <col min="7682" max="7682" width="13.88671875" style="37" customWidth="1"/>
    <col min="7683" max="7683" width="11.88671875" style="37" customWidth="1"/>
    <col min="7684" max="7686" width="9.6640625" style="37"/>
    <col min="7687" max="7687" width="15.44140625" style="37" customWidth="1"/>
    <col min="7688" max="7688" width="16.21875" style="37" customWidth="1"/>
    <col min="7689" max="7700" width="9.6640625" style="37"/>
    <col min="7701" max="7701" width="12" style="37" customWidth="1"/>
    <col min="7702" max="7702" width="12.77734375" style="37" customWidth="1"/>
    <col min="7703" max="7703" width="11.109375" style="37" customWidth="1"/>
    <col min="7704" max="7704" width="12" style="37" customWidth="1"/>
    <col min="7705" max="7705" width="9.6640625" style="37"/>
    <col min="7706" max="7706" width="15.33203125" style="37" customWidth="1"/>
    <col min="7707" max="7707" width="15.21875" style="37" customWidth="1"/>
    <col min="7708" max="7708" width="21.44140625" style="37" customWidth="1"/>
    <col min="7709" max="7724" width="9.6640625" style="37"/>
    <col min="7725" max="7726" width="13.44140625" style="37" customWidth="1"/>
    <col min="7727" max="7727" width="9.6640625" style="37"/>
    <col min="7728" max="7728" width="13.88671875" style="37" customWidth="1"/>
    <col min="7729" max="7729" width="10.6640625" style="37" customWidth="1"/>
    <col min="7730" max="7730" width="17.33203125" style="37" customWidth="1"/>
    <col min="7731" max="7732" width="12.6640625" style="37" customWidth="1"/>
    <col min="7733" max="7733" width="11.21875" style="37" customWidth="1"/>
    <col min="7734" max="7734" width="18.33203125" style="37" customWidth="1"/>
    <col min="7735" max="7735" width="12.88671875" style="37" customWidth="1"/>
    <col min="7736" max="7737" width="13.21875" style="37" customWidth="1"/>
    <col min="7738" max="7738" width="10.88671875" style="37" customWidth="1"/>
    <col min="7739" max="7739" width="11.109375" style="37" customWidth="1"/>
    <col min="7740" max="7740" width="15.21875" style="37" customWidth="1"/>
    <col min="7741" max="7741" width="9.6640625" style="37"/>
    <col min="7742" max="7742" width="11" style="37" customWidth="1"/>
    <col min="7743" max="7743" width="10.77734375" style="37" customWidth="1"/>
    <col min="7744" max="7744" width="11.44140625" style="37" customWidth="1"/>
    <col min="7745" max="7745" width="4" style="37" customWidth="1"/>
    <col min="7746" max="7936" width="9.6640625" style="37"/>
    <col min="7937" max="7937" width="6.44140625" style="37" customWidth="1"/>
    <col min="7938" max="7938" width="13.88671875" style="37" customWidth="1"/>
    <col min="7939" max="7939" width="11.88671875" style="37" customWidth="1"/>
    <col min="7940" max="7942" width="9.6640625" style="37"/>
    <col min="7943" max="7943" width="15.44140625" style="37" customWidth="1"/>
    <col min="7944" max="7944" width="16.21875" style="37" customWidth="1"/>
    <col min="7945" max="7956" width="9.6640625" style="37"/>
    <col min="7957" max="7957" width="12" style="37" customWidth="1"/>
    <col min="7958" max="7958" width="12.77734375" style="37" customWidth="1"/>
    <col min="7959" max="7959" width="11.109375" style="37" customWidth="1"/>
    <col min="7960" max="7960" width="12" style="37" customWidth="1"/>
    <col min="7961" max="7961" width="9.6640625" style="37"/>
    <col min="7962" max="7962" width="15.33203125" style="37" customWidth="1"/>
    <col min="7963" max="7963" width="15.21875" style="37" customWidth="1"/>
    <col min="7964" max="7964" width="21.44140625" style="37" customWidth="1"/>
    <col min="7965" max="7980" width="9.6640625" style="37"/>
    <col min="7981" max="7982" width="13.44140625" style="37" customWidth="1"/>
    <col min="7983" max="7983" width="9.6640625" style="37"/>
    <col min="7984" max="7984" width="13.88671875" style="37" customWidth="1"/>
    <col min="7985" max="7985" width="10.6640625" style="37" customWidth="1"/>
    <col min="7986" max="7986" width="17.33203125" style="37" customWidth="1"/>
    <col min="7987" max="7988" width="12.6640625" style="37" customWidth="1"/>
    <col min="7989" max="7989" width="11.21875" style="37" customWidth="1"/>
    <col min="7990" max="7990" width="18.33203125" style="37" customWidth="1"/>
    <col min="7991" max="7991" width="12.88671875" style="37" customWidth="1"/>
    <col min="7992" max="7993" width="13.21875" style="37" customWidth="1"/>
    <col min="7994" max="7994" width="10.88671875" style="37" customWidth="1"/>
    <col min="7995" max="7995" width="11.109375" style="37" customWidth="1"/>
    <col min="7996" max="7996" width="15.21875" style="37" customWidth="1"/>
    <col min="7997" max="7997" width="9.6640625" style="37"/>
    <col min="7998" max="7998" width="11" style="37" customWidth="1"/>
    <col min="7999" max="7999" width="10.77734375" style="37" customWidth="1"/>
    <col min="8000" max="8000" width="11.44140625" style="37" customWidth="1"/>
    <col min="8001" max="8001" width="4" style="37" customWidth="1"/>
    <col min="8002" max="8192" width="9.6640625" style="37"/>
    <col min="8193" max="8193" width="6.44140625" style="37" customWidth="1"/>
    <col min="8194" max="8194" width="13.88671875" style="37" customWidth="1"/>
    <col min="8195" max="8195" width="11.88671875" style="37" customWidth="1"/>
    <col min="8196" max="8198" width="9.6640625" style="37"/>
    <col min="8199" max="8199" width="15.44140625" style="37" customWidth="1"/>
    <col min="8200" max="8200" width="16.21875" style="37" customWidth="1"/>
    <col min="8201" max="8212" width="9.6640625" style="37"/>
    <col min="8213" max="8213" width="12" style="37" customWidth="1"/>
    <col min="8214" max="8214" width="12.77734375" style="37" customWidth="1"/>
    <col min="8215" max="8215" width="11.109375" style="37" customWidth="1"/>
    <col min="8216" max="8216" width="12" style="37" customWidth="1"/>
    <col min="8217" max="8217" width="9.6640625" style="37"/>
    <col min="8218" max="8218" width="15.33203125" style="37" customWidth="1"/>
    <col min="8219" max="8219" width="15.21875" style="37" customWidth="1"/>
    <col min="8220" max="8220" width="21.44140625" style="37" customWidth="1"/>
    <col min="8221" max="8236" width="9.6640625" style="37"/>
    <col min="8237" max="8238" width="13.44140625" style="37" customWidth="1"/>
    <col min="8239" max="8239" width="9.6640625" style="37"/>
    <col min="8240" max="8240" width="13.88671875" style="37" customWidth="1"/>
    <col min="8241" max="8241" width="10.6640625" style="37" customWidth="1"/>
    <col min="8242" max="8242" width="17.33203125" style="37" customWidth="1"/>
    <col min="8243" max="8244" width="12.6640625" style="37" customWidth="1"/>
    <col min="8245" max="8245" width="11.21875" style="37" customWidth="1"/>
    <col min="8246" max="8246" width="18.33203125" style="37" customWidth="1"/>
    <col min="8247" max="8247" width="12.88671875" style="37" customWidth="1"/>
    <col min="8248" max="8249" width="13.21875" style="37" customWidth="1"/>
    <col min="8250" max="8250" width="10.88671875" style="37" customWidth="1"/>
    <col min="8251" max="8251" width="11.109375" style="37" customWidth="1"/>
    <col min="8252" max="8252" width="15.21875" style="37" customWidth="1"/>
    <col min="8253" max="8253" width="9.6640625" style="37"/>
    <col min="8254" max="8254" width="11" style="37" customWidth="1"/>
    <col min="8255" max="8255" width="10.77734375" style="37" customWidth="1"/>
    <col min="8256" max="8256" width="11.44140625" style="37" customWidth="1"/>
    <col min="8257" max="8257" width="4" style="37" customWidth="1"/>
    <col min="8258" max="8448" width="9.6640625" style="37"/>
    <col min="8449" max="8449" width="6.44140625" style="37" customWidth="1"/>
    <col min="8450" max="8450" width="13.88671875" style="37" customWidth="1"/>
    <col min="8451" max="8451" width="11.88671875" style="37" customWidth="1"/>
    <col min="8452" max="8454" width="9.6640625" style="37"/>
    <col min="8455" max="8455" width="15.44140625" style="37" customWidth="1"/>
    <col min="8456" max="8456" width="16.21875" style="37" customWidth="1"/>
    <col min="8457" max="8468" width="9.6640625" style="37"/>
    <col min="8469" max="8469" width="12" style="37" customWidth="1"/>
    <col min="8470" max="8470" width="12.77734375" style="37" customWidth="1"/>
    <col min="8471" max="8471" width="11.109375" style="37" customWidth="1"/>
    <col min="8472" max="8472" width="12" style="37" customWidth="1"/>
    <col min="8473" max="8473" width="9.6640625" style="37"/>
    <col min="8474" max="8474" width="15.33203125" style="37" customWidth="1"/>
    <col min="8475" max="8475" width="15.21875" style="37" customWidth="1"/>
    <col min="8476" max="8476" width="21.44140625" style="37" customWidth="1"/>
    <col min="8477" max="8492" width="9.6640625" style="37"/>
    <col min="8493" max="8494" width="13.44140625" style="37" customWidth="1"/>
    <col min="8495" max="8495" width="9.6640625" style="37"/>
    <col min="8496" max="8496" width="13.88671875" style="37" customWidth="1"/>
    <col min="8497" max="8497" width="10.6640625" style="37" customWidth="1"/>
    <col min="8498" max="8498" width="17.33203125" style="37" customWidth="1"/>
    <col min="8499" max="8500" width="12.6640625" style="37" customWidth="1"/>
    <col min="8501" max="8501" width="11.21875" style="37" customWidth="1"/>
    <col min="8502" max="8502" width="18.33203125" style="37" customWidth="1"/>
    <col min="8503" max="8503" width="12.88671875" style="37" customWidth="1"/>
    <col min="8504" max="8505" width="13.21875" style="37" customWidth="1"/>
    <col min="8506" max="8506" width="10.88671875" style="37" customWidth="1"/>
    <col min="8507" max="8507" width="11.109375" style="37" customWidth="1"/>
    <col min="8508" max="8508" width="15.21875" style="37" customWidth="1"/>
    <col min="8509" max="8509" width="9.6640625" style="37"/>
    <col min="8510" max="8510" width="11" style="37" customWidth="1"/>
    <col min="8511" max="8511" width="10.77734375" style="37" customWidth="1"/>
    <col min="8512" max="8512" width="11.44140625" style="37" customWidth="1"/>
    <col min="8513" max="8513" width="4" style="37" customWidth="1"/>
    <col min="8514" max="8704" width="9.6640625" style="37"/>
    <col min="8705" max="8705" width="6.44140625" style="37" customWidth="1"/>
    <col min="8706" max="8706" width="13.88671875" style="37" customWidth="1"/>
    <col min="8707" max="8707" width="11.88671875" style="37" customWidth="1"/>
    <col min="8708" max="8710" width="9.6640625" style="37"/>
    <col min="8711" max="8711" width="15.44140625" style="37" customWidth="1"/>
    <col min="8712" max="8712" width="16.21875" style="37" customWidth="1"/>
    <col min="8713" max="8724" width="9.6640625" style="37"/>
    <col min="8725" max="8725" width="12" style="37" customWidth="1"/>
    <col min="8726" max="8726" width="12.77734375" style="37" customWidth="1"/>
    <col min="8727" max="8727" width="11.109375" style="37" customWidth="1"/>
    <col min="8728" max="8728" width="12" style="37" customWidth="1"/>
    <col min="8729" max="8729" width="9.6640625" style="37"/>
    <col min="8730" max="8730" width="15.33203125" style="37" customWidth="1"/>
    <col min="8731" max="8731" width="15.21875" style="37" customWidth="1"/>
    <col min="8732" max="8732" width="21.44140625" style="37" customWidth="1"/>
    <col min="8733" max="8748" width="9.6640625" style="37"/>
    <col min="8749" max="8750" width="13.44140625" style="37" customWidth="1"/>
    <col min="8751" max="8751" width="9.6640625" style="37"/>
    <col min="8752" max="8752" width="13.88671875" style="37" customWidth="1"/>
    <col min="8753" max="8753" width="10.6640625" style="37" customWidth="1"/>
    <col min="8754" max="8754" width="17.33203125" style="37" customWidth="1"/>
    <col min="8755" max="8756" width="12.6640625" style="37" customWidth="1"/>
    <col min="8757" max="8757" width="11.21875" style="37" customWidth="1"/>
    <col min="8758" max="8758" width="18.33203125" style="37" customWidth="1"/>
    <col min="8759" max="8759" width="12.88671875" style="37" customWidth="1"/>
    <col min="8760" max="8761" width="13.21875" style="37" customWidth="1"/>
    <col min="8762" max="8762" width="10.88671875" style="37" customWidth="1"/>
    <col min="8763" max="8763" width="11.109375" style="37" customWidth="1"/>
    <col min="8764" max="8764" width="15.21875" style="37" customWidth="1"/>
    <col min="8765" max="8765" width="9.6640625" style="37"/>
    <col min="8766" max="8766" width="11" style="37" customWidth="1"/>
    <col min="8767" max="8767" width="10.77734375" style="37" customWidth="1"/>
    <col min="8768" max="8768" width="11.44140625" style="37" customWidth="1"/>
    <col min="8769" max="8769" width="4" style="37" customWidth="1"/>
    <col min="8770" max="8960" width="9.6640625" style="37"/>
    <col min="8961" max="8961" width="6.44140625" style="37" customWidth="1"/>
    <col min="8962" max="8962" width="13.88671875" style="37" customWidth="1"/>
    <col min="8963" max="8963" width="11.88671875" style="37" customWidth="1"/>
    <col min="8964" max="8966" width="9.6640625" style="37"/>
    <col min="8967" max="8967" width="15.44140625" style="37" customWidth="1"/>
    <col min="8968" max="8968" width="16.21875" style="37" customWidth="1"/>
    <col min="8969" max="8980" width="9.6640625" style="37"/>
    <col min="8981" max="8981" width="12" style="37" customWidth="1"/>
    <col min="8982" max="8982" width="12.77734375" style="37" customWidth="1"/>
    <col min="8983" max="8983" width="11.109375" style="37" customWidth="1"/>
    <col min="8984" max="8984" width="12" style="37" customWidth="1"/>
    <col min="8985" max="8985" width="9.6640625" style="37"/>
    <col min="8986" max="8986" width="15.33203125" style="37" customWidth="1"/>
    <col min="8987" max="8987" width="15.21875" style="37" customWidth="1"/>
    <col min="8988" max="8988" width="21.44140625" style="37" customWidth="1"/>
    <col min="8989" max="9004" width="9.6640625" style="37"/>
    <col min="9005" max="9006" width="13.44140625" style="37" customWidth="1"/>
    <col min="9007" max="9007" width="9.6640625" style="37"/>
    <col min="9008" max="9008" width="13.88671875" style="37" customWidth="1"/>
    <col min="9009" max="9009" width="10.6640625" style="37" customWidth="1"/>
    <col min="9010" max="9010" width="17.33203125" style="37" customWidth="1"/>
    <col min="9011" max="9012" width="12.6640625" style="37" customWidth="1"/>
    <col min="9013" max="9013" width="11.21875" style="37" customWidth="1"/>
    <col min="9014" max="9014" width="18.33203125" style="37" customWidth="1"/>
    <col min="9015" max="9015" width="12.88671875" style="37" customWidth="1"/>
    <col min="9016" max="9017" width="13.21875" style="37" customWidth="1"/>
    <col min="9018" max="9018" width="10.88671875" style="37" customWidth="1"/>
    <col min="9019" max="9019" width="11.109375" style="37" customWidth="1"/>
    <col min="9020" max="9020" width="15.21875" style="37" customWidth="1"/>
    <col min="9021" max="9021" width="9.6640625" style="37"/>
    <col min="9022" max="9022" width="11" style="37" customWidth="1"/>
    <col min="9023" max="9023" width="10.77734375" style="37" customWidth="1"/>
    <col min="9024" max="9024" width="11.44140625" style="37" customWidth="1"/>
    <col min="9025" max="9025" width="4" style="37" customWidth="1"/>
    <col min="9026" max="9216" width="9.6640625" style="37"/>
    <col min="9217" max="9217" width="6.44140625" style="37" customWidth="1"/>
    <col min="9218" max="9218" width="13.88671875" style="37" customWidth="1"/>
    <col min="9219" max="9219" width="11.88671875" style="37" customWidth="1"/>
    <col min="9220" max="9222" width="9.6640625" style="37"/>
    <col min="9223" max="9223" width="15.44140625" style="37" customWidth="1"/>
    <col min="9224" max="9224" width="16.21875" style="37" customWidth="1"/>
    <col min="9225" max="9236" width="9.6640625" style="37"/>
    <col min="9237" max="9237" width="12" style="37" customWidth="1"/>
    <col min="9238" max="9238" width="12.77734375" style="37" customWidth="1"/>
    <col min="9239" max="9239" width="11.109375" style="37" customWidth="1"/>
    <col min="9240" max="9240" width="12" style="37" customWidth="1"/>
    <col min="9241" max="9241" width="9.6640625" style="37"/>
    <col min="9242" max="9242" width="15.33203125" style="37" customWidth="1"/>
    <col min="9243" max="9243" width="15.21875" style="37" customWidth="1"/>
    <col min="9244" max="9244" width="21.44140625" style="37" customWidth="1"/>
    <col min="9245" max="9260" width="9.6640625" style="37"/>
    <col min="9261" max="9262" width="13.44140625" style="37" customWidth="1"/>
    <col min="9263" max="9263" width="9.6640625" style="37"/>
    <col min="9264" max="9264" width="13.88671875" style="37" customWidth="1"/>
    <col min="9265" max="9265" width="10.6640625" style="37" customWidth="1"/>
    <col min="9266" max="9266" width="17.33203125" style="37" customWidth="1"/>
    <col min="9267" max="9268" width="12.6640625" style="37" customWidth="1"/>
    <col min="9269" max="9269" width="11.21875" style="37" customWidth="1"/>
    <col min="9270" max="9270" width="18.33203125" style="37" customWidth="1"/>
    <col min="9271" max="9271" width="12.88671875" style="37" customWidth="1"/>
    <col min="9272" max="9273" width="13.21875" style="37" customWidth="1"/>
    <col min="9274" max="9274" width="10.88671875" style="37" customWidth="1"/>
    <col min="9275" max="9275" width="11.109375" style="37" customWidth="1"/>
    <col min="9276" max="9276" width="15.21875" style="37" customWidth="1"/>
    <col min="9277" max="9277" width="9.6640625" style="37"/>
    <col min="9278" max="9278" width="11" style="37" customWidth="1"/>
    <col min="9279" max="9279" width="10.77734375" style="37" customWidth="1"/>
    <col min="9280" max="9280" width="11.44140625" style="37" customWidth="1"/>
    <col min="9281" max="9281" width="4" style="37" customWidth="1"/>
    <col min="9282" max="9472" width="9.6640625" style="37"/>
    <col min="9473" max="9473" width="6.44140625" style="37" customWidth="1"/>
    <col min="9474" max="9474" width="13.88671875" style="37" customWidth="1"/>
    <col min="9475" max="9475" width="11.88671875" style="37" customWidth="1"/>
    <col min="9476" max="9478" width="9.6640625" style="37"/>
    <col min="9479" max="9479" width="15.44140625" style="37" customWidth="1"/>
    <col min="9480" max="9480" width="16.21875" style="37" customWidth="1"/>
    <col min="9481" max="9492" width="9.6640625" style="37"/>
    <col min="9493" max="9493" width="12" style="37" customWidth="1"/>
    <col min="9494" max="9494" width="12.77734375" style="37" customWidth="1"/>
    <col min="9495" max="9495" width="11.109375" style="37" customWidth="1"/>
    <col min="9496" max="9496" width="12" style="37" customWidth="1"/>
    <col min="9497" max="9497" width="9.6640625" style="37"/>
    <col min="9498" max="9498" width="15.33203125" style="37" customWidth="1"/>
    <col min="9499" max="9499" width="15.21875" style="37" customWidth="1"/>
    <col min="9500" max="9500" width="21.44140625" style="37" customWidth="1"/>
    <col min="9501" max="9516" width="9.6640625" style="37"/>
    <col min="9517" max="9518" width="13.44140625" style="37" customWidth="1"/>
    <col min="9519" max="9519" width="9.6640625" style="37"/>
    <col min="9520" max="9520" width="13.88671875" style="37" customWidth="1"/>
    <col min="9521" max="9521" width="10.6640625" style="37" customWidth="1"/>
    <col min="9522" max="9522" width="17.33203125" style="37" customWidth="1"/>
    <col min="9523" max="9524" width="12.6640625" style="37" customWidth="1"/>
    <col min="9525" max="9525" width="11.21875" style="37" customWidth="1"/>
    <col min="9526" max="9526" width="18.33203125" style="37" customWidth="1"/>
    <col min="9527" max="9527" width="12.88671875" style="37" customWidth="1"/>
    <col min="9528" max="9529" width="13.21875" style="37" customWidth="1"/>
    <col min="9530" max="9530" width="10.88671875" style="37" customWidth="1"/>
    <col min="9531" max="9531" width="11.109375" style="37" customWidth="1"/>
    <col min="9532" max="9532" width="15.21875" style="37" customWidth="1"/>
    <col min="9533" max="9533" width="9.6640625" style="37"/>
    <col min="9534" max="9534" width="11" style="37" customWidth="1"/>
    <col min="9535" max="9535" width="10.77734375" style="37" customWidth="1"/>
    <col min="9536" max="9536" width="11.44140625" style="37" customWidth="1"/>
    <col min="9537" max="9537" width="4" style="37" customWidth="1"/>
    <col min="9538" max="9728" width="9.6640625" style="37"/>
    <col min="9729" max="9729" width="6.44140625" style="37" customWidth="1"/>
    <col min="9730" max="9730" width="13.88671875" style="37" customWidth="1"/>
    <col min="9731" max="9731" width="11.88671875" style="37" customWidth="1"/>
    <col min="9732" max="9734" width="9.6640625" style="37"/>
    <col min="9735" max="9735" width="15.44140625" style="37" customWidth="1"/>
    <col min="9736" max="9736" width="16.21875" style="37" customWidth="1"/>
    <col min="9737" max="9748" width="9.6640625" style="37"/>
    <col min="9749" max="9749" width="12" style="37" customWidth="1"/>
    <col min="9750" max="9750" width="12.77734375" style="37" customWidth="1"/>
    <col min="9751" max="9751" width="11.109375" style="37" customWidth="1"/>
    <col min="9752" max="9752" width="12" style="37" customWidth="1"/>
    <col min="9753" max="9753" width="9.6640625" style="37"/>
    <col min="9754" max="9754" width="15.33203125" style="37" customWidth="1"/>
    <col min="9755" max="9755" width="15.21875" style="37" customWidth="1"/>
    <col min="9756" max="9756" width="21.44140625" style="37" customWidth="1"/>
    <col min="9757" max="9772" width="9.6640625" style="37"/>
    <col min="9773" max="9774" width="13.44140625" style="37" customWidth="1"/>
    <col min="9775" max="9775" width="9.6640625" style="37"/>
    <col min="9776" max="9776" width="13.88671875" style="37" customWidth="1"/>
    <col min="9777" max="9777" width="10.6640625" style="37" customWidth="1"/>
    <col min="9778" max="9778" width="17.33203125" style="37" customWidth="1"/>
    <col min="9779" max="9780" width="12.6640625" style="37" customWidth="1"/>
    <col min="9781" max="9781" width="11.21875" style="37" customWidth="1"/>
    <col min="9782" max="9782" width="18.33203125" style="37" customWidth="1"/>
    <col min="9783" max="9783" width="12.88671875" style="37" customWidth="1"/>
    <col min="9784" max="9785" width="13.21875" style="37" customWidth="1"/>
    <col min="9786" max="9786" width="10.88671875" style="37" customWidth="1"/>
    <col min="9787" max="9787" width="11.109375" style="37" customWidth="1"/>
    <col min="9788" max="9788" width="15.21875" style="37" customWidth="1"/>
    <col min="9789" max="9789" width="9.6640625" style="37"/>
    <col min="9790" max="9790" width="11" style="37" customWidth="1"/>
    <col min="9791" max="9791" width="10.77734375" style="37" customWidth="1"/>
    <col min="9792" max="9792" width="11.44140625" style="37" customWidth="1"/>
    <col min="9793" max="9793" width="4" style="37" customWidth="1"/>
    <col min="9794" max="9984" width="9.6640625" style="37"/>
    <col min="9985" max="9985" width="6.44140625" style="37" customWidth="1"/>
    <col min="9986" max="9986" width="13.88671875" style="37" customWidth="1"/>
    <col min="9987" max="9987" width="11.88671875" style="37" customWidth="1"/>
    <col min="9988" max="9990" width="9.6640625" style="37"/>
    <col min="9991" max="9991" width="15.44140625" style="37" customWidth="1"/>
    <col min="9992" max="9992" width="16.21875" style="37" customWidth="1"/>
    <col min="9993" max="10004" width="9.6640625" style="37"/>
    <col min="10005" max="10005" width="12" style="37" customWidth="1"/>
    <col min="10006" max="10006" width="12.77734375" style="37" customWidth="1"/>
    <col min="10007" max="10007" width="11.109375" style="37" customWidth="1"/>
    <col min="10008" max="10008" width="12" style="37" customWidth="1"/>
    <col min="10009" max="10009" width="9.6640625" style="37"/>
    <col min="10010" max="10010" width="15.33203125" style="37" customWidth="1"/>
    <col min="10011" max="10011" width="15.21875" style="37" customWidth="1"/>
    <col min="10012" max="10012" width="21.44140625" style="37" customWidth="1"/>
    <col min="10013" max="10028" width="9.6640625" style="37"/>
    <col min="10029" max="10030" width="13.44140625" style="37" customWidth="1"/>
    <col min="10031" max="10031" width="9.6640625" style="37"/>
    <col min="10032" max="10032" width="13.88671875" style="37" customWidth="1"/>
    <col min="10033" max="10033" width="10.6640625" style="37" customWidth="1"/>
    <col min="10034" max="10034" width="17.33203125" style="37" customWidth="1"/>
    <col min="10035" max="10036" width="12.6640625" style="37" customWidth="1"/>
    <col min="10037" max="10037" width="11.21875" style="37" customWidth="1"/>
    <col min="10038" max="10038" width="18.33203125" style="37" customWidth="1"/>
    <col min="10039" max="10039" width="12.88671875" style="37" customWidth="1"/>
    <col min="10040" max="10041" width="13.21875" style="37" customWidth="1"/>
    <col min="10042" max="10042" width="10.88671875" style="37" customWidth="1"/>
    <col min="10043" max="10043" width="11.109375" style="37" customWidth="1"/>
    <col min="10044" max="10044" width="15.21875" style="37" customWidth="1"/>
    <col min="10045" max="10045" width="9.6640625" style="37"/>
    <col min="10046" max="10046" width="11" style="37" customWidth="1"/>
    <col min="10047" max="10047" width="10.77734375" style="37" customWidth="1"/>
    <col min="10048" max="10048" width="11.44140625" style="37" customWidth="1"/>
    <col min="10049" max="10049" width="4" style="37" customWidth="1"/>
    <col min="10050" max="10240" width="9.6640625" style="37"/>
    <col min="10241" max="10241" width="6.44140625" style="37" customWidth="1"/>
    <col min="10242" max="10242" width="13.88671875" style="37" customWidth="1"/>
    <col min="10243" max="10243" width="11.88671875" style="37" customWidth="1"/>
    <col min="10244" max="10246" width="9.6640625" style="37"/>
    <col min="10247" max="10247" width="15.44140625" style="37" customWidth="1"/>
    <col min="10248" max="10248" width="16.21875" style="37" customWidth="1"/>
    <col min="10249" max="10260" width="9.6640625" style="37"/>
    <col min="10261" max="10261" width="12" style="37" customWidth="1"/>
    <col min="10262" max="10262" width="12.77734375" style="37" customWidth="1"/>
    <col min="10263" max="10263" width="11.109375" style="37" customWidth="1"/>
    <col min="10264" max="10264" width="12" style="37" customWidth="1"/>
    <col min="10265" max="10265" width="9.6640625" style="37"/>
    <col min="10266" max="10266" width="15.33203125" style="37" customWidth="1"/>
    <col min="10267" max="10267" width="15.21875" style="37" customWidth="1"/>
    <col min="10268" max="10268" width="21.44140625" style="37" customWidth="1"/>
    <col min="10269" max="10284" width="9.6640625" style="37"/>
    <col min="10285" max="10286" width="13.44140625" style="37" customWidth="1"/>
    <col min="10287" max="10287" width="9.6640625" style="37"/>
    <col min="10288" max="10288" width="13.88671875" style="37" customWidth="1"/>
    <col min="10289" max="10289" width="10.6640625" style="37" customWidth="1"/>
    <col min="10290" max="10290" width="17.33203125" style="37" customWidth="1"/>
    <col min="10291" max="10292" width="12.6640625" style="37" customWidth="1"/>
    <col min="10293" max="10293" width="11.21875" style="37" customWidth="1"/>
    <col min="10294" max="10294" width="18.33203125" style="37" customWidth="1"/>
    <col min="10295" max="10295" width="12.88671875" style="37" customWidth="1"/>
    <col min="10296" max="10297" width="13.21875" style="37" customWidth="1"/>
    <col min="10298" max="10298" width="10.88671875" style="37" customWidth="1"/>
    <col min="10299" max="10299" width="11.109375" style="37" customWidth="1"/>
    <col min="10300" max="10300" width="15.21875" style="37" customWidth="1"/>
    <col min="10301" max="10301" width="9.6640625" style="37"/>
    <col min="10302" max="10302" width="11" style="37" customWidth="1"/>
    <col min="10303" max="10303" width="10.77734375" style="37" customWidth="1"/>
    <col min="10304" max="10304" width="11.44140625" style="37" customWidth="1"/>
    <col min="10305" max="10305" width="4" style="37" customWidth="1"/>
    <col min="10306" max="10496" width="9.6640625" style="37"/>
    <col min="10497" max="10497" width="6.44140625" style="37" customWidth="1"/>
    <col min="10498" max="10498" width="13.88671875" style="37" customWidth="1"/>
    <col min="10499" max="10499" width="11.88671875" style="37" customWidth="1"/>
    <col min="10500" max="10502" width="9.6640625" style="37"/>
    <col min="10503" max="10503" width="15.44140625" style="37" customWidth="1"/>
    <col min="10504" max="10504" width="16.21875" style="37" customWidth="1"/>
    <col min="10505" max="10516" width="9.6640625" style="37"/>
    <col min="10517" max="10517" width="12" style="37" customWidth="1"/>
    <col min="10518" max="10518" width="12.77734375" style="37" customWidth="1"/>
    <col min="10519" max="10519" width="11.109375" style="37" customWidth="1"/>
    <col min="10520" max="10520" width="12" style="37" customWidth="1"/>
    <col min="10521" max="10521" width="9.6640625" style="37"/>
    <col min="10522" max="10522" width="15.33203125" style="37" customWidth="1"/>
    <col min="10523" max="10523" width="15.21875" style="37" customWidth="1"/>
    <col min="10524" max="10524" width="21.44140625" style="37" customWidth="1"/>
    <col min="10525" max="10540" width="9.6640625" style="37"/>
    <col min="10541" max="10542" width="13.44140625" style="37" customWidth="1"/>
    <col min="10543" max="10543" width="9.6640625" style="37"/>
    <col min="10544" max="10544" width="13.88671875" style="37" customWidth="1"/>
    <col min="10545" max="10545" width="10.6640625" style="37" customWidth="1"/>
    <col min="10546" max="10546" width="17.33203125" style="37" customWidth="1"/>
    <col min="10547" max="10548" width="12.6640625" style="37" customWidth="1"/>
    <col min="10549" max="10549" width="11.21875" style="37" customWidth="1"/>
    <col min="10550" max="10550" width="18.33203125" style="37" customWidth="1"/>
    <col min="10551" max="10551" width="12.88671875" style="37" customWidth="1"/>
    <col min="10552" max="10553" width="13.21875" style="37" customWidth="1"/>
    <col min="10554" max="10554" width="10.88671875" style="37" customWidth="1"/>
    <col min="10555" max="10555" width="11.109375" style="37" customWidth="1"/>
    <col min="10556" max="10556" width="15.21875" style="37" customWidth="1"/>
    <col min="10557" max="10557" width="9.6640625" style="37"/>
    <col min="10558" max="10558" width="11" style="37" customWidth="1"/>
    <col min="10559" max="10559" width="10.77734375" style="37" customWidth="1"/>
    <col min="10560" max="10560" width="11.44140625" style="37" customWidth="1"/>
    <col min="10561" max="10561" width="4" style="37" customWidth="1"/>
    <col min="10562" max="10752" width="9.6640625" style="37"/>
    <col min="10753" max="10753" width="6.44140625" style="37" customWidth="1"/>
    <col min="10754" max="10754" width="13.88671875" style="37" customWidth="1"/>
    <col min="10755" max="10755" width="11.88671875" style="37" customWidth="1"/>
    <col min="10756" max="10758" width="9.6640625" style="37"/>
    <col min="10759" max="10759" width="15.44140625" style="37" customWidth="1"/>
    <col min="10760" max="10760" width="16.21875" style="37" customWidth="1"/>
    <col min="10761" max="10772" width="9.6640625" style="37"/>
    <col min="10773" max="10773" width="12" style="37" customWidth="1"/>
    <col min="10774" max="10774" width="12.77734375" style="37" customWidth="1"/>
    <col min="10775" max="10775" width="11.109375" style="37" customWidth="1"/>
    <col min="10776" max="10776" width="12" style="37" customWidth="1"/>
    <col min="10777" max="10777" width="9.6640625" style="37"/>
    <col min="10778" max="10778" width="15.33203125" style="37" customWidth="1"/>
    <col min="10779" max="10779" width="15.21875" style="37" customWidth="1"/>
    <col min="10780" max="10780" width="21.44140625" style="37" customWidth="1"/>
    <col min="10781" max="10796" width="9.6640625" style="37"/>
    <col min="10797" max="10798" width="13.44140625" style="37" customWidth="1"/>
    <col min="10799" max="10799" width="9.6640625" style="37"/>
    <col min="10800" max="10800" width="13.88671875" style="37" customWidth="1"/>
    <col min="10801" max="10801" width="10.6640625" style="37" customWidth="1"/>
    <col min="10802" max="10802" width="17.33203125" style="37" customWidth="1"/>
    <col min="10803" max="10804" width="12.6640625" style="37" customWidth="1"/>
    <col min="10805" max="10805" width="11.21875" style="37" customWidth="1"/>
    <col min="10806" max="10806" width="18.33203125" style="37" customWidth="1"/>
    <col min="10807" max="10807" width="12.88671875" style="37" customWidth="1"/>
    <col min="10808" max="10809" width="13.21875" style="37" customWidth="1"/>
    <col min="10810" max="10810" width="10.88671875" style="37" customWidth="1"/>
    <col min="10811" max="10811" width="11.109375" style="37" customWidth="1"/>
    <col min="10812" max="10812" width="15.21875" style="37" customWidth="1"/>
    <col min="10813" max="10813" width="9.6640625" style="37"/>
    <col min="10814" max="10814" width="11" style="37" customWidth="1"/>
    <col min="10815" max="10815" width="10.77734375" style="37" customWidth="1"/>
    <col min="10816" max="10816" width="11.44140625" style="37" customWidth="1"/>
    <col min="10817" max="10817" width="4" style="37" customWidth="1"/>
    <col min="10818" max="11008" width="9.6640625" style="37"/>
    <col min="11009" max="11009" width="6.44140625" style="37" customWidth="1"/>
    <col min="11010" max="11010" width="13.88671875" style="37" customWidth="1"/>
    <col min="11011" max="11011" width="11.88671875" style="37" customWidth="1"/>
    <col min="11012" max="11014" width="9.6640625" style="37"/>
    <col min="11015" max="11015" width="15.44140625" style="37" customWidth="1"/>
    <col min="11016" max="11016" width="16.21875" style="37" customWidth="1"/>
    <col min="11017" max="11028" width="9.6640625" style="37"/>
    <col min="11029" max="11029" width="12" style="37" customWidth="1"/>
    <col min="11030" max="11030" width="12.77734375" style="37" customWidth="1"/>
    <col min="11031" max="11031" width="11.109375" style="37" customWidth="1"/>
    <col min="11032" max="11032" width="12" style="37" customWidth="1"/>
    <col min="11033" max="11033" width="9.6640625" style="37"/>
    <col min="11034" max="11034" width="15.33203125" style="37" customWidth="1"/>
    <col min="11035" max="11035" width="15.21875" style="37" customWidth="1"/>
    <col min="11036" max="11036" width="21.44140625" style="37" customWidth="1"/>
    <col min="11037" max="11052" width="9.6640625" style="37"/>
    <col min="11053" max="11054" width="13.44140625" style="37" customWidth="1"/>
    <col min="11055" max="11055" width="9.6640625" style="37"/>
    <col min="11056" max="11056" width="13.88671875" style="37" customWidth="1"/>
    <col min="11057" max="11057" width="10.6640625" style="37" customWidth="1"/>
    <col min="11058" max="11058" width="17.33203125" style="37" customWidth="1"/>
    <col min="11059" max="11060" width="12.6640625" style="37" customWidth="1"/>
    <col min="11061" max="11061" width="11.21875" style="37" customWidth="1"/>
    <col min="11062" max="11062" width="18.33203125" style="37" customWidth="1"/>
    <col min="11063" max="11063" width="12.88671875" style="37" customWidth="1"/>
    <col min="11064" max="11065" width="13.21875" style="37" customWidth="1"/>
    <col min="11066" max="11066" width="10.88671875" style="37" customWidth="1"/>
    <col min="11067" max="11067" width="11.109375" style="37" customWidth="1"/>
    <col min="11068" max="11068" width="15.21875" style="37" customWidth="1"/>
    <col min="11069" max="11069" width="9.6640625" style="37"/>
    <col min="11070" max="11070" width="11" style="37" customWidth="1"/>
    <col min="11071" max="11071" width="10.77734375" style="37" customWidth="1"/>
    <col min="11072" max="11072" width="11.44140625" style="37" customWidth="1"/>
    <col min="11073" max="11073" width="4" style="37" customWidth="1"/>
    <col min="11074" max="11264" width="9.6640625" style="37"/>
    <col min="11265" max="11265" width="6.44140625" style="37" customWidth="1"/>
    <col min="11266" max="11266" width="13.88671875" style="37" customWidth="1"/>
    <col min="11267" max="11267" width="11.88671875" style="37" customWidth="1"/>
    <col min="11268" max="11270" width="9.6640625" style="37"/>
    <col min="11271" max="11271" width="15.44140625" style="37" customWidth="1"/>
    <col min="11272" max="11272" width="16.21875" style="37" customWidth="1"/>
    <col min="11273" max="11284" width="9.6640625" style="37"/>
    <col min="11285" max="11285" width="12" style="37" customWidth="1"/>
    <col min="11286" max="11286" width="12.77734375" style="37" customWidth="1"/>
    <col min="11287" max="11287" width="11.109375" style="37" customWidth="1"/>
    <col min="11288" max="11288" width="12" style="37" customWidth="1"/>
    <col min="11289" max="11289" width="9.6640625" style="37"/>
    <col min="11290" max="11290" width="15.33203125" style="37" customWidth="1"/>
    <col min="11291" max="11291" width="15.21875" style="37" customWidth="1"/>
    <col min="11292" max="11292" width="21.44140625" style="37" customWidth="1"/>
    <col min="11293" max="11308" width="9.6640625" style="37"/>
    <col min="11309" max="11310" width="13.44140625" style="37" customWidth="1"/>
    <col min="11311" max="11311" width="9.6640625" style="37"/>
    <col min="11312" max="11312" width="13.88671875" style="37" customWidth="1"/>
    <col min="11313" max="11313" width="10.6640625" style="37" customWidth="1"/>
    <col min="11314" max="11314" width="17.33203125" style="37" customWidth="1"/>
    <col min="11315" max="11316" width="12.6640625" style="37" customWidth="1"/>
    <col min="11317" max="11317" width="11.21875" style="37" customWidth="1"/>
    <col min="11318" max="11318" width="18.33203125" style="37" customWidth="1"/>
    <col min="11319" max="11319" width="12.88671875" style="37" customWidth="1"/>
    <col min="11320" max="11321" width="13.21875" style="37" customWidth="1"/>
    <col min="11322" max="11322" width="10.88671875" style="37" customWidth="1"/>
    <col min="11323" max="11323" width="11.109375" style="37" customWidth="1"/>
    <col min="11324" max="11324" width="15.21875" style="37" customWidth="1"/>
    <col min="11325" max="11325" width="9.6640625" style="37"/>
    <col min="11326" max="11326" width="11" style="37" customWidth="1"/>
    <col min="11327" max="11327" width="10.77734375" style="37" customWidth="1"/>
    <col min="11328" max="11328" width="11.44140625" style="37" customWidth="1"/>
    <col min="11329" max="11329" width="4" style="37" customWidth="1"/>
    <col min="11330" max="11520" width="9.6640625" style="37"/>
    <col min="11521" max="11521" width="6.44140625" style="37" customWidth="1"/>
    <col min="11522" max="11522" width="13.88671875" style="37" customWidth="1"/>
    <col min="11523" max="11523" width="11.88671875" style="37" customWidth="1"/>
    <col min="11524" max="11526" width="9.6640625" style="37"/>
    <col min="11527" max="11527" width="15.44140625" style="37" customWidth="1"/>
    <col min="11528" max="11528" width="16.21875" style="37" customWidth="1"/>
    <col min="11529" max="11540" width="9.6640625" style="37"/>
    <col min="11541" max="11541" width="12" style="37" customWidth="1"/>
    <col min="11542" max="11542" width="12.77734375" style="37" customWidth="1"/>
    <col min="11543" max="11543" width="11.109375" style="37" customWidth="1"/>
    <col min="11544" max="11544" width="12" style="37" customWidth="1"/>
    <col min="11545" max="11545" width="9.6640625" style="37"/>
    <col min="11546" max="11546" width="15.33203125" style="37" customWidth="1"/>
    <col min="11547" max="11547" width="15.21875" style="37" customWidth="1"/>
    <col min="11548" max="11548" width="21.44140625" style="37" customWidth="1"/>
    <col min="11549" max="11564" width="9.6640625" style="37"/>
    <col min="11565" max="11566" width="13.44140625" style="37" customWidth="1"/>
    <col min="11567" max="11567" width="9.6640625" style="37"/>
    <col min="11568" max="11568" width="13.88671875" style="37" customWidth="1"/>
    <col min="11569" max="11569" width="10.6640625" style="37" customWidth="1"/>
    <col min="11570" max="11570" width="17.33203125" style="37" customWidth="1"/>
    <col min="11571" max="11572" width="12.6640625" style="37" customWidth="1"/>
    <col min="11573" max="11573" width="11.21875" style="37" customWidth="1"/>
    <col min="11574" max="11574" width="18.33203125" style="37" customWidth="1"/>
    <col min="11575" max="11575" width="12.88671875" style="37" customWidth="1"/>
    <col min="11576" max="11577" width="13.21875" style="37" customWidth="1"/>
    <col min="11578" max="11578" width="10.88671875" style="37" customWidth="1"/>
    <col min="11579" max="11579" width="11.109375" style="37" customWidth="1"/>
    <col min="11580" max="11580" width="15.21875" style="37" customWidth="1"/>
    <col min="11581" max="11581" width="9.6640625" style="37"/>
    <col min="11582" max="11582" width="11" style="37" customWidth="1"/>
    <col min="11583" max="11583" width="10.77734375" style="37" customWidth="1"/>
    <col min="11584" max="11584" width="11.44140625" style="37" customWidth="1"/>
    <col min="11585" max="11585" width="4" style="37" customWidth="1"/>
    <col min="11586" max="11776" width="9.6640625" style="37"/>
    <col min="11777" max="11777" width="6.44140625" style="37" customWidth="1"/>
    <col min="11778" max="11778" width="13.88671875" style="37" customWidth="1"/>
    <col min="11779" max="11779" width="11.88671875" style="37" customWidth="1"/>
    <col min="11780" max="11782" width="9.6640625" style="37"/>
    <col min="11783" max="11783" width="15.44140625" style="37" customWidth="1"/>
    <col min="11784" max="11784" width="16.21875" style="37" customWidth="1"/>
    <col min="11785" max="11796" width="9.6640625" style="37"/>
    <col min="11797" max="11797" width="12" style="37" customWidth="1"/>
    <col min="11798" max="11798" width="12.77734375" style="37" customWidth="1"/>
    <col min="11799" max="11799" width="11.109375" style="37" customWidth="1"/>
    <col min="11800" max="11800" width="12" style="37" customWidth="1"/>
    <col min="11801" max="11801" width="9.6640625" style="37"/>
    <col min="11802" max="11802" width="15.33203125" style="37" customWidth="1"/>
    <col min="11803" max="11803" width="15.21875" style="37" customWidth="1"/>
    <col min="11804" max="11804" width="21.44140625" style="37" customWidth="1"/>
    <col min="11805" max="11820" width="9.6640625" style="37"/>
    <col min="11821" max="11822" width="13.44140625" style="37" customWidth="1"/>
    <col min="11823" max="11823" width="9.6640625" style="37"/>
    <col min="11824" max="11824" width="13.88671875" style="37" customWidth="1"/>
    <col min="11825" max="11825" width="10.6640625" style="37" customWidth="1"/>
    <col min="11826" max="11826" width="17.33203125" style="37" customWidth="1"/>
    <col min="11827" max="11828" width="12.6640625" style="37" customWidth="1"/>
    <col min="11829" max="11829" width="11.21875" style="37" customWidth="1"/>
    <col min="11830" max="11830" width="18.33203125" style="37" customWidth="1"/>
    <col min="11831" max="11831" width="12.88671875" style="37" customWidth="1"/>
    <col min="11832" max="11833" width="13.21875" style="37" customWidth="1"/>
    <col min="11834" max="11834" width="10.88671875" style="37" customWidth="1"/>
    <col min="11835" max="11835" width="11.109375" style="37" customWidth="1"/>
    <col min="11836" max="11836" width="15.21875" style="37" customWidth="1"/>
    <col min="11837" max="11837" width="9.6640625" style="37"/>
    <col min="11838" max="11838" width="11" style="37" customWidth="1"/>
    <col min="11839" max="11839" width="10.77734375" style="37" customWidth="1"/>
    <col min="11840" max="11840" width="11.44140625" style="37" customWidth="1"/>
    <col min="11841" max="11841" width="4" style="37" customWidth="1"/>
    <col min="11842" max="12032" width="9.6640625" style="37"/>
    <col min="12033" max="12033" width="6.44140625" style="37" customWidth="1"/>
    <col min="12034" max="12034" width="13.88671875" style="37" customWidth="1"/>
    <col min="12035" max="12035" width="11.88671875" style="37" customWidth="1"/>
    <col min="12036" max="12038" width="9.6640625" style="37"/>
    <col min="12039" max="12039" width="15.44140625" style="37" customWidth="1"/>
    <col min="12040" max="12040" width="16.21875" style="37" customWidth="1"/>
    <col min="12041" max="12052" width="9.6640625" style="37"/>
    <col min="12053" max="12053" width="12" style="37" customWidth="1"/>
    <col min="12054" max="12054" width="12.77734375" style="37" customWidth="1"/>
    <col min="12055" max="12055" width="11.109375" style="37" customWidth="1"/>
    <col min="12056" max="12056" width="12" style="37" customWidth="1"/>
    <col min="12057" max="12057" width="9.6640625" style="37"/>
    <col min="12058" max="12058" width="15.33203125" style="37" customWidth="1"/>
    <col min="12059" max="12059" width="15.21875" style="37" customWidth="1"/>
    <col min="12060" max="12060" width="21.44140625" style="37" customWidth="1"/>
    <col min="12061" max="12076" width="9.6640625" style="37"/>
    <col min="12077" max="12078" width="13.44140625" style="37" customWidth="1"/>
    <col min="12079" max="12079" width="9.6640625" style="37"/>
    <col min="12080" max="12080" width="13.88671875" style="37" customWidth="1"/>
    <col min="12081" max="12081" width="10.6640625" style="37" customWidth="1"/>
    <col min="12082" max="12082" width="17.33203125" style="37" customWidth="1"/>
    <col min="12083" max="12084" width="12.6640625" style="37" customWidth="1"/>
    <col min="12085" max="12085" width="11.21875" style="37" customWidth="1"/>
    <col min="12086" max="12086" width="18.33203125" style="37" customWidth="1"/>
    <col min="12087" max="12087" width="12.88671875" style="37" customWidth="1"/>
    <col min="12088" max="12089" width="13.21875" style="37" customWidth="1"/>
    <col min="12090" max="12090" width="10.88671875" style="37" customWidth="1"/>
    <col min="12091" max="12091" width="11.109375" style="37" customWidth="1"/>
    <col min="12092" max="12092" width="15.21875" style="37" customWidth="1"/>
    <col min="12093" max="12093" width="9.6640625" style="37"/>
    <col min="12094" max="12094" width="11" style="37" customWidth="1"/>
    <col min="12095" max="12095" width="10.77734375" style="37" customWidth="1"/>
    <col min="12096" max="12096" width="11.44140625" style="37" customWidth="1"/>
    <col min="12097" max="12097" width="4" style="37" customWidth="1"/>
    <col min="12098" max="12288" width="9.6640625" style="37"/>
    <col min="12289" max="12289" width="6.44140625" style="37" customWidth="1"/>
    <col min="12290" max="12290" width="13.88671875" style="37" customWidth="1"/>
    <col min="12291" max="12291" width="11.88671875" style="37" customWidth="1"/>
    <col min="12292" max="12294" width="9.6640625" style="37"/>
    <col min="12295" max="12295" width="15.44140625" style="37" customWidth="1"/>
    <col min="12296" max="12296" width="16.21875" style="37" customWidth="1"/>
    <col min="12297" max="12308" width="9.6640625" style="37"/>
    <col min="12309" max="12309" width="12" style="37" customWidth="1"/>
    <col min="12310" max="12310" width="12.77734375" style="37" customWidth="1"/>
    <col min="12311" max="12311" width="11.109375" style="37" customWidth="1"/>
    <col min="12312" max="12312" width="12" style="37" customWidth="1"/>
    <col min="12313" max="12313" width="9.6640625" style="37"/>
    <col min="12314" max="12314" width="15.33203125" style="37" customWidth="1"/>
    <col min="12315" max="12315" width="15.21875" style="37" customWidth="1"/>
    <col min="12316" max="12316" width="21.44140625" style="37" customWidth="1"/>
    <col min="12317" max="12332" width="9.6640625" style="37"/>
    <col min="12333" max="12334" width="13.44140625" style="37" customWidth="1"/>
    <col min="12335" max="12335" width="9.6640625" style="37"/>
    <col min="12336" max="12336" width="13.88671875" style="37" customWidth="1"/>
    <col min="12337" max="12337" width="10.6640625" style="37" customWidth="1"/>
    <col min="12338" max="12338" width="17.33203125" style="37" customWidth="1"/>
    <col min="12339" max="12340" width="12.6640625" style="37" customWidth="1"/>
    <col min="12341" max="12341" width="11.21875" style="37" customWidth="1"/>
    <col min="12342" max="12342" width="18.33203125" style="37" customWidth="1"/>
    <col min="12343" max="12343" width="12.88671875" style="37" customWidth="1"/>
    <col min="12344" max="12345" width="13.21875" style="37" customWidth="1"/>
    <col min="12346" max="12346" width="10.88671875" style="37" customWidth="1"/>
    <col min="12347" max="12347" width="11.109375" style="37" customWidth="1"/>
    <col min="12348" max="12348" width="15.21875" style="37" customWidth="1"/>
    <col min="12349" max="12349" width="9.6640625" style="37"/>
    <col min="12350" max="12350" width="11" style="37" customWidth="1"/>
    <col min="12351" max="12351" width="10.77734375" style="37" customWidth="1"/>
    <col min="12352" max="12352" width="11.44140625" style="37" customWidth="1"/>
    <col min="12353" max="12353" width="4" style="37" customWidth="1"/>
    <col min="12354" max="12544" width="9.6640625" style="37"/>
    <col min="12545" max="12545" width="6.44140625" style="37" customWidth="1"/>
    <col min="12546" max="12546" width="13.88671875" style="37" customWidth="1"/>
    <col min="12547" max="12547" width="11.88671875" style="37" customWidth="1"/>
    <col min="12548" max="12550" width="9.6640625" style="37"/>
    <col min="12551" max="12551" width="15.44140625" style="37" customWidth="1"/>
    <col min="12552" max="12552" width="16.21875" style="37" customWidth="1"/>
    <col min="12553" max="12564" width="9.6640625" style="37"/>
    <col min="12565" max="12565" width="12" style="37" customWidth="1"/>
    <col min="12566" max="12566" width="12.77734375" style="37" customWidth="1"/>
    <col min="12567" max="12567" width="11.109375" style="37" customWidth="1"/>
    <col min="12568" max="12568" width="12" style="37" customWidth="1"/>
    <col min="12569" max="12569" width="9.6640625" style="37"/>
    <col min="12570" max="12570" width="15.33203125" style="37" customWidth="1"/>
    <col min="12571" max="12571" width="15.21875" style="37" customWidth="1"/>
    <col min="12572" max="12572" width="21.44140625" style="37" customWidth="1"/>
    <col min="12573" max="12588" width="9.6640625" style="37"/>
    <col min="12589" max="12590" width="13.44140625" style="37" customWidth="1"/>
    <col min="12591" max="12591" width="9.6640625" style="37"/>
    <col min="12592" max="12592" width="13.88671875" style="37" customWidth="1"/>
    <col min="12593" max="12593" width="10.6640625" style="37" customWidth="1"/>
    <col min="12594" max="12594" width="17.33203125" style="37" customWidth="1"/>
    <col min="12595" max="12596" width="12.6640625" style="37" customWidth="1"/>
    <col min="12597" max="12597" width="11.21875" style="37" customWidth="1"/>
    <col min="12598" max="12598" width="18.33203125" style="37" customWidth="1"/>
    <col min="12599" max="12599" width="12.88671875" style="37" customWidth="1"/>
    <col min="12600" max="12601" width="13.21875" style="37" customWidth="1"/>
    <col min="12602" max="12602" width="10.88671875" style="37" customWidth="1"/>
    <col min="12603" max="12603" width="11.109375" style="37" customWidth="1"/>
    <col min="12604" max="12604" width="15.21875" style="37" customWidth="1"/>
    <col min="12605" max="12605" width="9.6640625" style="37"/>
    <col min="12606" max="12606" width="11" style="37" customWidth="1"/>
    <col min="12607" max="12607" width="10.77734375" style="37" customWidth="1"/>
    <col min="12608" max="12608" width="11.44140625" style="37" customWidth="1"/>
    <col min="12609" max="12609" width="4" style="37" customWidth="1"/>
    <col min="12610" max="12800" width="9.6640625" style="37"/>
    <col min="12801" max="12801" width="6.44140625" style="37" customWidth="1"/>
    <col min="12802" max="12802" width="13.88671875" style="37" customWidth="1"/>
    <col min="12803" max="12803" width="11.88671875" style="37" customWidth="1"/>
    <col min="12804" max="12806" width="9.6640625" style="37"/>
    <col min="12807" max="12807" width="15.44140625" style="37" customWidth="1"/>
    <col min="12808" max="12808" width="16.21875" style="37" customWidth="1"/>
    <col min="12809" max="12820" width="9.6640625" style="37"/>
    <col min="12821" max="12821" width="12" style="37" customWidth="1"/>
    <col min="12822" max="12822" width="12.77734375" style="37" customWidth="1"/>
    <col min="12823" max="12823" width="11.109375" style="37" customWidth="1"/>
    <col min="12824" max="12824" width="12" style="37" customWidth="1"/>
    <col min="12825" max="12825" width="9.6640625" style="37"/>
    <col min="12826" max="12826" width="15.33203125" style="37" customWidth="1"/>
    <col min="12827" max="12827" width="15.21875" style="37" customWidth="1"/>
    <col min="12828" max="12828" width="21.44140625" style="37" customWidth="1"/>
    <col min="12829" max="12844" width="9.6640625" style="37"/>
    <col min="12845" max="12846" width="13.44140625" style="37" customWidth="1"/>
    <col min="12847" max="12847" width="9.6640625" style="37"/>
    <col min="12848" max="12848" width="13.88671875" style="37" customWidth="1"/>
    <col min="12849" max="12849" width="10.6640625" style="37" customWidth="1"/>
    <col min="12850" max="12850" width="17.33203125" style="37" customWidth="1"/>
    <col min="12851" max="12852" width="12.6640625" style="37" customWidth="1"/>
    <col min="12853" max="12853" width="11.21875" style="37" customWidth="1"/>
    <col min="12854" max="12854" width="18.33203125" style="37" customWidth="1"/>
    <col min="12855" max="12855" width="12.88671875" style="37" customWidth="1"/>
    <col min="12856" max="12857" width="13.21875" style="37" customWidth="1"/>
    <col min="12858" max="12858" width="10.88671875" style="37" customWidth="1"/>
    <col min="12859" max="12859" width="11.109375" style="37" customWidth="1"/>
    <col min="12860" max="12860" width="15.21875" style="37" customWidth="1"/>
    <col min="12861" max="12861" width="9.6640625" style="37"/>
    <col min="12862" max="12862" width="11" style="37" customWidth="1"/>
    <col min="12863" max="12863" width="10.77734375" style="37" customWidth="1"/>
    <col min="12864" max="12864" width="11.44140625" style="37" customWidth="1"/>
    <col min="12865" max="12865" width="4" style="37" customWidth="1"/>
    <col min="12866" max="13056" width="9.6640625" style="37"/>
    <col min="13057" max="13057" width="6.44140625" style="37" customWidth="1"/>
    <col min="13058" max="13058" width="13.88671875" style="37" customWidth="1"/>
    <col min="13059" max="13059" width="11.88671875" style="37" customWidth="1"/>
    <col min="13060" max="13062" width="9.6640625" style="37"/>
    <col min="13063" max="13063" width="15.44140625" style="37" customWidth="1"/>
    <col min="13064" max="13064" width="16.21875" style="37" customWidth="1"/>
    <col min="13065" max="13076" width="9.6640625" style="37"/>
    <col min="13077" max="13077" width="12" style="37" customWidth="1"/>
    <col min="13078" max="13078" width="12.77734375" style="37" customWidth="1"/>
    <col min="13079" max="13079" width="11.109375" style="37" customWidth="1"/>
    <col min="13080" max="13080" width="12" style="37" customWidth="1"/>
    <col min="13081" max="13081" width="9.6640625" style="37"/>
    <col min="13082" max="13082" width="15.33203125" style="37" customWidth="1"/>
    <col min="13083" max="13083" width="15.21875" style="37" customWidth="1"/>
    <col min="13084" max="13084" width="21.44140625" style="37" customWidth="1"/>
    <col min="13085" max="13100" width="9.6640625" style="37"/>
    <col min="13101" max="13102" width="13.44140625" style="37" customWidth="1"/>
    <col min="13103" max="13103" width="9.6640625" style="37"/>
    <col min="13104" max="13104" width="13.88671875" style="37" customWidth="1"/>
    <col min="13105" max="13105" width="10.6640625" style="37" customWidth="1"/>
    <col min="13106" max="13106" width="17.33203125" style="37" customWidth="1"/>
    <col min="13107" max="13108" width="12.6640625" style="37" customWidth="1"/>
    <col min="13109" max="13109" width="11.21875" style="37" customWidth="1"/>
    <col min="13110" max="13110" width="18.33203125" style="37" customWidth="1"/>
    <col min="13111" max="13111" width="12.88671875" style="37" customWidth="1"/>
    <col min="13112" max="13113" width="13.21875" style="37" customWidth="1"/>
    <col min="13114" max="13114" width="10.88671875" style="37" customWidth="1"/>
    <col min="13115" max="13115" width="11.109375" style="37" customWidth="1"/>
    <col min="13116" max="13116" width="15.21875" style="37" customWidth="1"/>
    <col min="13117" max="13117" width="9.6640625" style="37"/>
    <col min="13118" max="13118" width="11" style="37" customWidth="1"/>
    <col min="13119" max="13119" width="10.77734375" style="37" customWidth="1"/>
    <col min="13120" max="13120" width="11.44140625" style="37" customWidth="1"/>
    <col min="13121" max="13121" width="4" style="37" customWidth="1"/>
    <col min="13122" max="13312" width="9.6640625" style="37"/>
    <col min="13313" max="13313" width="6.44140625" style="37" customWidth="1"/>
    <col min="13314" max="13314" width="13.88671875" style="37" customWidth="1"/>
    <col min="13315" max="13315" width="11.88671875" style="37" customWidth="1"/>
    <col min="13316" max="13318" width="9.6640625" style="37"/>
    <col min="13319" max="13319" width="15.44140625" style="37" customWidth="1"/>
    <col min="13320" max="13320" width="16.21875" style="37" customWidth="1"/>
    <col min="13321" max="13332" width="9.6640625" style="37"/>
    <col min="13333" max="13333" width="12" style="37" customWidth="1"/>
    <col min="13334" max="13334" width="12.77734375" style="37" customWidth="1"/>
    <col min="13335" max="13335" width="11.109375" style="37" customWidth="1"/>
    <col min="13336" max="13336" width="12" style="37" customWidth="1"/>
    <col min="13337" max="13337" width="9.6640625" style="37"/>
    <col min="13338" max="13338" width="15.33203125" style="37" customWidth="1"/>
    <col min="13339" max="13339" width="15.21875" style="37" customWidth="1"/>
    <col min="13340" max="13340" width="21.44140625" style="37" customWidth="1"/>
    <col min="13341" max="13356" width="9.6640625" style="37"/>
    <col min="13357" max="13358" width="13.44140625" style="37" customWidth="1"/>
    <col min="13359" max="13359" width="9.6640625" style="37"/>
    <col min="13360" max="13360" width="13.88671875" style="37" customWidth="1"/>
    <col min="13361" max="13361" width="10.6640625" style="37" customWidth="1"/>
    <col min="13362" max="13362" width="17.33203125" style="37" customWidth="1"/>
    <col min="13363" max="13364" width="12.6640625" style="37" customWidth="1"/>
    <col min="13365" max="13365" width="11.21875" style="37" customWidth="1"/>
    <col min="13366" max="13366" width="18.33203125" style="37" customWidth="1"/>
    <col min="13367" max="13367" width="12.88671875" style="37" customWidth="1"/>
    <col min="13368" max="13369" width="13.21875" style="37" customWidth="1"/>
    <col min="13370" max="13370" width="10.88671875" style="37" customWidth="1"/>
    <col min="13371" max="13371" width="11.109375" style="37" customWidth="1"/>
    <col min="13372" max="13372" width="15.21875" style="37" customWidth="1"/>
    <col min="13373" max="13373" width="9.6640625" style="37"/>
    <col min="13374" max="13374" width="11" style="37" customWidth="1"/>
    <col min="13375" max="13375" width="10.77734375" style="37" customWidth="1"/>
    <col min="13376" max="13376" width="11.44140625" style="37" customWidth="1"/>
    <col min="13377" max="13377" width="4" style="37" customWidth="1"/>
    <col min="13378" max="13568" width="9.6640625" style="37"/>
    <col min="13569" max="13569" width="6.44140625" style="37" customWidth="1"/>
    <col min="13570" max="13570" width="13.88671875" style="37" customWidth="1"/>
    <col min="13571" max="13571" width="11.88671875" style="37" customWidth="1"/>
    <col min="13572" max="13574" width="9.6640625" style="37"/>
    <col min="13575" max="13575" width="15.44140625" style="37" customWidth="1"/>
    <col min="13576" max="13576" width="16.21875" style="37" customWidth="1"/>
    <col min="13577" max="13588" width="9.6640625" style="37"/>
    <col min="13589" max="13589" width="12" style="37" customWidth="1"/>
    <col min="13590" max="13590" width="12.77734375" style="37" customWidth="1"/>
    <col min="13591" max="13591" width="11.109375" style="37" customWidth="1"/>
    <col min="13592" max="13592" width="12" style="37" customWidth="1"/>
    <col min="13593" max="13593" width="9.6640625" style="37"/>
    <col min="13594" max="13594" width="15.33203125" style="37" customWidth="1"/>
    <col min="13595" max="13595" width="15.21875" style="37" customWidth="1"/>
    <col min="13596" max="13596" width="21.44140625" style="37" customWidth="1"/>
    <col min="13597" max="13612" width="9.6640625" style="37"/>
    <col min="13613" max="13614" width="13.44140625" style="37" customWidth="1"/>
    <col min="13615" max="13615" width="9.6640625" style="37"/>
    <col min="13616" max="13616" width="13.88671875" style="37" customWidth="1"/>
    <col min="13617" max="13617" width="10.6640625" style="37" customWidth="1"/>
    <col min="13618" max="13618" width="17.33203125" style="37" customWidth="1"/>
    <col min="13619" max="13620" width="12.6640625" style="37" customWidth="1"/>
    <col min="13621" max="13621" width="11.21875" style="37" customWidth="1"/>
    <col min="13622" max="13622" width="18.33203125" style="37" customWidth="1"/>
    <col min="13623" max="13623" width="12.88671875" style="37" customWidth="1"/>
    <col min="13624" max="13625" width="13.21875" style="37" customWidth="1"/>
    <col min="13626" max="13626" width="10.88671875" style="37" customWidth="1"/>
    <col min="13627" max="13627" width="11.109375" style="37" customWidth="1"/>
    <col min="13628" max="13628" width="15.21875" style="37" customWidth="1"/>
    <col min="13629" max="13629" width="9.6640625" style="37"/>
    <col min="13630" max="13630" width="11" style="37" customWidth="1"/>
    <col min="13631" max="13631" width="10.77734375" style="37" customWidth="1"/>
    <col min="13632" max="13632" width="11.44140625" style="37" customWidth="1"/>
    <col min="13633" max="13633" width="4" style="37" customWidth="1"/>
    <col min="13634" max="13824" width="9.6640625" style="37"/>
    <col min="13825" max="13825" width="6.44140625" style="37" customWidth="1"/>
    <col min="13826" max="13826" width="13.88671875" style="37" customWidth="1"/>
    <col min="13827" max="13827" width="11.88671875" style="37" customWidth="1"/>
    <col min="13828" max="13830" width="9.6640625" style="37"/>
    <col min="13831" max="13831" width="15.44140625" style="37" customWidth="1"/>
    <col min="13832" max="13832" width="16.21875" style="37" customWidth="1"/>
    <col min="13833" max="13844" width="9.6640625" style="37"/>
    <col min="13845" max="13845" width="12" style="37" customWidth="1"/>
    <col min="13846" max="13846" width="12.77734375" style="37" customWidth="1"/>
    <col min="13847" max="13847" width="11.109375" style="37" customWidth="1"/>
    <col min="13848" max="13848" width="12" style="37" customWidth="1"/>
    <col min="13849" max="13849" width="9.6640625" style="37"/>
    <col min="13850" max="13850" width="15.33203125" style="37" customWidth="1"/>
    <col min="13851" max="13851" width="15.21875" style="37" customWidth="1"/>
    <col min="13852" max="13852" width="21.44140625" style="37" customWidth="1"/>
    <col min="13853" max="13868" width="9.6640625" style="37"/>
    <col min="13869" max="13870" width="13.44140625" style="37" customWidth="1"/>
    <col min="13871" max="13871" width="9.6640625" style="37"/>
    <col min="13872" max="13872" width="13.88671875" style="37" customWidth="1"/>
    <col min="13873" max="13873" width="10.6640625" style="37" customWidth="1"/>
    <col min="13874" max="13874" width="17.33203125" style="37" customWidth="1"/>
    <col min="13875" max="13876" width="12.6640625" style="37" customWidth="1"/>
    <col min="13877" max="13877" width="11.21875" style="37" customWidth="1"/>
    <col min="13878" max="13878" width="18.33203125" style="37" customWidth="1"/>
    <col min="13879" max="13879" width="12.88671875" style="37" customWidth="1"/>
    <col min="13880" max="13881" width="13.21875" style="37" customWidth="1"/>
    <col min="13882" max="13882" width="10.88671875" style="37" customWidth="1"/>
    <col min="13883" max="13883" width="11.109375" style="37" customWidth="1"/>
    <col min="13884" max="13884" width="15.21875" style="37" customWidth="1"/>
    <col min="13885" max="13885" width="9.6640625" style="37"/>
    <col min="13886" max="13886" width="11" style="37" customWidth="1"/>
    <col min="13887" max="13887" width="10.77734375" style="37" customWidth="1"/>
    <col min="13888" max="13888" width="11.44140625" style="37" customWidth="1"/>
    <col min="13889" max="13889" width="4" style="37" customWidth="1"/>
    <col min="13890" max="14080" width="9.6640625" style="37"/>
    <col min="14081" max="14081" width="6.44140625" style="37" customWidth="1"/>
    <col min="14082" max="14082" width="13.88671875" style="37" customWidth="1"/>
    <col min="14083" max="14083" width="11.88671875" style="37" customWidth="1"/>
    <col min="14084" max="14086" width="9.6640625" style="37"/>
    <col min="14087" max="14087" width="15.44140625" style="37" customWidth="1"/>
    <col min="14088" max="14088" width="16.21875" style="37" customWidth="1"/>
    <col min="14089" max="14100" width="9.6640625" style="37"/>
    <col min="14101" max="14101" width="12" style="37" customWidth="1"/>
    <col min="14102" max="14102" width="12.77734375" style="37" customWidth="1"/>
    <col min="14103" max="14103" width="11.109375" style="37" customWidth="1"/>
    <col min="14104" max="14104" width="12" style="37" customWidth="1"/>
    <col min="14105" max="14105" width="9.6640625" style="37"/>
    <col min="14106" max="14106" width="15.33203125" style="37" customWidth="1"/>
    <col min="14107" max="14107" width="15.21875" style="37" customWidth="1"/>
    <col min="14108" max="14108" width="21.44140625" style="37" customWidth="1"/>
    <col min="14109" max="14124" width="9.6640625" style="37"/>
    <col min="14125" max="14126" width="13.44140625" style="37" customWidth="1"/>
    <col min="14127" max="14127" width="9.6640625" style="37"/>
    <col min="14128" max="14128" width="13.88671875" style="37" customWidth="1"/>
    <col min="14129" max="14129" width="10.6640625" style="37" customWidth="1"/>
    <col min="14130" max="14130" width="17.33203125" style="37" customWidth="1"/>
    <col min="14131" max="14132" width="12.6640625" style="37" customWidth="1"/>
    <col min="14133" max="14133" width="11.21875" style="37" customWidth="1"/>
    <col min="14134" max="14134" width="18.33203125" style="37" customWidth="1"/>
    <col min="14135" max="14135" width="12.88671875" style="37" customWidth="1"/>
    <col min="14136" max="14137" width="13.21875" style="37" customWidth="1"/>
    <col min="14138" max="14138" width="10.88671875" style="37" customWidth="1"/>
    <col min="14139" max="14139" width="11.109375" style="37" customWidth="1"/>
    <col min="14140" max="14140" width="15.21875" style="37" customWidth="1"/>
    <col min="14141" max="14141" width="9.6640625" style="37"/>
    <col min="14142" max="14142" width="11" style="37" customWidth="1"/>
    <col min="14143" max="14143" width="10.77734375" style="37" customWidth="1"/>
    <col min="14144" max="14144" width="11.44140625" style="37" customWidth="1"/>
    <col min="14145" max="14145" width="4" style="37" customWidth="1"/>
    <col min="14146" max="14336" width="9.6640625" style="37"/>
    <col min="14337" max="14337" width="6.44140625" style="37" customWidth="1"/>
    <col min="14338" max="14338" width="13.88671875" style="37" customWidth="1"/>
    <col min="14339" max="14339" width="11.88671875" style="37" customWidth="1"/>
    <col min="14340" max="14342" width="9.6640625" style="37"/>
    <col min="14343" max="14343" width="15.44140625" style="37" customWidth="1"/>
    <col min="14344" max="14344" width="16.21875" style="37" customWidth="1"/>
    <col min="14345" max="14356" width="9.6640625" style="37"/>
    <col min="14357" max="14357" width="12" style="37" customWidth="1"/>
    <col min="14358" max="14358" width="12.77734375" style="37" customWidth="1"/>
    <col min="14359" max="14359" width="11.109375" style="37" customWidth="1"/>
    <col min="14360" max="14360" width="12" style="37" customWidth="1"/>
    <col min="14361" max="14361" width="9.6640625" style="37"/>
    <col min="14362" max="14362" width="15.33203125" style="37" customWidth="1"/>
    <col min="14363" max="14363" width="15.21875" style="37" customWidth="1"/>
    <col min="14364" max="14364" width="21.44140625" style="37" customWidth="1"/>
    <col min="14365" max="14380" width="9.6640625" style="37"/>
    <col min="14381" max="14382" width="13.44140625" style="37" customWidth="1"/>
    <col min="14383" max="14383" width="9.6640625" style="37"/>
    <col min="14384" max="14384" width="13.88671875" style="37" customWidth="1"/>
    <col min="14385" max="14385" width="10.6640625" style="37" customWidth="1"/>
    <col min="14386" max="14386" width="17.33203125" style="37" customWidth="1"/>
    <col min="14387" max="14388" width="12.6640625" style="37" customWidth="1"/>
    <col min="14389" max="14389" width="11.21875" style="37" customWidth="1"/>
    <col min="14390" max="14390" width="18.33203125" style="37" customWidth="1"/>
    <col min="14391" max="14391" width="12.88671875" style="37" customWidth="1"/>
    <col min="14392" max="14393" width="13.21875" style="37" customWidth="1"/>
    <col min="14394" max="14394" width="10.88671875" style="37" customWidth="1"/>
    <col min="14395" max="14395" width="11.109375" style="37" customWidth="1"/>
    <col min="14396" max="14396" width="15.21875" style="37" customWidth="1"/>
    <col min="14397" max="14397" width="9.6640625" style="37"/>
    <col min="14398" max="14398" width="11" style="37" customWidth="1"/>
    <col min="14399" max="14399" width="10.77734375" style="37" customWidth="1"/>
    <col min="14400" max="14400" width="11.44140625" style="37" customWidth="1"/>
    <col min="14401" max="14401" width="4" style="37" customWidth="1"/>
    <col min="14402" max="14592" width="9.6640625" style="37"/>
    <col min="14593" max="14593" width="6.44140625" style="37" customWidth="1"/>
    <col min="14594" max="14594" width="13.88671875" style="37" customWidth="1"/>
    <col min="14595" max="14595" width="11.88671875" style="37" customWidth="1"/>
    <col min="14596" max="14598" width="9.6640625" style="37"/>
    <col min="14599" max="14599" width="15.44140625" style="37" customWidth="1"/>
    <col min="14600" max="14600" width="16.21875" style="37" customWidth="1"/>
    <col min="14601" max="14612" width="9.6640625" style="37"/>
    <col min="14613" max="14613" width="12" style="37" customWidth="1"/>
    <col min="14614" max="14614" width="12.77734375" style="37" customWidth="1"/>
    <col min="14615" max="14615" width="11.109375" style="37" customWidth="1"/>
    <col min="14616" max="14616" width="12" style="37" customWidth="1"/>
    <col min="14617" max="14617" width="9.6640625" style="37"/>
    <col min="14618" max="14618" width="15.33203125" style="37" customWidth="1"/>
    <col min="14619" max="14619" width="15.21875" style="37" customWidth="1"/>
    <col min="14620" max="14620" width="21.44140625" style="37" customWidth="1"/>
    <col min="14621" max="14636" width="9.6640625" style="37"/>
    <col min="14637" max="14638" width="13.44140625" style="37" customWidth="1"/>
    <col min="14639" max="14639" width="9.6640625" style="37"/>
    <col min="14640" max="14640" width="13.88671875" style="37" customWidth="1"/>
    <col min="14641" max="14641" width="10.6640625" style="37" customWidth="1"/>
    <col min="14642" max="14642" width="17.33203125" style="37" customWidth="1"/>
    <col min="14643" max="14644" width="12.6640625" style="37" customWidth="1"/>
    <col min="14645" max="14645" width="11.21875" style="37" customWidth="1"/>
    <col min="14646" max="14646" width="18.33203125" style="37" customWidth="1"/>
    <col min="14647" max="14647" width="12.88671875" style="37" customWidth="1"/>
    <col min="14648" max="14649" width="13.21875" style="37" customWidth="1"/>
    <col min="14650" max="14650" width="10.88671875" style="37" customWidth="1"/>
    <col min="14651" max="14651" width="11.109375" style="37" customWidth="1"/>
    <col min="14652" max="14652" width="15.21875" style="37" customWidth="1"/>
    <col min="14653" max="14653" width="9.6640625" style="37"/>
    <col min="14654" max="14654" width="11" style="37" customWidth="1"/>
    <col min="14655" max="14655" width="10.77734375" style="37" customWidth="1"/>
    <col min="14656" max="14656" width="11.44140625" style="37" customWidth="1"/>
    <col min="14657" max="14657" width="4" style="37" customWidth="1"/>
    <col min="14658" max="14848" width="9.6640625" style="37"/>
    <col min="14849" max="14849" width="6.44140625" style="37" customWidth="1"/>
    <col min="14850" max="14850" width="13.88671875" style="37" customWidth="1"/>
    <col min="14851" max="14851" width="11.88671875" style="37" customWidth="1"/>
    <col min="14852" max="14854" width="9.6640625" style="37"/>
    <col min="14855" max="14855" width="15.44140625" style="37" customWidth="1"/>
    <col min="14856" max="14856" width="16.21875" style="37" customWidth="1"/>
    <col min="14857" max="14868" width="9.6640625" style="37"/>
    <col min="14869" max="14869" width="12" style="37" customWidth="1"/>
    <col min="14870" max="14870" width="12.77734375" style="37" customWidth="1"/>
    <col min="14871" max="14871" width="11.109375" style="37" customWidth="1"/>
    <col min="14872" max="14872" width="12" style="37" customWidth="1"/>
    <col min="14873" max="14873" width="9.6640625" style="37"/>
    <col min="14874" max="14874" width="15.33203125" style="37" customWidth="1"/>
    <col min="14875" max="14875" width="15.21875" style="37" customWidth="1"/>
    <col min="14876" max="14876" width="21.44140625" style="37" customWidth="1"/>
    <col min="14877" max="14892" width="9.6640625" style="37"/>
    <col min="14893" max="14894" width="13.44140625" style="37" customWidth="1"/>
    <col min="14895" max="14895" width="9.6640625" style="37"/>
    <col min="14896" max="14896" width="13.88671875" style="37" customWidth="1"/>
    <col min="14897" max="14897" width="10.6640625" style="37" customWidth="1"/>
    <col min="14898" max="14898" width="17.33203125" style="37" customWidth="1"/>
    <col min="14899" max="14900" width="12.6640625" style="37" customWidth="1"/>
    <col min="14901" max="14901" width="11.21875" style="37" customWidth="1"/>
    <col min="14902" max="14902" width="18.33203125" style="37" customWidth="1"/>
    <col min="14903" max="14903" width="12.88671875" style="37" customWidth="1"/>
    <col min="14904" max="14905" width="13.21875" style="37" customWidth="1"/>
    <col min="14906" max="14906" width="10.88671875" style="37" customWidth="1"/>
    <col min="14907" max="14907" width="11.109375" style="37" customWidth="1"/>
    <col min="14908" max="14908" width="15.21875" style="37" customWidth="1"/>
    <col min="14909" max="14909" width="9.6640625" style="37"/>
    <col min="14910" max="14910" width="11" style="37" customWidth="1"/>
    <col min="14911" max="14911" width="10.77734375" style="37" customWidth="1"/>
    <col min="14912" max="14912" width="11.44140625" style="37" customWidth="1"/>
    <col min="14913" max="14913" width="4" style="37" customWidth="1"/>
    <col min="14914" max="15104" width="9.6640625" style="37"/>
    <col min="15105" max="15105" width="6.44140625" style="37" customWidth="1"/>
    <col min="15106" max="15106" width="13.88671875" style="37" customWidth="1"/>
    <col min="15107" max="15107" width="11.88671875" style="37" customWidth="1"/>
    <col min="15108" max="15110" width="9.6640625" style="37"/>
    <col min="15111" max="15111" width="15.44140625" style="37" customWidth="1"/>
    <col min="15112" max="15112" width="16.21875" style="37" customWidth="1"/>
    <col min="15113" max="15124" width="9.6640625" style="37"/>
    <col min="15125" max="15125" width="12" style="37" customWidth="1"/>
    <col min="15126" max="15126" width="12.77734375" style="37" customWidth="1"/>
    <col min="15127" max="15127" width="11.109375" style="37" customWidth="1"/>
    <col min="15128" max="15128" width="12" style="37" customWidth="1"/>
    <col min="15129" max="15129" width="9.6640625" style="37"/>
    <col min="15130" max="15130" width="15.33203125" style="37" customWidth="1"/>
    <col min="15131" max="15131" width="15.21875" style="37" customWidth="1"/>
    <col min="15132" max="15132" width="21.44140625" style="37" customWidth="1"/>
    <col min="15133" max="15148" width="9.6640625" style="37"/>
    <col min="15149" max="15150" width="13.44140625" style="37" customWidth="1"/>
    <col min="15151" max="15151" width="9.6640625" style="37"/>
    <col min="15152" max="15152" width="13.88671875" style="37" customWidth="1"/>
    <col min="15153" max="15153" width="10.6640625" style="37" customWidth="1"/>
    <col min="15154" max="15154" width="17.33203125" style="37" customWidth="1"/>
    <col min="15155" max="15156" width="12.6640625" style="37" customWidth="1"/>
    <col min="15157" max="15157" width="11.21875" style="37" customWidth="1"/>
    <col min="15158" max="15158" width="18.33203125" style="37" customWidth="1"/>
    <col min="15159" max="15159" width="12.88671875" style="37" customWidth="1"/>
    <col min="15160" max="15161" width="13.21875" style="37" customWidth="1"/>
    <col min="15162" max="15162" width="10.88671875" style="37" customWidth="1"/>
    <col min="15163" max="15163" width="11.109375" style="37" customWidth="1"/>
    <col min="15164" max="15164" width="15.21875" style="37" customWidth="1"/>
    <col min="15165" max="15165" width="9.6640625" style="37"/>
    <col min="15166" max="15166" width="11" style="37" customWidth="1"/>
    <col min="15167" max="15167" width="10.77734375" style="37" customWidth="1"/>
    <col min="15168" max="15168" width="11.44140625" style="37" customWidth="1"/>
    <col min="15169" max="15169" width="4" style="37" customWidth="1"/>
    <col min="15170" max="15360" width="9.6640625" style="37"/>
    <col min="15361" max="15361" width="6.44140625" style="37" customWidth="1"/>
    <col min="15362" max="15362" width="13.88671875" style="37" customWidth="1"/>
    <col min="15363" max="15363" width="11.88671875" style="37" customWidth="1"/>
    <col min="15364" max="15366" width="9.6640625" style="37"/>
    <col min="15367" max="15367" width="15.44140625" style="37" customWidth="1"/>
    <col min="15368" max="15368" width="16.21875" style="37" customWidth="1"/>
    <col min="15369" max="15380" width="9.6640625" style="37"/>
    <col min="15381" max="15381" width="12" style="37" customWidth="1"/>
    <col min="15382" max="15382" width="12.77734375" style="37" customWidth="1"/>
    <col min="15383" max="15383" width="11.109375" style="37" customWidth="1"/>
    <col min="15384" max="15384" width="12" style="37" customWidth="1"/>
    <col min="15385" max="15385" width="9.6640625" style="37"/>
    <col min="15386" max="15386" width="15.33203125" style="37" customWidth="1"/>
    <col min="15387" max="15387" width="15.21875" style="37" customWidth="1"/>
    <col min="15388" max="15388" width="21.44140625" style="37" customWidth="1"/>
    <col min="15389" max="15404" width="9.6640625" style="37"/>
    <col min="15405" max="15406" width="13.44140625" style="37" customWidth="1"/>
    <col min="15407" max="15407" width="9.6640625" style="37"/>
    <col min="15408" max="15408" width="13.88671875" style="37" customWidth="1"/>
    <col min="15409" max="15409" width="10.6640625" style="37" customWidth="1"/>
    <col min="15410" max="15410" width="17.33203125" style="37" customWidth="1"/>
    <col min="15411" max="15412" width="12.6640625" style="37" customWidth="1"/>
    <col min="15413" max="15413" width="11.21875" style="37" customWidth="1"/>
    <col min="15414" max="15414" width="18.33203125" style="37" customWidth="1"/>
    <col min="15415" max="15415" width="12.88671875" style="37" customWidth="1"/>
    <col min="15416" max="15417" width="13.21875" style="37" customWidth="1"/>
    <col min="15418" max="15418" width="10.88671875" style="37" customWidth="1"/>
    <col min="15419" max="15419" width="11.109375" style="37" customWidth="1"/>
    <col min="15420" max="15420" width="15.21875" style="37" customWidth="1"/>
    <col min="15421" max="15421" width="9.6640625" style="37"/>
    <col min="15422" max="15422" width="11" style="37" customWidth="1"/>
    <col min="15423" max="15423" width="10.77734375" style="37" customWidth="1"/>
    <col min="15424" max="15424" width="11.44140625" style="37" customWidth="1"/>
    <col min="15425" max="15425" width="4" style="37" customWidth="1"/>
    <col min="15426" max="15616" width="9.6640625" style="37"/>
    <col min="15617" max="15617" width="6.44140625" style="37" customWidth="1"/>
    <col min="15618" max="15618" width="13.88671875" style="37" customWidth="1"/>
    <col min="15619" max="15619" width="11.88671875" style="37" customWidth="1"/>
    <col min="15620" max="15622" width="9.6640625" style="37"/>
    <col min="15623" max="15623" width="15.44140625" style="37" customWidth="1"/>
    <col min="15624" max="15624" width="16.21875" style="37" customWidth="1"/>
    <col min="15625" max="15636" width="9.6640625" style="37"/>
    <col min="15637" max="15637" width="12" style="37" customWidth="1"/>
    <col min="15638" max="15638" width="12.77734375" style="37" customWidth="1"/>
    <col min="15639" max="15639" width="11.109375" style="37" customWidth="1"/>
    <col min="15640" max="15640" width="12" style="37" customWidth="1"/>
    <col min="15641" max="15641" width="9.6640625" style="37"/>
    <col min="15642" max="15642" width="15.33203125" style="37" customWidth="1"/>
    <col min="15643" max="15643" width="15.21875" style="37" customWidth="1"/>
    <col min="15644" max="15644" width="21.44140625" style="37" customWidth="1"/>
    <col min="15645" max="15660" width="9.6640625" style="37"/>
    <col min="15661" max="15662" width="13.44140625" style="37" customWidth="1"/>
    <col min="15663" max="15663" width="9.6640625" style="37"/>
    <col min="15664" max="15664" width="13.88671875" style="37" customWidth="1"/>
    <col min="15665" max="15665" width="10.6640625" style="37" customWidth="1"/>
    <col min="15666" max="15666" width="17.33203125" style="37" customWidth="1"/>
    <col min="15667" max="15668" width="12.6640625" style="37" customWidth="1"/>
    <col min="15669" max="15669" width="11.21875" style="37" customWidth="1"/>
    <col min="15670" max="15670" width="18.33203125" style="37" customWidth="1"/>
    <col min="15671" max="15671" width="12.88671875" style="37" customWidth="1"/>
    <col min="15672" max="15673" width="13.21875" style="37" customWidth="1"/>
    <col min="15674" max="15674" width="10.88671875" style="37" customWidth="1"/>
    <col min="15675" max="15675" width="11.109375" style="37" customWidth="1"/>
    <col min="15676" max="15676" width="15.21875" style="37" customWidth="1"/>
    <col min="15677" max="15677" width="9.6640625" style="37"/>
    <col min="15678" max="15678" width="11" style="37" customWidth="1"/>
    <col min="15679" max="15679" width="10.77734375" style="37" customWidth="1"/>
    <col min="15680" max="15680" width="11.44140625" style="37" customWidth="1"/>
    <col min="15681" max="15681" width="4" style="37" customWidth="1"/>
    <col min="15682" max="15872" width="9.6640625" style="37"/>
    <col min="15873" max="15873" width="6.44140625" style="37" customWidth="1"/>
    <col min="15874" max="15874" width="13.88671875" style="37" customWidth="1"/>
    <col min="15875" max="15875" width="11.88671875" style="37" customWidth="1"/>
    <col min="15876" max="15878" width="9.6640625" style="37"/>
    <col min="15879" max="15879" width="15.44140625" style="37" customWidth="1"/>
    <col min="15880" max="15880" width="16.21875" style="37" customWidth="1"/>
    <col min="15881" max="15892" width="9.6640625" style="37"/>
    <col min="15893" max="15893" width="12" style="37" customWidth="1"/>
    <col min="15894" max="15894" width="12.77734375" style="37" customWidth="1"/>
    <col min="15895" max="15895" width="11.109375" style="37" customWidth="1"/>
    <col min="15896" max="15896" width="12" style="37" customWidth="1"/>
    <col min="15897" max="15897" width="9.6640625" style="37"/>
    <col min="15898" max="15898" width="15.33203125" style="37" customWidth="1"/>
    <col min="15899" max="15899" width="15.21875" style="37" customWidth="1"/>
    <col min="15900" max="15900" width="21.44140625" style="37" customWidth="1"/>
    <col min="15901" max="15916" width="9.6640625" style="37"/>
    <col min="15917" max="15918" width="13.44140625" style="37" customWidth="1"/>
    <col min="15919" max="15919" width="9.6640625" style="37"/>
    <col min="15920" max="15920" width="13.88671875" style="37" customWidth="1"/>
    <col min="15921" max="15921" width="10.6640625" style="37" customWidth="1"/>
    <col min="15922" max="15922" width="17.33203125" style="37" customWidth="1"/>
    <col min="15923" max="15924" width="12.6640625" style="37" customWidth="1"/>
    <col min="15925" max="15925" width="11.21875" style="37" customWidth="1"/>
    <col min="15926" max="15926" width="18.33203125" style="37" customWidth="1"/>
    <col min="15927" max="15927" width="12.88671875" style="37" customWidth="1"/>
    <col min="15928" max="15929" width="13.21875" style="37" customWidth="1"/>
    <col min="15930" max="15930" width="10.88671875" style="37" customWidth="1"/>
    <col min="15931" max="15931" width="11.109375" style="37" customWidth="1"/>
    <col min="15932" max="15932" width="15.21875" style="37" customWidth="1"/>
    <col min="15933" max="15933" width="9.6640625" style="37"/>
    <col min="15934" max="15934" width="11" style="37" customWidth="1"/>
    <col min="15935" max="15935" width="10.77734375" style="37" customWidth="1"/>
    <col min="15936" max="15936" width="11.44140625" style="37" customWidth="1"/>
    <col min="15937" max="15937" width="4" style="37" customWidth="1"/>
    <col min="15938" max="16128" width="9.6640625" style="37"/>
    <col min="16129" max="16129" width="6.44140625" style="37" customWidth="1"/>
    <col min="16130" max="16130" width="13.88671875" style="37" customWidth="1"/>
    <col min="16131" max="16131" width="11.88671875" style="37" customWidth="1"/>
    <col min="16132" max="16134" width="9.6640625" style="37"/>
    <col min="16135" max="16135" width="15.44140625" style="37" customWidth="1"/>
    <col min="16136" max="16136" width="16.21875" style="37" customWidth="1"/>
    <col min="16137" max="16148" width="9.6640625" style="37"/>
    <col min="16149" max="16149" width="12" style="37" customWidth="1"/>
    <col min="16150" max="16150" width="12.77734375" style="37" customWidth="1"/>
    <col min="16151" max="16151" width="11.109375" style="37" customWidth="1"/>
    <col min="16152" max="16152" width="12" style="37" customWidth="1"/>
    <col min="16153" max="16153" width="9.6640625" style="37"/>
    <col min="16154" max="16154" width="15.33203125" style="37" customWidth="1"/>
    <col min="16155" max="16155" width="15.21875" style="37" customWidth="1"/>
    <col min="16156" max="16156" width="21.44140625" style="37" customWidth="1"/>
    <col min="16157" max="16172" width="9.6640625" style="37"/>
    <col min="16173" max="16174" width="13.44140625" style="37" customWidth="1"/>
    <col min="16175" max="16175" width="9.6640625" style="37"/>
    <col min="16176" max="16176" width="13.88671875" style="37" customWidth="1"/>
    <col min="16177" max="16177" width="10.6640625" style="37" customWidth="1"/>
    <col min="16178" max="16178" width="17.33203125" style="37" customWidth="1"/>
    <col min="16179" max="16180" width="12.6640625" style="37" customWidth="1"/>
    <col min="16181" max="16181" width="11.21875" style="37" customWidth="1"/>
    <col min="16182" max="16182" width="18.33203125" style="37" customWidth="1"/>
    <col min="16183" max="16183" width="12.88671875" style="37" customWidth="1"/>
    <col min="16184" max="16185" width="13.21875" style="37" customWidth="1"/>
    <col min="16186" max="16186" width="10.88671875" style="37" customWidth="1"/>
    <col min="16187" max="16187" width="11.109375" style="37" customWidth="1"/>
    <col min="16188" max="16188" width="15.21875" style="37" customWidth="1"/>
    <col min="16189" max="16189" width="9.6640625" style="37"/>
    <col min="16190" max="16190" width="11" style="37" customWidth="1"/>
    <col min="16191" max="16191" width="10.77734375" style="37" customWidth="1"/>
    <col min="16192" max="16192" width="11.44140625" style="37" customWidth="1"/>
    <col min="16193" max="16193" width="4" style="37" customWidth="1"/>
    <col min="16194" max="16384" width="9.6640625" style="37"/>
  </cols>
  <sheetData>
    <row r="1" spans="1:77" ht="13.2" x14ac:dyDescent="0.2">
      <c r="A1" s="36" t="s">
        <v>106</v>
      </c>
    </row>
    <row r="2" spans="1:77" x14ac:dyDescent="0.2">
      <c r="C2" s="39" t="s">
        <v>107</v>
      </c>
    </row>
    <row r="3" spans="1:77" s="38" customFormat="1" x14ac:dyDescent="0.2">
      <c r="A3" s="40"/>
      <c r="B3" s="41" t="s">
        <v>12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</row>
    <row r="4" spans="1:77" s="38" customFormat="1" x14ac:dyDescent="0.2">
      <c r="A4" s="40"/>
      <c r="B4" s="44" t="s">
        <v>108</v>
      </c>
      <c r="C4" s="42" t="s">
        <v>40</v>
      </c>
      <c r="D4" s="42" t="s">
        <v>40</v>
      </c>
      <c r="E4" s="42" t="s">
        <v>40</v>
      </c>
      <c r="F4" s="42" t="s">
        <v>40</v>
      </c>
      <c r="G4" s="42" t="s">
        <v>40</v>
      </c>
      <c r="H4" s="42" t="s">
        <v>40</v>
      </c>
      <c r="I4" s="42" t="s">
        <v>40</v>
      </c>
      <c r="J4" s="42" t="s">
        <v>40</v>
      </c>
      <c r="K4" s="42" t="s">
        <v>40</v>
      </c>
      <c r="L4" s="42" t="s">
        <v>40</v>
      </c>
      <c r="M4" s="42" t="s">
        <v>40</v>
      </c>
      <c r="N4" s="42" t="s">
        <v>40</v>
      </c>
      <c r="O4" s="42" t="s">
        <v>40</v>
      </c>
      <c r="P4" s="42" t="s">
        <v>40</v>
      </c>
      <c r="Q4" s="42" t="s">
        <v>40</v>
      </c>
      <c r="R4" s="42" t="s">
        <v>40</v>
      </c>
      <c r="S4" s="42" t="s">
        <v>40</v>
      </c>
      <c r="T4" s="42" t="s">
        <v>40</v>
      </c>
      <c r="U4" s="42" t="s">
        <v>40</v>
      </c>
      <c r="V4" s="42" t="s">
        <v>40</v>
      </c>
      <c r="W4" s="42" t="s">
        <v>40</v>
      </c>
      <c r="X4" s="42" t="s">
        <v>40</v>
      </c>
      <c r="Y4" s="42" t="s">
        <v>40</v>
      </c>
      <c r="Z4" s="42" t="s">
        <v>40</v>
      </c>
      <c r="AA4" s="42" t="s">
        <v>40</v>
      </c>
      <c r="AB4" s="42" t="s">
        <v>40</v>
      </c>
      <c r="AC4" s="42" t="s">
        <v>40</v>
      </c>
      <c r="AD4" s="42" t="s">
        <v>40</v>
      </c>
      <c r="AE4" s="42" t="s">
        <v>105</v>
      </c>
      <c r="AF4" s="42" t="s">
        <v>40</v>
      </c>
      <c r="AG4" s="42" t="s">
        <v>40</v>
      </c>
      <c r="AH4" s="42" t="s">
        <v>40</v>
      </c>
      <c r="AI4" s="42" t="s">
        <v>40</v>
      </c>
      <c r="AJ4" s="42" t="s">
        <v>40</v>
      </c>
      <c r="AK4" s="42" t="s">
        <v>105</v>
      </c>
      <c r="AL4" s="42" t="s">
        <v>40</v>
      </c>
      <c r="AM4" s="42" t="s">
        <v>40</v>
      </c>
      <c r="AN4" s="42" t="s">
        <v>40</v>
      </c>
      <c r="AO4" s="42" t="s">
        <v>105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</row>
    <row r="5" spans="1:77" s="38" customFormat="1" x14ac:dyDescent="0.2">
      <c r="A5" s="40"/>
      <c r="B5" s="41" t="s">
        <v>110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</row>
    <row r="6" spans="1:77" s="67" customFormat="1" x14ac:dyDescent="0.2">
      <c r="A6" s="65"/>
      <c r="B6" s="41" t="s">
        <v>134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 t="s">
        <v>138</v>
      </c>
      <c r="AD6" s="66"/>
      <c r="AE6" s="66"/>
      <c r="AF6" s="66"/>
      <c r="AG6" s="66"/>
      <c r="AH6" s="66"/>
      <c r="AI6" s="66"/>
      <c r="AJ6" s="66"/>
      <c r="AK6" s="66"/>
      <c r="AL6" s="66" t="s">
        <v>135</v>
      </c>
      <c r="AM6" s="66" t="s">
        <v>136</v>
      </c>
      <c r="AN6" s="66" t="s">
        <v>135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</row>
    <row r="7" spans="1:77" s="49" customFormat="1" ht="15" x14ac:dyDescent="0.3">
      <c r="A7" s="45"/>
      <c r="B7" s="41" t="s">
        <v>111</v>
      </c>
      <c r="C7" s="41" t="s">
        <v>129</v>
      </c>
      <c r="D7" s="41" t="s">
        <v>62</v>
      </c>
      <c r="E7" s="41" t="s">
        <v>63</v>
      </c>
      <c r="F7" s="41" t="s">
        <v>36</v>
      </c>
      <c r="G7" s="41" t="s">
        <v>128</v>
      </c>
      <c r="H7" s="41" t="s">
        <v>64</v>
      </c>
      <c r="I7" s="41" t="s">
        <v>65</v>
      </c>
      <c r="J7" s="41" t="s">
        <v>4</v>
      </c>
      <c r="K7" s="41" t="s">
        <v>66</v>
      </c>
      <c r="L7" s="41" t="s">
        <v>67</v>
      </c>
      <c r="M7" s="41" t="s">
        <v>126</v>
      </c>
      <c r="N7" s="41" t="s">
        <v>127</v>
      </c>
      <c r="O7" s="41" t="s">
        <v>68</v>
      </c>
      <c r="P7" s="41" t="s">
        <v>69</v>
      </c>
      <c r="Q7" s="41" t="s">
        <v>70</v>
      </c>
      <c r="R7" s="41" t="s">
        <v>71</v>
      </c>
      <c r="S7" s="41" t="s">
        <v>72</v>
      </c>
      <c r="T7" s="41" t="s">
        <v>73</v>
      </c>
      <c r="U7" s="41" t="s">
        <v>74</v>
      </c>
      <c r="V7" s="41" t="s">
        <v>75</v>
      </c>
      <c r="W7" s="59" t="s">
        <v>124</v>
      </c>
      <c r="X7" s="41" t="s">
        <v>9</v>
      </c>
      <c r="Y7" s="41" t="s">
        <v>125</v>
      </c>
      <c r="Z7" s="41" t="s">
        <v>76</v>
      </c>
      <c r="AA7" s="41" t="s">
        <v>18</v>
      </c>
      <c r="AB7" s="41" t="s">
        <v>77</v>
      </c>
      <c r="AC7" s="41" t="s">
        <v>137</v>
      </c>
      <c r="AD7" s="41" t="s">
        <v>22</v>
      </c>
      <c r="AE7" s="41" t="s">
        <v>79</v>
      </c>
      <c r="AF7" s="41" t="s">
        <v>80</v>
      </c>
      <c r="AG7" s="41" t="s">
        <v>81</v>
      </c>
      <c r="AH7" s="41" t="s">
        <v>82</v>
      </c>
      <c r="AI7" s="41" t="s">
        <v>83</v>
      </c>
      <c r="AJ7" s="41" t="s">
        <v>84</v>
      </c>
      <c r="AK7" s="41" t="s">
        <v>85</v>
      </c>
      <c r="AL7" s="41" t="s">
        <v>28</v>
      </c>
      <c r="AM7" s="41" t="s">
        <v>56</v>
      </c>
      <c r="AN7" s="41" t="s">
        <v>56</v>
      </c>
      <c r="AO7" s="41" t="s">
        <v>88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7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</row>
    <row r="8" spans="1:77" x14ac:dyDescent="0.2">
      <c r="A8" s="50" t="s">
        <v>14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</row>
    <row r="9" spans="1:77" x14ac:dyDescent="0.2">
      <c r="A9" s="53" t="s">
        <v>130</v>
      </c>
      <c r="B9" s="51"/>
      <c r="C9" s="60">
        <v>3.3034450212364322E-3</v>
      </c>
      <c r="D9" s="60">
        <v>2.548371873525248E-3</v>
      </c>
      <c r="E9" s="60">
        <v>2.4162340726757905E-2</v>
      </c>
      <c r="F9" s="60">
        <v>3.0202925908447381E-3</v>
      </c>
      <c r="G9" s="60">
        <v>4.9079754601226997E-3</v>
      </c>
      <c r="H9" s="60">
        <v>1.3093289689034369E-2</v>
      </c>
      <c r="I9" s="60">
        <v>1.2081170363378952E-2</v>
      </c>
      <c r="J9" s="60">
        <v>5.6630486078338843E-3</v>
      </c>
      <c r="K9" s="60">
        <v>6.0405851816894762E-3</v>
      </c>
      <c r="L9" s="60">
        <v>6.0405851816894762E-3</v>
      </c>
      <c r="M9" s="60">
        <v>4.152902312411515E-3</v>
      </c>
      <c r="N9" s="60">
        <v>1.8876828692779613E-2</v>
      </c>
      <c r="O9" s="60">
        <v>6.0405851816894762E-3</v>
      </c>
      <c r="P9" s="60">
        <v>1.5101462954223691E-2</v>
      </c>
      <c r="Q9" s="60">
        <v>1.0571024067956581E-2</v>
      </c>
      <c r="R9" s="60">
        <v>2.0764511562057575E-3</v>
      </c>
      <c r="S9" s="60">
        <v>9.8159509202453993E-3</v>
      </c>
      <c r="T9" s="60">
        <v>7.5507314771118452E-4</v>
      </c>
      <c r="U9" s="60">
        <v>1.8876828692779614E-3</v>
      </c>
      <c r="V9" s="60">
        <v>1.8876828692779614E-3</v>
      </c>
      <c r="W9" s="60">
        <v>2.2652194431335535E-3</v>
      </c>
      <c r="X9" s="60">
        <v>1.510146295422369E-3</v>
      </c>
      <c r="Y9" s="60">
        <v>3.7753657385559226E-4</v>
      </c>
      <c r="Z9" s="60">
        <v>3.0202925908447381E-3</v>
      </c>
      <c r="AA9" s="60">
        <v>2.8315243039169418E-4</v>
      </c>
      <c r="AB9" s="60">
        <v>1.510146295422369E-3</v>
      </c>
      <c r="AC9" s="60">
        <v>1.6989145823501653E-2</v>
      </c>
      <c r="AD9" s="60"/>
      <c r="AE9" s="60">
        <v>6.1349693251533746E-4</v>
      </c>
      <c r="AF9" s="60">
        <v>6.6068900424728644E-3</v>
      </c>
      <c r="AG9" s="60">
        <v>2.8315243039169422E-3</v>
      </c>
      <c r="AH9" s="60">
        <v>9.0608777725342149E-2</v>
      </c>
      <c r="AI9" s="60">
        <v>0.15101462954223691</v>
      </c>
      <c r="AJ9" s="60">
        <v>1.6989145823501652E-3</v>
      </c>
      <c r="AK9" s="60">
        <v>3.6809815950920245E-3</v>
      </c>
      <c r="AL9" s="60"/>
      <c r="AM9" s="60">
        <v>3.0202925908447382E-2</v>
      </c>
      <c r="AN9" s="60">
        <v>4.2472864558754132E-3</v>
      </c>
      <c r="AO9" s="60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</row>
    <row r="10" spans="1:77" x14ac:dyDescent="0.2">
      <c r="A10" s="53" t="s">
        <v>131</v>
      </c>
      <c r="B10" s="51"/>
      <c r="C10" s="60">
        <v>3.6006546644844523E-3</v>
      </c>
      <c r="D10" s="60">
        <v>3.2733224222585922E-3</v>
      </c>
      <c r="E10" s="60">
        <v>2.6186579378068738E-2</v>
      </c>
      <c r="F10" s="60">
        <v>3.2733224222585922E-3</v>
      </c>
      <c r="G10" s="60">
        <v>4.5826513911620291E-3</v>
      </c>
      <c r="H10" s="60">
        <v>1.3093289689034369E-2</v>
      </c>
      <c r="I10" s="60">
        <v>1.6366612111292964E-2</v>
      </c>
      <c r="J10" s="60">
        <v>6.5466448445171844E-3</v>
      </c>
      <c r="K10" s="60">
        <v>7.2013093289689046E-3</v>
      </c>
      <c r="L10" s="60">
        <v>4.5826513911620291E-3</v>
      </c>
      <c r="M10" s="60">
        <v>3.9279869067103106E-3</v>
      </c>
      <c r="N10" s="60">
        <v>1.7021276595744681E-2</v>
      </c>
      <c r="O10" s="60">
        <v>1.1326097215667769E-2</v>
      </c>
      <c r="P10" s="60">
        <v>1.9639934533551555E-2</v>
      </c>
      <c r="Q10" s="60">
        <v>1.0638297872340425E-2</v>
      </c>
      <c r="R10" s="60">
        <v>1.9639934533551553E-3</v>
      </c>
      <c r="S10" s="60">
        <v>9.8199672667757774E-3</v>
      </c>
      <c r="T10" s="60">
        <v>7.3649754500818335E-4</v>
      </c>
      <c r="U10" s="60">
        <v>1.6366612111292961E-3</v>
      </c>
      <c r="V10" s="60">
        <v>3.2733224222585922E-3</v>
      </c>
      <c r="W10" s="60">
        <v>2.6186579378068742E-3</v>
      </c>
      <c r="X10" s="60">
        <v>1.6366612111292961E-3</v>
      </c>
      <c r="Y10" s="60">
        <v>4.0916530278232402E-4</v>
      </c>
      <c r="Z10" s="60">
        <v>2.6186579378068742E-3</v>
      </c>
      <c r="AA10" s="60">
        <v>4.0916530278232402E-4</v>
      </c>
      <c r="AB10" s="60">
        <v>1.6366612111292961E-3</v>
      </c>
      <c r="AC10" s="60">
        <v>1.8003273322422259E-2</v>
      </c>
      <c r="AD10" s="60"/>
      <c r="AE10" s="60">
        <v>7.4468085106382971E-4</v>
      </c>
      <c r="AF10" s="60">
        <v>7.8559738134206213E-3</v>
      </c>
      <c r="AG10" s="60">
        <v>6.2193126022913247E-3</v>
      </c>
      <c r="AH10" s="60">
        <v>5.8919803600654665E-2</v>
      </c>
      <c r="AI10" s="60">
        <v>0.13093289689034371</v>
      </c>
      <c r="AJ10" s="60">
        <v>1.9639934533551553E-3</v>
      </c>
      <c r="AK10" s="60">
        <v>3.5460992907801418E-3</v>
      </c>
      <c r="AL10" s="60"/>
      <c r="AM10" s="60">
        <v>2.9459901800327332E-2</v>
      </c>
      <c r="AN10" s="60">
        <v>3.6824877250409165E-3</v>
      </c>
      <c r="AO10" s="60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</row>
    <row r="11" spans="1:77" x14ac:dyDescent="0.2">
      <c r="A11" s="53" t="s">
        <v>118</v>
      </c>
      <c r="B11" s="51"/>
      <c r="C11" s="60">
        <v>3.0769230769230769E-3</v>
      </c>
      <c r="D11" s="60">
        <v>3.6923076923076922E-3</v>
      </c>
      <c r="E11" s="60">
        <v>2.769230769230769E-2</v>
      </c>
      <c r="F11" s="60">
        <v>3.8461538461538464E-3</v>
      </c>
      <c r="G11" s="60">
        <v>5.3846153846153853E-3</v>
      </c>
      <c r="H11" s="60">
        <v>2.4615384615384615E-2</v>
      </c>
      <c r="I11" s="60">
        <v>2.4615384615384615E-2</v>
      </c>
      <c r="J11" s="60">
        <v>6.1538461538461538E-3</v>
      </c>
      <c r="K11" s="60">
        <v>0.01</v>
      </c>
      <c r="L11" s="60">
        <v>3.3846153846153848E-3</v>
      </c>
      <c r="M11" s="60">
        <v>9.2307692307692299E-3</v>
      </c>
      <c r="N11" s="60">
        <v>1.2307692307692308E-2</v>
      </c>
      <c r="O11" s="60">
        <v>7.3846153846153844E-3</v>
      </c>
      <c r="P11" s="60">
        <v>1.6923076923076923E-2</v>
      </c>
      <c r="Q11" s="60">
        <v>1.0769230769230771E-2</v>
      </c>
      <c r="R11" s="60">
        <v>1.5384615384615385E-3</v>
      </c>
      <c r="S11" s="60">
        <v>6.1538461538461538E-3</v>
      </c>
      <c r="T11" s="60">
        <v>6.1538461538461541E-4</v>
      </c>
      <c r="U11" s="60">
        <v>2.9230769230769232E-3</v>
      </c>
      <c r="V11" s="60">
        <v>3.6923076923076922E-3</v>
      </c>
      <c r="W11" s="60">
        <v>1.9230769230769232E-3</v>
      </c>
      <c r="X11" s="60">
        <v>1.3846153846153847E-3</v>
      </c>
      <c r="Y11" s="60">
        <v>2.3076923076923076E-4</v>
      </c>
      <c r="Z11" s="60">
        <v>3.0769230769230769E-3</v>
      </c>
      <c r="AA11" s="60">
        <v>5.3846153846153844E-4</v>
      </c>
      <c r="AB11" s="60">
        <v>1.5384615384615385E-3</v>
      </c>
      <c r="AC11" s="60">
        <v>1.6153846153846154E-2</v>
      </c>
      <c r="AD11" s="60">
        <v>1.2307692307692308E-2</v>
      </c>
      <c r="AE11" s="60">
        <v>8.5000000000000006E-4</v>
      </c>
      <c r="AF11" s="60">
        <v>7.6923076923076927E-3</v>
      </c>
      <c r="AG11" s="60">
        <v>5.076923076923077E-3</v>
      </c>
      <c r="AH11" s="60">
        <v>4.9230769230769231E-2</v>
      </c>
      <c r="AI11" s="60">
        <v>0.11076923076923076</v>
      </c>
      <c r="AJ11" s="60">
        <v>1.5384615384615385E-3</v>
      </c>
      <c r="AK11" s="60">
        <v>4.1666666666666666E-3</v>
      </c>
      <c r="AL11" s="60">
        <v>1.2307692307692308E-2</v>
      </c>
      <c r="AM11" s="60">
        <v>2.4615384615384615E-2</v>
      </c>
      <c r="AN11" s="60">
        <v>4.6153846153846149E-3</v>
      </c>
      <c r="AO11" s="60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</row>
    <row r="12" spans="1:77" x14ac:dyDescent="0.2">
      <c r="A12" s="53" t="s">
        <v>132</v>
      </c>
      <c r="B12" s="51"/>
      <c r="C12" s="60">
        <v>3.6557501904036557E-3</v>
      </c>
      <c r="D12" s="60">
        <v>3.0464584920030465E-3</v>
      </c>
      <c r="E12" s="60">
        <v>3.4120335110434115E-2</v>
      </c>
      <c r="F12" s="60">
        <v>4.4173648134044168E-3</v>
      </c>
      <c r="G12" s="60">
        <v>6.0929169840060931E-3</v>
      </c>
      <c r="H12" s="60">
        <v>2.680883472962681E-2</v>
      </c>
      <c r="I12" s="60">
        <v>2.4371667936024372E-2</v>
      </c>
      <c r="J12" s="60">
        <v>5.331302361005332E-3</v>
      </c>
      <c r="K12" s="60">
        <v>7.3115003808073113E-3</v>
      </c>
      <c r="L12" s="60">
        <v>3.6557501904036557E-3</v>
      </c>
      <c r="M12" s="60">
        <v>9.9009900990099011E-3</v>
      </c>
      <c r="N12" s="60">
        <v>1.3709063214013708E-2</v>
      </c>
      <c r="O12" s="60">
        <v>6.0929169840060931E-3</v>
      </c>
      <c r="P12" s="60">
        <v>2.4371667936024372E-2</v>
      </c>
      <c r="Q12" s="60">
        <v>1.2185833968012186E-2</v>
      </c>
      <c r="R12" s="60">
        <v>1.8278750952018278E-3</v>
      </c>
      <c r="S12" s="60">
        <v>6.0929169840060931E-3</v>
      </c>
      <c r="T12" s="60">
        <v>7.6161462300076163E-4</v>
      </c>
      <c r="U12" s="60">
        <v>2.4371667936024374E-3</v>
      </c>
      <c r="V12" s="60">
        <v>3.8080731150038081E-3</v>
      </c>
      <c r="W12" s="60">
        <v>1.5232292460015233E-3</v>
      </c>
      <c r="X12" s="60">
        <v>9.9009900990099011E-4</v>
      </c>
      <c r="Y12" s="60">
        <v>2.2848438690022848E-4</v>
      </c>
      <c r="Z12" s="60">
        <v>3.8080731150038081E-3</v>
      </c>
      <c r="AA12" s="60">
        <v>3.8080731150038082E-4</v>
      </c>
      <c r="AB12" s="60">
        <v>1.904036557501904E-3</v>
      </c>
      <c r="AC12" s="60">
        <v>1.7060167555217057E-2</v>
      </c>
      <c r="AD12" s="60">
        <v>1.3709063214013708E-2</v>
      </c>
      <c r="AE12" s="60">
        <v>6.9306930693069314E-4</v>
      </c>
      <c r="AF12" s="60">
        <v>8.5300837776085287E-3</v>
      </c>
      <c r="AG12" s="60">
        <v>4.4173648134044168E-3</v>
      </c>
      <c r="AH12" s="60">
        <v>6.0929169840060929E-2</v>
      </c>
      <c r="AI12" s="60">
        <v>9.7486671744097489E-2</v>
      </c>
      <c r="AJ12" s="60">
        <v>2.4371667936024374E-3</v>
      </c>
      <c r="AK12" s="60">
        <v>3.6303630363036308E-3</v>
      </c>
      <c r="AL12" s="60">
        <v>1.2185833968012186E-2</v>
      </c>
      <c r="AM12" s="60">
        <v>3.3511043412033509E-2</v>
      </c>
      <c r="AN12" s="60">
        <v>6.0929169840060931E-3</v>
      </c>
      <c r="AO12" s="60">
        <v>1.1881188118811881E-4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</row>
    <row r="13" spans="1:77" x14ac:dyDescent="0.2">
      <c r="A13" s="53" t="s">
        <v>123</v>
      </c>
      <c r="B13" s="52"/>
      <c r="C13" s="60">
        <v>5.5677655677655678E-3</v>
      </c>
      <c r="D13" s="60">
        <v>4.3956043956043956E-3</v>
      </c>
      <c r="E13" s="60">
        <v>3.5164835164835165E-2</v>
      </c>
      <c r="F13" s="60">
        <v>3.2967032967032967E-3</v>
      </c>
      <c r="G13" s="60">
        <v>5.8608058608058617E-3</v>
      </c>
      <c r="H13" s="60">
        <v>3.5164835164835165E-2</v>
      </c>
      <c r="I13" s="60">
        <v>3.663003663003663E-3</v>
      </c>
      <c r="J13" s="60">
        <v>7.326007326007326E-3</v>
      </c>
      <c r="K13" s="60">
        <v>7.9120879120879138E-3</v>
      </c>
      <c r="L13" s="60">
        <v>5.8608058608058617E-3</v>
      </c>
      <c r="M13" s="60">
        <v>1.4065934065934066E-2</v>
      </c>
      <c r="N13" s="60">
        <v>1.4652014652014652E-2</v>
      </c>
      <c r="O13" s="60">
        <v>8.2051282051282051E-3</v>
      </c>
      <c r="P13" s="60">
        <v>2.3443223443223447E-2</v>
      </c>
      <c r="Q13" s="60">
        <v>1.1721611721611723E-2</v>
      </c>
      <c r="R13" s="60">
        <v>5.8608058608058617E-3</v>
      </c>
      <c r="S13" s="60">
        <v>1.2893772893772895E-2</v>
      </c>
      <c r="T13" s="60">
        <v>2.1978021978021978E-3</v>
      </c>
      <c r="U13" s="60">
        <v>4.3956043956043956E-3</v>
      </c>
      <c r="V13" s="60">
        <v>2.9304029304029308E-3</v>
      </c>
      <c r="W13" s="60">
        <v>2.9304029304029308E-3</v>
      </c>
      <c r="X13" s="60">
        <v>1.7582417582417582E-3</v>
      </c>
      <c r="Y13" s="60">
        <v>7.3260073260073271E-4</v>
      </c>
      <c r="Z13" s="60">
        <v>2.9304029304029308E-3</v>
      </c>
      <c r="AA13" s="60">
        <v>1.0256410256410256E-3</v>
      </c>
      <c r="AB13" s="60"/>
      <c r="AC13" s="60">
        <v>1.7582417582417582E-2</v>
      </c>
      <c r="AD13" s="60">
        <v>1.4652014652014652E-2</v>
      </c>
      <c r="AE13" s="60">
        <v>5.7142857142857136E-4</v>
      </c>
      <c r="AF13" s="60">
        <v>1.0549450549450549E-2</v>
      </c>
      <c r="AG13" s="60">
        <v>5.8608058608058617E-3</v>
      </c>
      <c r="AH13" s="60">
        <v>6.5641025641025641E-2</v>
      </c>
      <c r="AI13" s="60">
        <v>0.11721611721611722</v>
      </c>
      <c r="AJ13" s="60">
        <v>5.8608058608058617E-3</v>
      </c>
      <c r="AK13" s="60">
        <v>4.4444444444444444E-3</v>
      </c>
      <c r="AL13" s="60">
        <v>1.421245421245421E-2</v>
      </c>
      <c r="AM13" s="60">
        <v>3.5164835164835165E-2</v>
      </c>
      <c r="AN13" s="60">
        <v>5.8608058608058617E-3</v>
      </c>
      <c r="AO13" s="60">
        <v>1.1428571428571428E-4</v>
      </c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4"/>
      <c r="BH13" s="54"/>
      <c r="BI13" s="54"/>
      <c r="BJ13" s="54"/>
      <c r="BK13" s="52"/>
      <c r="BL13" s="52"/>
      <c r="BM13" s="52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1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7" sqref="C37"/>
    </sheetView>
  </sheetViews>
  <sheetFormatPr defaultRowHeight="14.4" x14ac:dyDescent="0.3"/>
  <cols>
    <col min="1" max="1" width="42.33203125" style="5" customWidth="1"/>
    <col min="2" max="2" width="8.77734375" style="20" customWidth="1"/>
    <col min="3" max="3" width="11.6640625" style="20" customWidth="1"/>
    <col min="4" max="4" width="13.33203125" customWidth="1"/>
    <col min="5" max="5" width="14.21875" customWidth="1"/>
    <col min="6" max="6" width="12.6640625" customWidth="1"/>
    <col min="7" max="7" width="13.33203125" customWidth="1"/>
    <col min="8" max="9" width="19.109375" customWidth="1"/>
    <col min="10" max="10" width="13.33203125" customWidth="1"/>
    <col min="11" max="12" width="19.109375" customWidth="1"/>
  </cols>
  <sheetData>
    <row r="2" spans="1:12" s="7" customFormat="1" ht="15.6" customHeight="1" x14ac:dyDescent="0.3">
      <c r="A2" s="17"/>
      <c r="B2" s="95" t="s">
        <v>1</v>
      </c>
      <c r="C2" s="95" t="s">
        <v>133</v>
      </c>
      <c r="D2" s="93" t="s">
        <v>38</v>
      </c>
      <c r="E2" s="93"/>
      <c r="F2" s="93"/>
      <c r="G2" s="93" t="s">
        <v>21</v>
      </c>
      <c r="H2" s="93"/>
      <c r="I2" s="93"/>
      <c r="J2" s="93" t="s">
        <v>35</v>
      </c>
      <c r="K2" s="93"/>
      <c r="L2" s="93"/>
    </row>
    <row r="3" spans="1:12" s="7" customFormat="1" ht="15.6" x14ac:dyDescent="0.3">
      <c r="A3" s="18" t="s">
        <v>0</v>
      </c>
      <c r="B3" s="95"/>
      <c r="C3" s="95"/>
      <c r="D3" s="8" t="s">
        <v>2</v>
      </c>
      <c r="E3" s="9" t="s">
        <v>13</v>
      </c>
      <c r="F3" s="9" t="s">
        <v>15</v>
      </c>
      <c r="G3" s="8" t="s">
        <v>2</v>
      </c>
      <c r="H3" s="9" t="s">
        <v>13</v>
      </c>
      <c r="I3" s="9" t="s">
        <v>15</v>
      </c>
      <c r="J3" s="8" t="s">
        <v>2</v>
      </c>
      <c r="K3" s="9" t="s">
        <v>13</v>
      </c>
      <c r="L3" s="9" t="s">
        <v>15</v>
      </c>
    </row>
    <row r="4" spans="1:12" s="3" customFormat="1" x14ac:dyDescent="0.3">
      <c r="A4" t="s">
        <v>168</v>
      </c>
      <c r="B4" s="16" t="s">
        <v>164</v>
      </c>
      <c r="C4" s="16" t="s">
        <v>165</v>
      </c>
      <c r="D4" s="19">
        <f>F31*23000</f>
        <v>69000</v>
      </c>
      <c r="E4" s="19">
        <v>357000</v>
      </c>
      <c r="F4" s="58">
        <f>E4/D4</f>
        <v>5.1739130434782608</v>
      </c>
      <c r="G4" s="19">
        <f>F31*(17150+17200)/2</f>
        <v>51525</v>
      </c>
      <c r="H4" s="19">
        <v>275550</v>
      </c>
      <c r="I4" s="58">
        <f>H4/G4</f>
        <v>5.3478893740902471</v>
      </c>
      <c r="J4" s="19">
        <f>F31*(16670+19870)/2</f>
        <v>54810</v>
      </c>
      <c r="K4" s="19">
        <v>253550</v>
      </c>
      <c r="L4" s="58">
        <f>K4/J4</f>
        <v>4.6259806604634193</v>
      </c>
    </row>
    <row r="5" spans="1:12" s="3" customFormat="1" x14ac:dyDescent="0.3">
      <c r="A5" s="5" t="s">
        <v>20</v>
      </c>
      <c r="B5" s="16" t="s">
        <v>164</v>
      </c>
      <c r="C5" s="16" t="s">
        <v>165</v>
      </c>
      <c r="D5" s="19">
        <v>58040</v>
      </c>
      <c r="E5" s="19">
        <v>92300</v>
      </c>
      <c r="F5" s="58">
        <f t="shared" ref="F5:F24" si="0">E5/D5</f>
        <v>1.5902825637491385</v>
      </c>
      <c r="G5" s="19">
        <v>15670</v>
      </c>
      <c r="H5" s="19">
        <v>42000</v>
      </c>
      <c r="I5" s="58">
        <f t="shared" ref="I5:I24" si="1">H5/G5</f>
        <v>2.6802807913209956</v>
      </c>
      <c r="J5" s="19">
        <v>14500</v>
      </c>
      <c r="K5" s="19">
        <v>35800</v>
      </c>
      <c r="L5" s="58">
        <f t="shared" ref="L5:L24" si="2">K5/J5</f>
        <v>2.4689655172413794</v>
      </c>
    </row>
    <row r="6" spans="1:12" s="3" customFormat="1" x14ac:dyDescent="0.3">
      <c r="A6" s="5" t="s">
        <v>22</v>
      </c>
      <c r="B6" s="16" t="s">
        <v>164</v>
      </c>
      <c r="C6" s="16" t="s">
        <v>165</v>
      </c>
      <c r="D6" s="19">
        <v>34240</v>
      </c>
      <c r="E6" s="19">
        <v>64480</v>
      </c>
      <c r="F6" s="58">
        <f t="shared" si="0"/>
        <v>1.8831775700934579</v>
      </c>
      <c r="G6" s="19">
        <v>17410</v>
      </c>
      <c r="H6" s="19">
        <v>32550</v>
      </c>
      <c r="I6" s="58">
        <f t="shared" si="1"/>
        <v>1.8696151636990235</v>
      </c>
      <c r="J6" s="19">
        <v>33100</v>
      </c>
      <c r="K6" s="19">
        <v>65600</v>
      </c>
      <c r="L6" s="58">
        <f t="shared" si="2"/>
        <v>1.9818731117824773</v>
      </c>
    </row>
    <row r="7" spans="1:12" s="3" customFormat="1" x14ac:dyDescent="0.3">
      <c r="A7" s="23" t="s">
        <v>31</v>
      </c>
      <c r="B7" s="16" t="s">
        <v>164</v>
      </c>
      <c r="C7" s="16" t="s">
        <v>165</v>
      </c>
      <c r="D7" s="19">
        <v>5650</v>
      </c>
      <c r="E7" s="19">
        <v>45800</v>
      </c>
      <c r="F7" s="58">
        <f t="shared" si="0"/>
        <v>8.106194690265486</v>
      </c>
      <c r="G7" s="19">
        <v>3834</v>
      </c>
      <c r="H7" s="19">
        <v>42800</v>
      </c>
      <c r="I7" s="58">
        <f t="shared" si="1"/>
        <v>11.163275952008346</v>
      </c>
      <c r="J7" s="19">
        <v>3648</v>
      </c>
      <c r="K7" s="19">
        <v>41500</v>
      </c>
      <c r="L7" s="58">
        <f t="shared" si="2"/>
        <v>11.37609649122807</v>
      </c>
    </row>
    <row r="8" spans="1:12" s="3" customFormat="1" x14ac:dyDescent="0.3">
      <c r="A8" s="23" t="s">
        <v>32</v>
      </c>
      <c r="B8" s="16" t="s">
        <v>164</v>
      </c>
      <c r="C8" s="16" t="s">
        <v>165</v>
      </c>
      <c r="D8" s="19">
        <v>13060</v>
      </c>
      <c r="E8" s="19">
        <v>23500</v>
      </c>
      <c r="F8" s="58">
        <f t="shared" si="0"/>
        <v>1.7993874425727412</v>
      </c>
      <c r="G8" s="19">
        <v>2438</v>
      </c>
      <c r="H8" s="19">
        <v>3430</v>
      </c>
      <c r="I8" s="58">
        <f t="shared" si="1"/>
        <v>1.4068908941755538</v>
      </c>
      <c r="J8" s="19">
        <v>7776</v>
      </c>
      <c r="K8" s="19">
        <v>8900</v>
      </c>
      <c r="L8" s="58">
        <f t="shared" si="2"/>
        <v>1.1445473251028806</v>
      </c>
    </row>
    <row r="9" spans="1:12" s="3" customFormat="1" x14ac:dyDescent="0.3">
      <c r="A9" s="5" t="s">
        <v>23</v>
      </c>
      <c r="B9" s="16" t="s">
        <v>164</v>
      </c>
      <c r="C9" s="16" t="s">
        <v>165</v>
      </c>
      <c r="D9" s="19">
        <v>9400</v>
      </c>
      <c r="E9" s="19">
        <v>46600</v>
      </c>
      <c r="F9" s="58">
        <f t="shared" si="0"/>
        <v>4.957446808510638</v>
      </c>
      <c r="G9" s="19">
        <v>5223</v>
      </c>
      <c r="H9" s="19">
        <v>28000</v>
      </c>
      <c r="I9" s="58">
        <f t="shared" si="1"/>
        <v>5.3609036951943327</v>
      </c>
      <c r="J9" s="19">
        <v>3134</v>
      </c>
      <c r="K9" s="19">
        <v>24550</v>
      </c>
      <c r="L9" s="58">
        <f t="shared" si="2"/>
        <v>7.8334396936821955</v>
      </c>
    </row>
    <row r="10" spans="1:12" s="3" customFormat="1" x14ac:dyDescent="0.3">
      <c r="A10" s="23" t="s">
        <v>30</v>
      </c>
      <c r="B10" s="16" t="s">
        <v>164</v>
      </c>
      <c r="C10" s="16" t="s">
        <v>165</v>
      </c>
      <c r="D10" s="19">
        <v>4640</v>
      </c>
      <c r="E10" s="19">
        <v>16700</v>
      </c>
      <c r="F10" s="58">
        <f t="shared" si="0"/>
        <v>3.5991379310344827</v>
      </c>
      <c r="G10" s="19">
        <v>1160</v>
      </c>
      <c r="H10" s="19">
        <v>6000</v>
      </c>
      <c r="I10" s="58">
        <f t="shared" si="1"/>
        <v>5.1724137931034484</v>
      </c>
      <c r="J10" s="19">
        <v>812</v>
      </c>
      <c r="K10" s="19">
        <v>4072</v>
      </c>
      <c r="L10" s="58">
        <f t="shared" si="2"/>
        <v>5.014778325123153</v>
      </c>
    </row>
    <row r="11" spans="1:12" s="3" customFormat="1" x14ac:dyDescent="0.3">
      <c r="A11" s="23" t="s">
        <v>112</v>
      </c>
      <c r="B11" s="16" t="s">
        <v>7</v>
      </c>
      <c r="C11" s="16" t="s">
        <v>100</v>
      </c>
      <c r="D11" s="19">
        <v>15000</v>
      </c>
      <c r="E11" s="19">
        <v>25000</v>
      </c>
      <c r="F11" s="58">
        <f t="shared" si="0"/>
        <v>1.6666666666666667</v>
      </c>
      <c r="G11" s="19">
        <v>12800</v>
      </c>
      <c r="H11" s="19">
        <v>22400</v>
      </c>
      <c r="I11" s="58">
        <f t="shared" si="1"/>
        <v>1.75</v>
      </c>
      <c r="J11" s="19">
        <v>6000</v>
      </c>
      <c r="K11" s="19">
        <v>28000</v>
      </c>
      <c r="L11" s="58">
        <f t="shared" si="2"/>
        <v>4.666666666666667</v>
      </c>
    </row>
    <row r="12" spans="1:12" s="3" customFormat="1" x14ac:dyDescent="0.3">
      <c r="A12" s="5" t="s">
        <v>33</v>
      </c>
      <c r="B12" s="16" t="s">
        <v>160</v>
      </c>
      <c r="C12" s="16" t="s">
        <v>17</v>
      </c>
      <c r="D12" s="19">
        <f>$D$32*11000</f>
        <v>99000</v>
      </c>
      <c r="E12" s="19">
        <v>17200</v>
      </c>
      <c r="F12" s="58">
        <f t="shared" si="0"/>
        <v>0.17373737373737375</v>
      </c>
      <c r="G12" s="19">
        <f>$D$32*10500</f>
        <v>94500</v>
      </c>
      <c r="H12" s="19">
        <v>22000</v>
      </c>
      <c r="I12" s="58">
        <f t="shared" si="1"/>
        <v>0.23280423280423279</v>
      </c>
      <c r="J12" s="19">
        <f>$D$32*11000</f>
        <v>99000</v>
      </c>
      <c r="K12" s="19">
        <v>20000</v>
      </c>
      <c r="L12" s="58">
        <f t="shared" si="2"/>
        <v>0.20202020202020202</v>
      </c>
    </row>
    <row r="13" spans="1:12" s="3" customFormat="1" x14ac:dyDescent="0.3">
      <c r="A13" s="23" t="s">
        <v>166</v>
      </c>
      <c r="B13" s="16" t="s">
        <v>164</v>
      </c>
      <c r="C13" s="16" t="s">
        <v>165</v>
      </c>
      <c r="D13" s="19">
        <f>$D$36*550</f>
        <v>825</v>
      </c>
      <c r="E13" s="19">
        <v>15150</v>
      </c>
      <c r="F13" s="58">
        <f t="shared" si="0"/>
        <v>18.363636363636363</v>
      </c>
      <c r="G13" s="19">
        <f>$D$36*450</f>
        <v>675</v>
      </c>
      <c r="H13" s="19">
        <v>13500</v>
      </c>
      <c r="I13" s="58">
        <f t="shared" si="1"/>
        <v>20</v>
      </c>
      <c r="J13" s="19">
        <v>600</v>
      </c>
      <c r="K13" s="19">
        <v>17500</v>
      </c>
      <c r="L13" s="58">
        <f t="shared" si="2"/>
        <v>29.166666666666668</v>
      </c>
    </row>
    <row r="14" spans="1:12" s="3" customFormat="1" x14ac:dyDescent="0.3">
      <c r="A14" s="16" t="s">
        <v>24</v>
      </c>
      <c r="B14" s="16" t="s">
        <v>3</v>
      </c>
      <c r="C14" s="16" t="s">
        <v>105</v>
      </c>
      <c r="D14" s="19">
        <v>5300</v>
      </c>
      <c r="E14" s="19">
        <v>12400</v>
      </c>
      <c r="F14" s="58">
        <f t="shared" si="0"/>
        <v>2.3396226415094339</v>
      </c>
      <c r="G14" s="19">
        <v>5500</v>
      </c>
      <c r="H14" s="19">
        <v>13750</v>
      </c>
      <c r="I14" s="58">
        <f t="shared" si="1"/>
        <v>2.5</v>
      </c>
      <c r="J14" s="19">
        <v>500</v>
      </c>
      <c r="K14" s="19">
        <v>1980</v>
      </c>
      <c r="L14" s="58">
        <f t="shared" si="2"/>
        <v>3.96</v>
      </c>
    </row>
    <row r="15" spans="1:12" s="3" customFormat="1" x14ac:dyDescent="0.3">
      <c r="A15" s="16" t="s">
        <v>34</v>
      </c>
      <c r="B15" s="16" t="s">
        <v>3</v>
      </c>
      <c r="C15" s="16" t="s">
        <v>105</v>
      </c>
      <c r="D15" s="19">
        <v>2500</v>
      </c>
      <c r="E15" s="19">
        <v>7000</v>
      </c>
      <c r="F15" s="58">
        <f t="shared" si="0"/>
        <v>2.8</v>
      </c>
      <c r="G15" s="19">
        <v>2000</v>
      </c>
      <c r="H15" s="19">
        <v>6000</v>
      </c>
      <c r="I15" s="58">
        <f t="shared" si="1"/>
        <v>3</v>
      </c>
      <c r="J15" s="19">
        <v>4800</v>
      </c>
      <c r="K15" s="19">
        <v>9950</v>
      </c>
      <c r="L15" s="58">
        <f t="shared" si="2"/>
        <v>2.0729166666666665</v>
      </c>
    </row>
    <row r="16" spans="1:12" s="3" customFormat="1" x14ac:dyDescent="0.3">
      <c r="A16" s="16" t="s">
        <v>194</v>
      </c>
      <c r="B16" s="16" t="s">
        <v>3</v>
      </c>
      <c r="C16" s="16" t="s">
        <v>105</v>
      </c>
      <c r="D16" s="19">
        <v>900</v>
      </c>
      <c r="E16" s="19">
        <v>4000</v>
      </c>
      <c r="F16" s="58">
        <f t="shared" si="0"/>
        <v>4.4444444444444446</v>
      </c>
      <c r="G16" s="19">
        <f>285+475</f>
        <v>760</v>
      </c>
      <c r="H16" s="19">
        <v>3610</v>
      </c>
      <c r="I16" s="58">
        <f t="shared" si="1"/>
        <v>4.75</v>
      </c>
      <c r="J16" s="19">
        <v>860</v>
      </c>
      <c r="K16" s="19">
        <v>5865</v>
      </c>
      <c r="L16" s="58">
        <f t="shared" si="2"/>
        <v>6.8197674418604652</v>
      </c>
    </row>
    <row r="17" spans="1:13" s="3" customFormat="1" ht="15" customHeight="1" x14ac:dyDescent="0.3">
      <c r="A17" s="16" t="s">
        <v>25</v>
      </c>
      <c r="B17" s="16" t="s">
        <v>164</v>
      </c>
      <c r="C17" s="16" t="s">
        <v>165</v>
      </c>
      <c r="D17" s="19">
        <f>965+1150</f>
        <v>2115</v>
      </c>
      <c r="E17" s="19">
        <f>26400+26320</f>
        <v>52720</v>
      </c>
      <c r="F17" s="58">
        <f t="shared" si="0"/>
        <v>24.926713947990542</v>
      </c>
      <c r="G17" s="19">
        <v>403</v>
      </c>
      <c r="H17" s="19">
        <v>11220</v>
      </c>
      <c r="I17" s="58">
        <f t="shared" si="1"/>
        <v>27.841191066997517</v>
      </c>
      <c r="J17" s="19">
        <v>560</v>
      </c>
      <c r="K17" s="19">
        <v>14873</v>
      </c>
      <c r="L17" s="58">
        <f t="shared" si="2"/>
        <v>26.55892857142857</v>
      </c>
    </row>
    <row r="18" spans="1:13" s="3" customFormat="1" ht="15" customHeight="1" x14ac:dyDescent="0.3">
      <c r="A18" s="5" t="s">
        <v>26</v>
      </c>
      <c r="B18" s="16" t="s">
        <v>164</v>
      </c>
      <c r="C18" s="16" t="s">
        <v>165</v>
      </c>
      <c r="D18" s="19">
        <v>446</v>
      </c>
      <c r="E18" s="19">
        <v>10200</v>
      </c>
      <c r="F18" s="58">
        <f t="shared" si="0"/>
        <v>22.869955156950674</v>
      </c>
      <c r="G18" s="19">
        <v>892</v>
      </c>
      <c r="H18" s="19">
        <v>24000</v>
      </c>
      <c r="I18" s="58">
        <f t="shared" si="1"/>
        <v>26.905829596412556</v>
      </c>
      <c r="J18" s="19">
        <v>580</v>
      </c>
      <c r="K18" s="19">
        <v>11820</v>
      </c>
      <c r="L18" s="58">
        <f t="shared" si="2"/>
        <v>20.379310344827587</v>
      </c>
    </row>
    <row r="19" spans="1:13" s="3" customFormat="1" ht="15" customHeight="1" x14ac:dyDescent="0.3">
      <c r="A19" s="5" t="s">
        <v>19</v>
      </c>
      <c r="B19" s="16" t="s">
        <v>164</v>
      </c>
      <c r="C19" s="16" t="s">
        <v>165</v>
      </c>
      <c r="D19" s="19">
        <f>$D$37*2800</f>
        <v>4200</v>
      </c>
      <c r="E19" s="19">
        <v>8100</v>
      </c>
      <c r="F19" s="58">
        <f t="shared" si="0"/>
        <v>1.9285714285714286</v>
      </c>
      <c r="G19" s="19">
        <v>3750</v>
      </c>
      <c r="H19" s="19">
        <v>7600</v>
      </c>
      <c r="I19" s="58">
        <f t="shared" si="1"/>
        <v>2.0266666666666668</v>
      </c>
      <c r="J19" s="19">
        <v>3600</v>
      </c>
      <c r="K19" s="19">
        <v>7250</v>
      </c>
      <c r="L19" s="58">
        <f t="shared" si="2"/>
        <v>2.0138888888888888</v>
      </c>
    </row>
    <row r="20" spans="1:13" s="3" customFormat="1" ht="15" customHeight="1" x14ac:dyDescent="0.3">
      <c r="A20" s="5" t="s">
        <v>27</v>
      </c>
      <c r="B20" s="16" t="s">
        <v>164</v>
      </c>
      <c r="C20" s="16" t="s">
        <v>165</v>
      </c>
      <c r="D20" s="19"/>
      <c r="F20" s="58"/>
      <c r="G20" s="19"/>
      <c r="I20" s="58"/>
      <c r="J20" s="19">
        <v>1200</v>
      </c>
      <c r="K20" s="19">
        <v>5800</v>
      </c>
      <c r="L20" s="58">
        <f t="shared" si="2"/>
        <v>4.833333333333333</v>
      </c>
    </row>
    <row r="21" spans="1:13" s="3" customFormat="1" ht="15" customHeight="1" x14ac:dyDescent="0.3">
      <c r="A21" s="5" t="s">
        <v>28</v>
      </c>
      <c r="B21" s="16" t="s">
        <v>164</v>
      </c>
      <c r="C21" s="16" t="s">
        <v>165</v>
      </c>
      <c r="D21" s="19">
        <v>864</v>
      </c>
      <c r="E21" s="19">
        <v>3600</v>
      </c>
      <c r="F21" s="58">
        <f t="shared" si="0"/>
        <v>4.166666666666667</v>
      </c>
      <c r="G21" s="19">
        <f>$D$33*1250</f>
        <v>254.03225806451613</v>
      </c>
      <c r="H21" s="19">
        <v>1670</v>
      </c>
      <c r="I21" s="58">
        <f t="shared" si="1"/>
        <v>6.5739682539682542</v>
      </c>
      <c r="J21" s="19">
        <v>756</v>
      </c>
      <c r="K21" s="19">
        <v>2500</v>
      </c>
      <c r="L21" s="58">
        <f t="shared" si="2"/>
        <v>3.306878306878307</v>
      </c>
    </row>
    <row r="22" spans="1:13" s="3" customFormat="1" ht="15" customHeight="1" x14ac:dyDescent="0.3">
      <c r="A22" s="5" t="s">
        <v>5</v>
      </c>
      <c r="B22" s="16" t="s">
        <v>164</v>
      </c>
      <c r="C22" s="16" t="s">
        <v>165</v>
      </c>
      <c r="D22" s="19">
        <f>$D$34*650</f>
        <v>975</v>
      </c>
      <c r="E22" s="19">
        <v>3000</v>
      </c>
      <c r="F22" s="58">
        <f t="shared" si="0"/>
        <v>3.0769230769230771</v>
      </c>
      <c r="G22" s="19">
        <f>$D$34*600</f>
        <v>900</v>
      </c>
      <c r="H22" s="19">
        <v>2900</v>
      </c>
      <c r="I22" s="58">
        <f t="shared" si="1"/>
        <v>3.2222222222222223</v>
      </c>
      <c r="J22" s="19">
        <v>600</v>
      </c>
      <c r="K22" s="19">
        <v>2180</v>
      </c>
      <c r="L22" s="58">
        <f t="shared" si="2"/>
        <v>3.6333333333333333</v>
      </c>
    </row>
    <row r="23" spans="1:13" s="3" customFormat="1" ht="15" customHeight="1" x14ac:dyDescent="0.3">
      <c r="A23" s="23" t="s">
        <v>167</v>
      </c>
      <c r="B23" s="16" t="s">
        <v>164</v>
      </c>
      <c r="C23" s="16" t="s">
        <v>165</v>
      </c>
      <c r="D23" s="19">
        <f>$D$35*1800</f>
        <v>900</v>
      </c>
      <c r="E23" s="19">
        <v>1800</v>
      </c>
      <c r="F23" s="58">
        <f t="shared" si="0"/>
        <v>2</v>
      </c>
      <c r="G23" s="19">
        <f>$D$35*1100</f>
        <v>550</v>
      </c>
      <c r="H23" s="19">
        <v>1155</v>
      </c>
      <c r="I23" s="58">
        <f t="shared" si="1"/>
        <v>2.1</v>
      </c>
      <c r="J23" s="19">
        <v>700</v>
      </c>
      <c r="K23" s="19">
        <v>1528</v>
      </c>
      <c r="L23" s="58">
        <f t="shared" si="2"/>
        <v>2.1828571428571428</v>
      </c>
    </row>
    <row r="24" spans="1:13" s="3" customFormat="1" ht="15" customHeight="1" x14ac:dyDescent="0.3">
      <c r="A24" s="5" t="s">
        <v>29</v>
      </c>
      <c r="B24" s="16" t="s">
        <v>164</v>
      </c>
      <c r="C24" s="16" t="s">
        <v>165</v>
      </c>
      <c r="D24" s="19">
        <f>F29*270</f>
        <v>192.85714285714286</v>
      </c>
      <c r="E24" s="19">
        <v>870</v>
      </c>
      <c r="F24" s="58">
        <f t="shared" si="0"/>
        <v>4.5111111111111111</v>
      </c>
      <c r="G24" s="19">
        <f>F29*220</f>
        <v>157.14285714285714</v>
      </c>
      <c r="H24" s="19">
        <v>340</v>
      </c>
      <c r="I24" s="58">
        <f t="shared" si="1"/>
        <v>2.1636363636363636</v>
      </c>
      <c r="J24" s="19">
        <f>F29*260</f>
        <v>185.71428571428572</v>
      </c>
      <c r="K24" s="19">
        <v>475</v>
      </c>
      <c r="L24" s="58">
        <f t="shared" si="2"/>
        <v>2.5576923076923075</v>
      </c>
    </row>
    <row r="25" spans="1:13" s="3" customFormat="1" ht="15" customHeight="1" x14ac:dyDescent="0.3">
      <c r="A25" s="15" t="s">
        <v>8</v>
      </c>
      <c r="B25" s="21"/>
      <c r="C25" s="21"/>
      <c r="D25" s="19"/>
      <c r="E25" s="19">
        <v>807420</v>
      </c>
      <c r="F25" s="19"/>
      <c r="G25" s="19"/>
      <c r="H25" s="19">
        <v>560475</v>
      </c>
      <c r="I25" s="19"/>
      <c r="J25" s="19"/>
      <c r="K25" s="19">
        <v>563693</v>
      </c>
      <c r="L25" s="19"/>
    </row>
    <row r="26" spans="1:13" s="3" customFormat="1" x14ac:dyDescent="0.3">
      <c r="A26" s="16"/>
      <c r="B26" s="20"/>
      <c r="C26" s="16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s="3" customFormat="1" x14ac:dyDescent="0.3">
      <c r="A27" s="16"/>
      <c r="B27" s="20"/>
      <c r="C27" s="20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s="3" customFormat="1" x14ac:dyDescent="0.3">
      <c r="A28" s="30" t="s">
        <v>42</v>
      </c>
      <c r="B28" s="20"/>
      <c r="C28" s="20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x14ac:dyDescent="0.3">
      <c r="A29" s="94" t="s">
        <v>29</v>
      </c>
      <c r="B29">
        <v>1</v>
      </c>
      <c r="C29" s="4" t="s">
        <v>156</v>
      </c>
      <c r="D29" s="2">
        <v>80</v>
      </c>
      <c r="E29" s="4" t="s">
        <v>49</v>
      </c>
      <c r="F29" s="79">
        <f>D29/D30</f>
        <v>0.7142857142857143</v>
      </c>
      <c r="G29" s="4" t="s">
        <v>163</v>
      </c>
      <c r="H29" s="2"/>
      <c r="I29" s="2"/>
      <c r="J29" s="2"/>
      <c r="K29" s="2"/>
      <c r="L29" s="2"/>
      <c r="M29" s="2"/>
    </row>
    <row r="30" spans="1:13" s="3" customFormat="1" x14ac:dyDescent="0.3">
      <c r="A30" s="94"/>
      <c r="B30">
        <v>1</v>
      </c>
      <c r="C30" s="4" t="s">
        <v>163</v>
      </c>
      <c r="D30" s="2">
        <v>112</v>
      </c>
      <c r="E30" s="4" t="s">
        <v>49</v>
      </c>
      <c r="F30" s="2"/>
      <c r="G30" s="2"/>
      <c r="H30" s="2"/>
      <c r="I30" s="2"/>
      <c r="J30" s="2"/>
      <c r="K30" s="2"/>
      <c r="L30" s="2"/>
      <c r="M30" s="2"/>
    </row>
    <row r="31" spans="1:13" s="3" customFormat="1" x14ac:dyDescent="0.3">
      <c r="A31" s="80" t="s">
        <v>168</v>
      </c>
      <c r="B31">
        <v>1</v>
      </c>
      <c r="C31" s="76" t="s">
        <v>156</v>
      </c>
      <c r="D31" s="75">
        <v>336</v>
      </c>
      <c r="E31" s="4" t="s">
        <v>49</v>
      </c>
      <c r="F31" s="6">
        <f>D31/D30</f>
        <v>3</v>
      </c>
      <c r="G31" s="76" t="s">
        <v>157</v>
      </c>
      <c r="H31" s="2"/>
      <c r="I31" s="2"/>
      <c r="J31" s="2"/>
      <c r="K31" s="2"/>
      <c r="L31" s="2"/>
      <c r="M31" s="2"/>
    </row>
    <row r="32" spans="1:13" s="3" customFormat="1" x14ac:dyDescent="0.3">
      <c r="A32" s="5" t="s">
        <v>33</v>
      </c>
      <c r="B32">
        <v>1</v>
      </c>
      <c r="C32" s="76" t="s">
        <v>172</v>
      </c>
      <c r="D32" s="75">
        <v>9</v>
      </c>
      <c r="E32" s="4" t="s">
        <v>162</v>
      </c>
      <c r="F32" s="2"/>
      <c r="G32" s="2"/>
      <c r="H32" s="2"/>
      <c r="I32" s="2"/>
      <c r="J32" s="2"/>
      <c r="K32" s="2"/>
      <c r="L32" s="2"/>
      <c r="M32" s="2"/>
    </row>
    <row r="33" spans="1:13" s="3" customFormat="1" x14ac:dyDescent="0.3">
      <c r="A33" s="16" t="s">
        <v>28</v>
      </c>
      <c r="B33">
        <v>1</v>
      </c>
      <c r="C33" s="76" t="s">
        <v>161</v>
      </c>
      <c r="D33" s="75">
        <f>756/3720</f>
        <v>0.20322580645161289</v>
      </c>
      <c r="E33" s="76" t="s">
        <v>157</v>
      </c>
      <c r="F33" s="2"/>
      <c r="G33" s="2"/>
      <c r="H33" s="2"/>
      <c r="I33" s="2"/>
      <c r="J33" s="2"/>
      <c r="K33" s="2"/>
      <c r="L33" s="2"/>
      <c r="M33" s="2"/>
    </row>
    <row r="34" spans="1:13" s="3" customFormat="1" x14ac:dyDescent="0.3">
      <c r="A34" s="16" t="s">
        <v>5</v>
      </c>
      <c r="B34">
        <v>1</v>
      </c>
      <c r="C34" s="76" t="s">
        <v>171</v>
      </c>
      <c r="D34" s="75">
        <f>600/400</f>
        <v>1.5</v>
      </c>
      <c r="E34" s="76" t="s">
        <v>157</v>
      </c>
      <c r="F34" s="2"/>
      <c r="G34" s="2"/>
      <c r="H34" s="2"/>
      <c r="I34" s="2"/>
      <c r="J34" s="2"/>
      <c r="K34" s="2"/>
      <c r="L34" s="2"/>
      <c r="M34" s="2"/>
    </row>
    <row r="35" spans="1:13" s="3" customFormat="1" x14ac:dyDescent="0.3">
      <c r="A35" s="23" t="s">
        <v>167</v>
      </c>
      <c r="B35">
        <v>1</v>
      </c>
      <c r="C35" s="76" t="s">
        <v>161</v>
      </c>
      <c r="D35" s="75">
        <f>700/1400</f>
        <v>0.5</v>
      </c>
      <c r="E35" s="76" t="s">
        <v>157</v>
      </c>
      <c r="F35" s="2"/>
      <c r="G35" s="2"/>
      <c r="H35" s="2"/>
      <c r="I35" s="2"/>
      <c r="J35" s="2"/>
      <c r="K35" s="2"/>
      <c r="L35" s="2"/>
      <c r="M35" s="2"/>
    </row>
    <row r="36" spans="1:13" s="3" customFormat="1" x14ac:dyDescent="0.3">
      <c r="A36" s="16" t="s">
        <v>199</v>
      </c>
      <c r="B36">
        <v>1</v>
      </c>
      <c r="C36" s="76" t="s">
        <v>156</v>
      </c>
      <c r="D36" s="75">
        <f>600/400</f>
        <v>1.5</v>
      </c>
      <c r="E36" s="76" t="s">
        <v>157</v>
      </c>
      <c r="F36" s="2"/>
      <c r="G36" s="2"/>
      <c r="H36" s="2"/>
      <c r="I36" s="2"/>
      <c r="J36" s="2"/>
      <c r="K36" s="2"/>
      <c r="L36" s="2"/>
      <c r="M36" s="2"/>
    </row>
    <row r="37" spans="1:13" s="3" customFormat="1" x14ac:dyDescent="0.3">
      <c r="A37" s="16" t="s">
        <v>19</v>
      </c>
      <c r="B37">
        <v>1</v>
      </c>
      <c r="C37" s="76" t="s">
        <v>161</v>
      </c>
      <c r="D37" s="75">
        <f>3600/2400</f>
        <v>1.5</v>
      </c>
      <c r="E37" s="76" t="s">
        <v>157</v>
      </c>
      <c r="F37" s="2"/>
      <c r="G37" s="2"/>
      <c r="H37" s="2"/>
      <c r="I37" s="2"/>
      <c r="J37" s="2"/>
      <c r="K37" s="2"/>
      <c r="L37" s="2"/>
      <c r="M37" s="2"/>
    </row>
    <row r="38" spans="1:13" s="3" customFormat="1" x14ac:dyDescent="0.3">
      <c r="A38" s="16"/>
      <c r="B38" s="20"/>
      <c r="C38" s="20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3" customFormat="1" x14ac:dyDescent="0.3">
      <c r="A39" s="16"/>
      <c r="B39" s="20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s="3" customFormat="1" x14ac:dyDescent="0.3">
      <c r="A40" s="16"/>
      <c r="B40" s="20"/>
      <c r="C40" s="20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s="3" customFormat="1" x14ac:dyDescent="0.3">
      <c r="A41" s="16"/>
      <c r="B41" s="20"/>
      <c r="C41" s="20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s="3" customFormat="1" x14ac:dyDescent="0.3">
      <c r="A42" s="16"/>
      <c r="B42" s="20"/>
      <c r="C42" s="20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s="3" customFormat="1" x14ac:dyDescent="0.3">
      <c r="A43" s="16"/>
      <c r="B43" s="20"/>
      <c r="C43" s="20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s="3" customFormat="1" x14ac:dyDescent="0.3">
      <c r="A44" s="16"/>
      <c r="B44" s="20"/>
      <c r="C44" s="20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s="3" customFormat="1" x14ac:dyDescent="0.3">
      <c r="A45" s="16"/>
      <c r="B45" s="20"/>
      <c r="C45" s="20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s="3" customFormat="1" x14ac:dyDescent="0.3">
      <c r="A46" s="16"/>
      <c r="B46" s="20"/>
      <c r="C46" s="20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s="3" customFormat="1" x14ac:dyDescent="0.3">
      <c r="A47" s="16"/>
      <c r="B47" s="20"/>
      <c r="C47" s="20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s="3" customFormat="1" x14ac:dyDescent="0.3">
      <c r="A48" s="16"/>
      <c r="B48" s="20"/>
      <c r="C48" s="20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s="3" customFormat="1" x14ac:dyDescent="0.3">
      <c r="A49" s="16"/>
      <c r="B49" s="20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s="3" customFormat="1" x14ac:dyDescent="0.3">
      <c r="A50" s="16"/>
      <c r="B50" s="20"/>
      <c r="C50" s="20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s="3" customFormat="1" x14ac:dyDescent="0.3">
      <c r="A51" s="16"/>
      <c r="B51" s="20"/>
      <c r="C51" s="20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s="3" customFormat="1" x14ac:dyDescent="0.3">
      <c r="A52" s="16"/>
      <c r="B52" s="20"/>
      <c r="C52" s="20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s="3" customFormat="1" x14ac:dyDescent="0.3">
      <c r="A53" s="16"/>
      <c r="B53" s="20"/>
      <c r="C53" s="20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s="3" customFormat="1" x14ac:dyDescent="0.3">
      <c r="A54" s="16"/>
      <c r="B54" s="20"/>
      <c r="C54" s="20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s="3" customFormat="1" x14ac:dyDescent="0.3">
      <c r="A55" s="16"/>
      <c r="B55" s="20"/>
      <c r="C55" s="20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s="3" customFormat="1" x14ac:dyDescent="0.3">
      <c r="A56" s="16"/>
      <c r="B56" s="20"/>
      <c r="C56" s="20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s="3" customFormat="1" x14ac:dyDescent="0.3">
      <c r="A57" s="16"/>
      <c r="B57" s="20"/>
      <c r="C57" s="20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s="3" customFormat="1" x14ac:dyDescent="0.3">
      <c r="A58" s="16"/>
      <c r="B58" s="20"/>
      <c r="C58" s="20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s="3" customFormat="1" x14ac:dyDescent="0.3">
      <c r="A59" s="16"/>
      <c r="B59" s="20"/>
      <c r="C59" s="20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s="3" customFormat="1" x14ac:dyDescent="0.3">
      <c r="A60" s="16"/>
      <c r="B60" s="20"/>
      <c r="C60" s="20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3" customFormat="1" x14ac:dyDescent="0.3">
      <c r="A61" s="16"/>
      <c r="B61" s="20"/>
      <c r="C61" s="20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s="3" customFormat="1" x14ac:dyDescent="0.3">
      <c r="A62" s="16"/>
      <c r="B62" s="20"/>
      <c r="C62" s="20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s="3" customFormat="1" x14ac:dyDescent="0.3">
      <c r="A63" s="16"/>
      <c r="B63" s="20"/>
      <c r="C63" s="20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s="3" customFormat="1" x14ac:dyDescent="0.3">
      <c r="A64" s="16"/>
      <c r="B64" s="20"/>
      <c r="C64" s="20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s="3" customFormat="1" x14ac:dyDescent="0.3">
      <c r="A65" s="16"/>
      <c r="B65" s="20"/>
      <c r="C65" s="20"/>
    </row>
    <row r="66" spans="1:13" s="3" customFormat="1" x14ac:dyDescent="0.3">
      <c r="A66" s="16"/>
      <c r="B66" s="20"/>
      <c r="C66" s="20"/>
    </row>
    <row r="67" spans="1:13" s="3" customFormat="1" x14ac:dyDescent="0.3">
      <c r="A67" s="16"/>
      <c r="B67" s="20"/>
      <c r="C67" s="20"/>
    </row>
    <row r="68" spans="1:13" s="3" customFormat="1" x14ac:dyDescent="0.3">
      <c r="A68" s="16"/>
      <c r="B68" s="20"/>
      <c r="C68" s="20"/>
    </row>
    <row r="69" spans="1:13" s="3" customFormat="1" x14ac:dyDescent="0.3">
      <c r="A69" s="16"/>
      <c r="B69" s="20"/>
      <c r="C69" s="20"/>
    </row>
    <row r="70" spans="1:13" s="3" customFormat="1" x14ac:dyDescent="0.3">
      <c r="A70" s="16"/>
      <c r="B70" s="20"/>
      <c r="C70" s="20"/>
    </row>
    <row r="71" spans="1:13" s="3" customFormat="1" x14ac:dyDescent="0.3">
      <c r="A71" s="16"/>
      <c r="B71" s="20"/>
      <c r="C71" s="20"/>
    </row>
    <row r="72" spans="1:13" s="3" customFormat="1" x14ac:dyDescent="0.3">
      <c r="A72" s="16"/>
      <c r="B72" s="20"/>
      <c r="C72" s="20"/>
    </row>
    <row r="73" spans="1:13" s="3" customFormat="1" x14ac:dyDescent="0.3">
      <c r="A73" s="16"/>
      <c r="B73" s="20"/>
      <c r="C73" s="20"/>
    </row>
    <row r="74" spans="1:13" s="3" customFormat="1" x14ac:dyDescent="0.3">
      <c r="A74" s="16"/>
      <c r="B74" s="20"/>
      <c r="C74" s="20"/>
    </row>
    <row r="75" spans="1:13" s="3" customFormat="1" x14ac:dyDescent="0.3">
      <c r="A75" s="16"/>
      <c r="B75" s="20"/>
      <c r="C75" s="20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s="3" customFormat="1" x14ac:dyDescent="0.3">
      <c r="A76" s="16"/>
      <c r="B76" s="20"/>
      <c r="C76" s="20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s="3" customFormat="1" x14ac:dyDescent="0.3">
      <c r="A77" s="16"/>
      <c r="B77" s="20"/>
      <c r="C77" s="20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s="3" customFormat="1" x14ac:dyDescent="0.3">
      <c r="A78" s="16"/>
      <c r="B78" s="20"/>
      <c r="C78" s="20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s="3" customFormat="1" x14ac:dyDescent="0.3">
      <c r="A79" s="16"/>
      <c r="B79" s="20"/>
      <c r="C79" s="20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s="3" customFormat="1" x14ac:dyDescent="0.3">
      <c r="A80" s="16"/>
      <c r="B80" s="20"/>
      <c r="C80" s="20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s="3" customFormat="1" x14ac:dyDescent="0.3">
      <c r="A81" s="16"/>
      <c r="B81" s="20"/>
      <c r="C81" s="20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s="3" customFormat="1" x14ac:dyDescent="0.3">
      <c r="A82" s="16"/>
      <c r="B82" s="20"/>
      <c r="C82" s="20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s="3" customFormat="1" x14ac:dyDescent="0.3">
      <c r="A83" s="16"/>
      <c r="B83" s="20"/>
      <c r="C83" s="20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s="3" customFormat="1" x14ac:dyDescent="0.3">
      <c r="A84" s="16"/>
      <c r="B84" s="20"/>
      <c r="C84" s="20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s="3" customFormat="1" x14ac:dyDescent="0.3">
      <c r="A85" s="16"/>
      <c r="B85" s="20"/>
      <c r="C85" s="20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s="3" customFormat="1" x14ac:dyDescent="0.3">
      <c r="A86" s="16"/>
      <c r="B86" s="20"/>
      <c r="C86" s="20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s="3" customFormat="1" x14ac:dyDescent="0.3">
      <c r="A87" s="16"/>
      <c r="B87" s="20"/>
      <c r="C87" s="20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s="3" customFormat="1" x14ac:dyDescent="0.3">
      <c r="A88" s="16"/>
      <c r="B88" s="20"/>
      <c r="C88" s="20"/>
    </row>
    <row r="89" spans="1:13" s="3" customFormat="1" x14ac:dyDescent="0.3">
      <c r="A89" s="16"/>
      <c r="B89" s="20"/>
      <c r="C89" s="20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s="3" customFormat="1" x14ac:dyDescent="0.3">
      <c r="A90" s="16"/>
      <c r="B90" s="20"/>
      <c r="C90" s="20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s="3" customFormat="1" x14ac:dyDescent="0.3">
      <c r="A91" s="16"/>
      <c r="B91" s="20"/>
      <c r="C91" s="20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s="3" customFormat="1" x14ac:dyDescent="0.3">
      <c r="A92" s="16"/>
      <c r="B92" s="20"/>
      <c r="C92" s="20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s="3" customFormat="1" x14ac:dyDescent="0.3">
      <c r="A93" s="16"/>
      <c r="B93" s="20"/>
      <c r="C93" s="20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s="3" customFormat="1" x14ac:dyDescent="0.3">
      <c r="A94" s="16"/>
      <c r="B94" s="20"/>
      <c r="C94" s="20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s="3" customFormat="1" x14ac:dyDescent="0.3">
      <c r="A95" s="16"/>
      <c r="B95" s="20"/>
      <c r="C95" s="20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s="3" customFormat="1" x14ac:dyDescent="0.3">
      <c r="A96" s="16"/>
      <c r="B96" s="20"/>
      <c r="C96" s="20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s="3" customFormat="1" x14ac:dyDescent="0.3">
      <c r="A97" s="16"/>
      <c r="B97" s="20"/>
      <c r="C97" s="20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3" customFormat="1" x14ac:dyDescent="0.3">
      <c r="A98" s="16"/>
      <c r="B98" s="20"/>
      <c r="C98" s="20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s="3" customFormat="1" x14ac:dyDescent="0.3">
      <c r="A99" s="16"/>
      <c r="B99" s="20"/>
      <c r="C99" s="20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s="3" customFormat="1" x14ac:dyDescent="0.3">
      <c r="A100" s="16"/>
      <c r="B100" s="20"/>
      <c r="C100" s="20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s="3" customFormat="1" x14ac:dyDescent="0.3">
      <c r="A101" s="16"/>
      <c r="B101" s="20"/>
      <c r="C101" s="20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s="3" customFormat="1" x14ac:dyDescent="0.3">
      <c r="A102" s="16"/>
      <c r="B102" s="20"/>
      <c r="C102" s="20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s="3" customFormat="1" x14ac:dyDescent="0.3">
      <c r="A103" s="16"/>
      <c r="B103" s="20"/>
      <c r="C103" s="20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s="3" customFormat="1" x14ac:dyDescent="0.3">
      <c r="A104" s="16"/>
      <c r="B104" s="20"/>
      <c r="C104" s="20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s="3" customFormat="1" x14ac:dyDescent="0.3">
      <c r="A105" s="16"/>
      <c r="B105" s="20"/>
      <c r="C105" s="20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s="3" customFormat="1" x14ac:dyDescent="0.3">
      <c r="A106" s="16"/>
      <c r="B106" s="20"/>
      <c r="C106" s="20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s="3" customFormat="1" x14ac:dyDescent="0.3">
      <c r="A107" s="16"/>
      <c r="B107" s="20"/>
      <c r="C107" s="20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s="3" customFormat="1" x14ac:dyDescent="0.3">
      <c r="A108" s="16"/>
      <c r="B108" s="20"/>
      <c r="C108" s="20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s="3" customFormat="1" x14ac:dyDescent="0.3">
      <c r="A109" s="16"/>
      <c r="B109" s="20"/>
      <c r="C109" s="20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s="3" customFormat="1" x14ac:dyDescent="0.3">
      <c r="A110" s="16"/>
      <c r="B110" s="20"/>
      <c r="C110" s="20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s="3" customFormat="1" x14ac:dyDescent="0.3">
      <c r="A111" s="16"/>
      <c r="B111" s="20"/>
      <c r="C111" s="20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s="3" customFormat="1" x14ac:dyDescent="0.3">
      <c r="A112" s="16"/>
      <c r="B112" s="20"/>
      <c r="C112" s="20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s="3" customFormat="1" x14ac:dyDescent="0.3">
      <c r="A113" s="16"/>
      <c r="B113" s="20"/>
      <c r="C113" s="20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s="3" customFormat="1" x14ac:dyDescent="0.3">
      <c r="A114" s="16"/>
      <c r="B114" s="20"/>
      <c r="C114" s="20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s="3" customFormat="1" x14ac:dyDescent="0.3">
      <c r="A115" s="16"/>
      <c r="B115" s="20"/>
      <c r="C115" s="20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s="3" customFormat="1" x14ac:dyDescent="0.3">
      <c r="A116" s="16"/>
      <c r="B116" s="20"/>
      <c r="C116" s="20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s="3" customFormat="1" x14ac:dyDescent="0.3">
      <c r="A117" s="16"/>
      <c r="B117" s="20"/>
      <c r="C117" s="20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s="3" customFormat="1" x14ac:dyDescent="0.3">
      <c r="A118" s="16"/>
      <c r="B118" s="20"/>
      <c r="C118" s="20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s="3" customFormat="1" x14ac:dyDescent="0.3">
      <c r="A119" s="16"/>
      <c r="B119" s="20"/>
      <c r="C119" s="20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s="3" customFormat="1" x14ac:dyDescent="0.3">
      <c r="A120" s="16"/>
      <c r="B120" s="20"/>
      <c r="C120" s="20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s="3" customFormat="1" x14ac:dyDescent="0.3">
      <c r="A121" s="16"/>
      <c r="B121" s="20"/>
      <c r="C121" s="20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s="3" customFormat="1" x14ac:dyDescent="0.3">
      <c r="A122" s="16"/>
      <c r="B122" s="20"/>
      <c r="C122" s="20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s="3" customFormat="1" x14ac:dyDescent="0.3">
      <c r="A123" s="16"/>
      <c r="B123" s="20"/>
      <c r="C123" s="20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s="3" customFormat="1" x14ac:dyDescent="0.3">
      <c r="A124" s="16"/>
      <c r="B124" s="20"/>
      <c r="C124" s="20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s="3" customFormat="1" x14ac:dyDescent="0.3">
      <c r="A125" s="16"/>
      <c r="B125" s="20"/>
      <c r="C125" s="20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s="3" customFormat="1" x14ac:dyDescent="0.3">
      <c r="A126" s="16"/>
      <c r="B126" s="20"/>
      <c r="C126" s="20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s="3" customFormat="1" x14ac:dyDescent="0.3">
      <c r="A127" s="16"/>
      <c r="B127" s="20"/>
      <c r="C127" s="20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s="3" customFormat="1" x14ac:dyDescent="0.3">
      <c r="A128" s="16"/>
      <c r="B128" s="20"/>
      <c r="C128" s="20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s="3" customFormat="1" x14ac:dyDescent="0.3">
      <c r="A129" s="16"/>
      <c r="B129" s="20"/>
      <c r="C129" s="20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s="3" customFormat="1" x14ac:dyDescent="0.3">
      <c r="A130" s="16"/>
      <c r="B130" s="20"/>
      <c r="C130" s="20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s="3" customFormat="1" x14ac:dyDescent="0.3">
      <c r="A131" s="16"/>
      <c r="B131" s="20"/>
      <c r="C131" s="20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s="3" customFormat="1" x14ac:dyDescent="0.3">
      <c r="A132" s="16"/>
      <c r="B132" s="20"/>
      <c r="C132" s="20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s="3" customFormat="1" x14ac:dyDescent="0.3">
      <c r="A133" s="16"/>
      <c r="B133" s="20"/>
      <c r="C133" s="20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s="3" customFormat="1" x14ac:dyDescent="0.3">
      <c r="A134" s="16"/>
      <c r="B134" s="20"/>
      <c r="C134" s="20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s="3" customFormat="1" x14ac:dyDescent="0.3">
      <c r="A135" s="16"/>
      <c r="B135" s="20"/>
      <c r="C135" s="20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s="3" customFormat="1" x14ac:dyDescent="0.3">
      <c r="A136" s="16"/>
      <c r="B136" s="20"/>
      <c r="C136" s="20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s="3" customFormat="1" x14ac:dyDescent="0.3">
      <c r="A137" s="16"/>
      <c r="B137" s="20"/>
      <c r="C137" s="20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3" customFormat="1" x14ac:dyDescent="0.3">
      <c r="A138" s="16"/>
      <c r="B138" s="20"/>
      <c r="C138" s="20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s="3" customFormat="1" x14ac:dyDescent="0.3">
      <c r="A139" s="16"/>
      <c r="B139" s="20"/>
      <c r="C139" s="20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s="3" customFormat="1" x14ac:dyDescent="0.3">
      <c r="A140" s="16"/>
      <c r="B140" s="20"/>
      <c r="C140" s="20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s="3" customFormat="1" x14ac:dyDescent="0.3">
      <c r="A141" s="16"/>
      <c r="B141" s="20"/>
      <c r="C141" s="20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3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3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3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3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3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3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3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3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3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3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3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3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3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3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3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3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3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3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3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3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3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3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3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3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3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3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3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3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3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3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3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3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3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3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3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3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3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3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3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3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3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3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3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3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3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4:13" x14ac:dyDescent="0.3"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4:13" x14ac:dyDescent="0.3"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4:13" x14ac:dyDescent="0.3"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4:13" x14ac:dyDescent="0.3"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4:13" x14ac:dyDescent="0.3"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4:13" x14ac:dyDescent="0.3"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4:13" x14ac:dyDescent="0.3"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4:13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4:13" x14ac:dyDescent="0.3"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4:13" x14ac:dyDescent="0.3"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4:13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4:13" x14ac:dyDescent="0.3"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4:13" x14ac:dyDescent="0.3"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4:13" x14ac:dyDescent="0.3"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4:13" x14ac:dyDescent="0.3"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4:13" x14ac:dyDescent="0.3"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4:13" x14ac:dyDescent="0.3"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4:13" x14ac:dyDescent="0.3"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4:13" x14ac:dyDescent="0.3"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4:13" x14ac:dyDescent="0.3"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4:13" x14ac:dyDescent="0.3"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4:13" x14ac:dyDescent="0.3">
      <c r="D215" s="1"/>
      <c r="E215" s="1"/>
      <c r="F215" s="1"/>
      <c r="G215" s="1"/>
      <c r="H215" s="1"/>
      <c r="I215" s="1"/>
      <c r="J215" s="1"/>
      <c r="K215" s="1"/>
      <c r="L215" s="1"/>
      <c r="M215" s="1"/>
    </row>
  </sheetData>
  <mergeCells count="6">
    <mergeCell ref="J2:L2"/>
    <mergeCell ref="A29:A30"/>
    <mergeCell ref="B2:B3"/>
    <mergeCell ref="C2:C3"/>
    <mergeCell ref="D2:F2"/>
    <mergeCell ref="G2:I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2" sqref="G42"/>
    </sheetView>
  </sheetViews>
  <sheetFormatPr defaultRowHeight="14.4" x14ac:dyDescent="0.3"/>
  <cols>
    <col min="1" max="1" width="42.33203125" style="5" customWidth="1"/>
    <col min="2" max="2" width="9.6640625" style="20" customWidth="1"/>
    <col min="3" max="3" width="14.77734375" customWidth="1"/>
    <col min="4" max="4" width="15.21875" bestFit="1" customWidth="1"/>
    <col min="5" max="5" width="15.21875" customWidth="1"/>
    <col min="6" max="6" width="14.77734375" customWidth="1"/>
    <col min="7" max="7" width="15.21875" bestFit="1" customWidth="1"/>
    <col min="8" max="8" width="15.21875" customWidth="1"/>
    <col min="9" max="9" width="14.77734375" customWidth="1"/>
    <col min="10" max="10" width="15.21875" bestFit="1" customWidth="1"/>
    <col min="11" max="11" width="13.77734375" customWidth="1"/>
  </cols>
  <sheetData>
    <row r="2" spans="1:11" s="7" customFormat="1" ht="15.6" customHeight="1" x14ac:dyDescent="0.3">
      <c r="A2" s="17"/>
      <c r="B2" s="95" t="s">
        <v>1</v>
      </c>
      <c r="C2" s="93" t="s">
        <v>38</v>
      </c>
      <c r="D2" s="93"/>
      <c r="E2" s="93"/>
      <c r="F2" s="93" t="s">
        <v>21</v>
      </c>
      <c r="G2" s="93"/>
      <c r="H2" s="93"/>
      <c r="I2" s="93" t="s">
        <v>35</v>
      </c>
      <c r="J2" s="93"/>
      <c r="K2" s="93"/>
    </row>
    <row r="3" spans="1:11" s="7" customFormat="1" ht="15.6" x14ac:dyDescent="0.3">
      <c r="A3" s="18" t="s">
        <v>0</v>
      </c>
      <c r="B3" s="95"/>
      <c r="C3" s="8" t="s">
        <v>2</v>
      </c>
      <c r="D3" s="9" t="s">
        <v>13</v>
      </c>
      <c r="E3" s="9" t="s">
        <v>15</v>
      </c>
      <c r="F3" s="8" t="s">
        <v>2</v>
      </c>
      <c r="G3" s="9" t="s">
        <v>13</v>
      </c>
      <c r="H3" s="9" t="s">
        <v>15</v>
      </c>
      <c r="I3" s="8" t="s">
        <v>2</v>
      </c>
      <c r="J3" s="9" t="s">
        <v>13</v>
      </c>
      <c r="K3" s="9" t="s">
        <v>15</v>
      </c>
    </row>
    <row r="4" spans="1:11" s="3" customFormat="1" x14ac:dyDescent="0.3">
      <c r="A4" s="16" t="s">
        <v>11</v>
      </c>
      <c r="B4" s="21" t="s">
        <v>164</v>
      </c>
      <c r="C4" s="19">
        <v>2500</v>
      </c>
      <c r="D4" s="19">
        <v>202100</v>
      </c>
      <c r="E4" s="58">
        <f>D4/C4</f>
        <v>80.84</v>
      </c>
      <c r="F4" s="19">
        <v>2145</v>
      </c>
      <c r="G4" s="19">
        <v>244000</v>
      </c>
      <c r="H4" s="58">
        <f>G4/F4</f>
        <v>113.75291375291376</v>
      </c>
      <c r="I4" s="19">
        <v>2557</v>
      </c>
      <c r="J4" s="19">
        <v>218000</v>
      </c>
      <c r="K4" s="58">
        <f>J4/I4</f>
        <v>85.256159561986706</v>
      </c>
    </row>
    <row r="5" spans="1:11" s="3" customFormat="1" x14ac:dyDescent="0.3">
      <c r="A5" s="16" t="s">
        <v>191</v>
      </c>
      <c r="B5" s="21" t="s">
        <v>164</v>
      </c>
      <c r="C5" s="19">
        <f>(46430+52230)/2</f>
        <v>49330</v>
      </c>
      <c r="D5" s="19">
        <f>(120400+133100)/2</f>
        <v>126750</v>
      </c>
      <c r="E5" s="58">
        <f t="shared" ref="E5:E9" si="0">D5/C5</f>
        <v>2.5694303669166834</v>
      </c>
      <c r="F5" s="19">
        <v>34820</v>
      </c>
      <c r="G5" s="19">
        <v>63000</v>
      </c>
      <c r="H5" s="58">
        <f t="shared" ref="H5:H9" si="1">G5/F5</f>
        <v>1.8093049971280872</v>
      </c>
      <c r="I5" s="19">
        <v>49406</v>
      </c>
      <c r="J5" s="19">
        <v>102664</v>
      </c>
      <c r="K5" s="58">
        <f t="shared" ref="K5:K9" si="2">J5/I5</f>
        <v>2.07796623891835</v>
      </c>
    </row>
    <row r="6" spans="1:11" s="3" customFormat="1" x14ac:dyDescent="0.3">
      <c r="A6" s="16" t="s">
        <v>193</v>
      </c>
      <c r="B6" s="21" t="s">
        <v>164</v>
      </c>
      <c r="C6" s="19">
        <v>23035</v>
      </c>
      <c r="D6" s="19">
        <v>25240</v>
      </c>
      <c r="E6" s="58">
        <f t="shared" si="0"/>
        <v>1.0957238984154547</v>
      </c>
      <c r="F6" s="19">
        <v>16020</v>
      </c>
      <c r="G6" s="19">
        <v>16560</v>
      </c>
      <c r="H6" s="58">
        <f t="shared" si="1"/>
        <v>1.0337078651685394</v>
      </c>
      <c r="I6" s="19">
        <v>32810</v>
      </c>
      <c r="J6" s="19">
        <v>45500</v>
      </c>
      <c r="K6" s="58">
        <f t="shared" si="2"/>
        <v>1.3867723255105151</v>
      </c>
    </row>
    <row r="7" spans="1:11" s="3" customFormat="1" x14ac:dyDescent="0.3">
      <c r="A7" s="16" t="s">
        <v>36</v>
      </c>
      <c r="B7" s="21" t="s">
        <v>164</v>
      </c>
      <c r="C7" s="19">
        <v>23500</v>
      </c>
      <c r="D7" s="19">
        <v>21040</v>
      </c>
      <c r="E7" s="58">
        <f t="shared" si="0"/>
        <v>0.89531914893617026</v>
      </c>
      <c r="F7" s="19">
        <v>11608</v>
      </c>
      <c r="G7" s="19">
        <v>24000</v>
      </c>
      <c r="H7" s="58">
        <f t="shared" si="1"/>
        <v>2.067539627842867</v>
      </c>
      <c r="I7" s="19">
        <v>8951</v>
      </c>
      <c r="J7" s="19">
        <v>22655</v>
      </c>
      <c r="K7" s="58">
        <f t="shared" si="2"/>
        <v>2.5310021226678585</v>
      </c>
    </row>
    <row r="8" spans="1:11" s="3" customFormat="1" x14ac:dyDescent="0.3">
      <c r="A8" s="16" t="s">
        <v>170</v>
      </c>
      <c r="B8" s="21" t="s">
        <v>164</v>
      </c>
      <c r="C8" s="19">
        <v>3200</v>
      </c>
      <c r="D8" s="19">
        <v>17200</v>
      </c>
      <c r="E8" s="58">
        <f t="shared" si="0"/>
        <v>5.375</v>
      </c>
      <c r="F8" s="19">
        <v>4062</v>
      </c>
      <c r="G8" s="19">
        <v>20000</v>
      </c>
      <c r="H8" s="58">
        <f t="shared" si="1"/>
        <v>4.9236829148202856</v>
      </c>
      <c r="I8" s="19">
        <v>3482</v>
      </c>
      <c r="J8" s="19">
        <v>13093</v>
      </c>
      <c r="K8" s="58">
        <f t="shared" si="2"/>
        <v>3.7601952900631819</v>
      </c>
    </row>
    <row r="9" spans="1:11" s="3" customFormat="1" x14ac:dyDescent="0.3">
      <c r="A9" s="16" t="s">
        <v>37</v>
      </c>
      <c r="B9" s="21" t="s">
        <v>164</v>
      </c>
      <c r="C9" s="19">
        <f>156000*F27</f>
        <v>3273.2142857142858</v>
      </c>
      <c r="D9" s="19">
        <v>24850</v>
      </c>
      <c r="E9" s="58">
        <f t="shared" si="0"/>
        <v>7.5919258046917619</v>
      </c>
      <c r="F9" s="19">
        <f>176600*F27</f>
        <v>3705.4464285714289</v>
      </c>
      <c r="G9" s="19">
        <v>19500</v>
      </c>
      <c r="H9" s="58">
        <f t="shared" si="1"/>
        <v>5.2625237946073584</v>
      </c>
      <c r="I9" s="19">
        <f>161350*F27</f>
        <v>3385.4687500000005</v>
      </c>
      <c r="J9" s="19">
        <v>9300</v>
      </c>
      <c r="K9" s="58">
        <f t="shared" si="2"/>
        <v>2.7470346610052148</v>
      </c>
    </row>
    <row r="10" spans="1:11" s="3" customFormat="1" x14ac:dyDescent="0.3">
      <c r="A10" s="15" t="s">
        <v>8</v>
      </c>
      <c r="B10" s="21"/>
      <c r="C10" s="19"/>
      <c r="D10" s="19">
        <v>417180</v>
      </c>
      <c r="E10" s="19"/>
      <c r="F10" s="19"/>
      <c r="G10" s="19">
        <v>387060</v>
      </c>
      <c r="H10" s="19"/>
      <c r="I10" s="19"/>
      <c r="J10" s="19">
        <v>411212</v>
      </c>
    </row>
    <row r="11" spans="1:11" s="3" customFormat="1" x14ac:dyDescent="0.3">
      <c r="A11" s="16"/>
      <c r="B11" s="21"/>
    </row>
    <row r="12" spans="1:11" s="3" customFormat="1" x14ac:dyDescent="0.3">
      <c r="A12" s="16"/>
      <c r="B12" s="21"/>
    </row>
    <row r="13" spans="1:11" s="3" customFormat="1" x14ac:dyDescent="0.3">
      <c r="A13" s="16"/>
      <c r="B13" s="21"/>
      <c r="K13"/>
    </row>
    <row r="14" spans="1:11" s="3" customFormat="1" ht="15" customHeight="1" x14ac:dyDescent="0.3">
      <c r="A14" s="30" t="s">
        <v>42</v>
      </c>
      <c r="B14" s="16"/>
      <c r="E14" s="16"/>
      <c r="F14" s="24"/>
      <c r="G14" s="24"/>
      <c r="H14" s="35"/>
      <c r="I14" s="93"/>
      <c r="J14" s="93"/>
    </row>
    <row r="15" spans="1:11" s="3" customFormat="1" ht="15" customHeight="1" x14ac:dyDescent="0.3">
      <c r="A15" s="16"/>
      <c r="B15" s="16">
        <v>1</v>
      </c>
      <c r="C15" s="4" t="s">
        <v>149</v>
      </c>
      <c r="D15" s="6">
        <v>108</v>
      </c>
      <c r="E15" s="4" t="s">
        <v>49</v>
      </c>
    </row>
    <row r="16" spans="1:11" s="3" customFormat="1" x14ac:dyDescent="0.3">
      <c r="A16" s="16"/>
      <c r="B16" s="16">
        <v>1</v>
      </c>
      <c r="C16" s="4" t="s">
        <v>150</v>
      </c>
      <c r="D16" s="6">
        <v>32.5</v>
      </c>
      <c r="E16" s="4" t="s">
        <v>49</v>
      </c>
    </row>
    <row r="17" spans="1:7" s="3" customFormat="1" x14ac:dyDescent="0.3">
      <c r="A17" s="5"/>
      <c r="B17" s="16">
        <v>1</v>
      </c>
      <c r="C17" s="4" t="s">
        <v>10</v>
      </c>
      <c r="D17" s="6">
        <v>112</v>
      </c>
      <c r="E17" s="4" t="s">
        <v>151</v>
      </c>
    </row>
    <row r="18" spans="1:7" s="3" customFormat="1" x14ac:dyDescent="0.3">
      <c r="A18" s="16"/>
      <c r="B18" s="96">
        <v>1</v>
      </c>
      <c r="C18" s="97" t="s">
        <v>152</v>
      </c>
      <c r="D18" s="98">
        <v>130</v>
      </c>
      <c r="E18" s="99" t="s">
        <v>49</v>
      </c>
    </row>
    <row r="19" spans="1:7" s="3" customFormat="1" x14ac:dyDescent="0.3">
      <c r="A19" s="16"/>
      <c r="B19" s="96"/>
      <c r="C19" s="97"/>
      <c r="D19" s="98"/>
      <c r="E19" s="99"/>
    </row>
    <row r="20" spans="1:7" s="3" customFormat="1" x14ac:dyDescent="0.3">
      <c r="A20" s="16"/>
      <c r="B20" s="17">
        <v>1</v>
      </c>
      <c r="C20" s="4" t="s">
        <v>153</v>
      </c>
      <c r="D20" s="6">
        <v>260</v>
      </c>
      <c r="E20" s="4" t="s">
        <v>49</v>
      </c>
    </row>
    <row r="21" spans="1:7" s="3" customFormat="1" x14ac:dyDescent="0.3">
      <c r="A21" s="16"/>
      <c r="B21" s="17">
        <v>1</v>
      </c>
      <c r="C21" s="4" t="s">
        <v>196</v>
      </c>
      <c r="D21" s="6">
        <f>D18/D17</f>
        <v>1.1607142857142858</v>
      </c>
      <c r="E21" s="4" t="s">
        <v>10</v>
      </c>
    </row>
    <row r="22" spans="1:7" s="3" customFormat="1" x14ac:dyDescent="0.3">
      <c r="A22" s="16"/>
      <c r="B22" s="17">
        <v>1</v>
      </c>
      <c r="C22" s="4" t="s">
        <v>153</v>
      </c>
      <c r="D22" s="6">
        <f>D20/D17</f>
        <v>2.3214285714285716</v>
      </c>
      <c r="E22" s="4" t="s">
        <v>10</v>
      </c>
    </row>
    <row r="23" spans="1:7" s="3" customFormat="1" x14ac:dyDescent="0.3">
      <c r="A23" s="16"/>
      <c r="B23" s="21"/>
    </row>
    <row r="24" spans="1:7" s="3" customFormat="1" x14ac:dyDescent="0.3">
      <c r="A24" s="16"/>
      <c r="B24" s="21"/>
    </row>
    <row r="25" spans="1:7" s="3" customFormat="1" x14ac:dyDescent="0.3">
      <c r="A25" s="100" t="s">
        <v>154</v>
      </c>
      <c r="B25">
        <v>1</v>
      </c>
      <c r="C25" s="4" t="s">
        <v>155</v>
      </c>
      <c r="D25" s="75">
        <v>1</v>
      </c>
      <c r="E25" s="4" t="s">
        <v>156</v>
      </c>
      <c r="F25" s="6">
        <f>F26</f>
        <v>3.0446428571428572</v>
      </c>
      <c r="G25" s="4" t="s">
        <v>157</v>
      </c>
    </row>
    <row r="26" spans="1:7" s="3" customFormat="1" x14ac:dyDescent="0.3">
      <c r="A26" s="100"/>
      <c r="B26">
        <v>1</v>
      </c>
      <c r="C26" s="4" t="s">
        <v>156</v>
      </c>
      <c r="D26" s="75">
        <f>(355+327)/2</f>
        <v>341</v>
      </c>
      <c r="E26" s="4" t="s">
        <v>49</v>
      </c>
      <c r="F26" s="6">
        <f>D26/D17</f>
        <v>3.0446428571428572</v>
      </c>
      <c r="G26" s="4" t="s">
        <v>157</v>
      </c>
    </row>
    <row r="27" spans="1:7" s="3" customFormat="1" x14ac:dyDescent="0.3">
      <c r="A27" s="100"/>
      <c r="B27">
        <v>1</v>
      </c>
      <c r="C27" s="76" t="s">
        <v>158</v>
      </c>
      <c r="D27" s="75">
        <f>(2.2+2.5)/2</f>
        <v>2.35</v>
      </c>
      <c r="E27" s="4" t="s">
        <v>49</v>
      </c>
      <c r="F27" s="6">
        <f>D27/D17</f>
        <v>2.0982142857142859E-2</v>
      </c>
      <c r="G27" s="4" t="s">
        <v>157</v>
      </c>
    </row>
    <row r="28" spans="1:7" s="3" customFormat="1" x14ac:dyDescent="0.3"/>
    <row r="29" spans="1:7" s="3" customFormat="1" x14ac:dyDescent="0.3">
      <c r="A29" s="16"/>
      <c r="B29" s="20"/>
    </row>
    <row r="30" spans="1:7" s="3" customFormat="1" x14ac:dyDescent="0.3">
      <c r="A30" s="16"/>
      <c r="B30" s="20"/>
    </row>
    <row r="31" spans="1:7" s="3" customFormat="1" x14ac:dyDescent="0.3">
      <c r="A31" s="16"/>
      <c r="B31" s="20"/>
    </row>
    <row r="32" spans="1:7" s="3" customFormat="1" x14ac:dyDescent="0.3">
      <c r="A32" s="16"/>
      <c r="B32" s="20"/>
    </row>
    <row r="33" spans="1:11" s="3" customFormat="1" x14ac:dyDescent="0.3">
      <c r="A33" s="16"/>
      <c r="B33" s="20"/>
      <c r="K33" s="2"/>
    </row>
    <row r="34" spans="1:11" s="3" customFormat="1" x14ac:dyDescent="0.3">
      <c r="A34" s="16"/>
      <c r="B34" s="20"/>
      <c r="K34" s="2"/>
    </row>
    <row r="35" spans="1:11" s="3" customFormat="1" x14ac:dyDescent="0.3">
      <c r="A35" s="16"/>
      <c r="B35" s="20"/>
      <c r="K35" s="2"/>
    </row>
    <row r="36" spans="1:11" s="3" customFormat="1" x14ac:dyDescent="0.3">
      <c r="A36" s="16"/>
      <c r="B36" s="20"/>
      <c r="K36" s="2"/>
    </row>
    <row r="37" spans="1:11" s="3" customFormat="1" x14ac:dyDescent="0.3">
      <c r="A37" s="16"/>
      <c r="B37" s="20"/>
      <c r="K37" s="2"/>
    </row>
    <row r="38" spans="1:11" s="3" customFormat="1" x14ac:dyDescent="0.3">
      <c r="A38" s="16"/>
      <c r="B38" s="20"/>
      <c r="K38" s="2"/>
    </row>
    <row r="39" spans="1:11" s="3" customFormat="1" x14ac:dyDescent="0.3">
      <c r="A39" s="16"/>
      <c r="B39" s="20"/>
      <c r="C39" s="2"/>
      <c r="D39" s="2"/>
      <c r="E39" s="2"/>
      <c r="F39" s="2"/>
      <c r="G39" s="2"/>
      <c r="H39" s="2"/>
      <c r="I39" s="2"/>
      <c r="J39" s="2"/>
    </row>
    <row r="40" spans="1:11" s="3" customFormat="1" x14ac:dyDescent="0.3">
      <c r="A40" s="16"/>
      <c r="B40" s="20"/>
      <c r="C40" s="2"/>
      <c r="D40" s="2"/>
      <c r="E40" s="2"/>
      <c r="F40" s="2"/>
      <c r="G40" s="2"/>
      <c r="H40" s="2"/>
      <c r="I40" s="2"/>
      <c r="J40" s="2"/>
      <c r="K40" s="2"/>
    </row>
    <row r="41" spans="1:11" s="3" customFormat="1" x14ac:dyDescent="0.3">
      <c r="A41" s="16"/>
      <c r="B41" s="20"/>
      <c r="C41" s="2"/>
      <c r="D41" s="2"/>
      <c r="E41" s="2"/>
      <c r="F41" s="2"/>
      <c r="G41" s="2"/>
      <c r="H41" s="2"/>
      <c r="I41" s="2"/>
      <c r="J41" s="2"/>
      <c r="K41" s="2"/>
    </row>
    <row r="42" spans="1:11" s="3" customFormat="1" x14ac:dyDescent="0.3">
      <c r="A42" s="16"/>
      <c r="B42" s="20"/>
      <c r="C42" s="2"/>
      <c r="D42" s="2"/>
      <c r="E42" s="2"/>
      <c r="F42" s="2"/>
      <c r="G42" s="2"/>
      <c r="H42" s="2"/>
      <c r="I42" s="2"/>
      <c r="J42" s="2"/>
      <c r="K42" s="2"/>
    </row>
    <row r="43" spans="1:11" s="3" customFormat="1" x14ac:dyDescent="0.3">
      <c r="A43" s="16"/>
      <c r="B43" s="20"/>
      <c r="C43" s="2"/>
      <c r="D43" s="2"/>
      <c r="E43" s="2"/>
      <c r="F43" s="2"/>
      <c r="G43" s="2"/>
      <c r="H43" s="2"/>
      <c r="I43" s="2"/>
      <c r="J43" s="2"/>
      <c r="K43" s="2"/>
    </row>
    <row r="44" spans="1:11" s="3" customFormat="1" x14ac:dyDescent="0.3">
      <c r="A44" s="16"/>
      <c r="B44" s="20"/>
      <c r="C44" s="2"/>
      <c r="D44" s="2"/>
      <c r="E44" s="2"/>
      <c r="F44" s="2"/>
      <c r="G44" s="2"/>
      <c r="H44" s="2"/>
      <c r="I44" s="2"/>
      <c r="J44" s="2"/>
      <c r="K44" s="2"/>
    </row>
    <row r="45" spans="1:11" s="3" customFormat="1" x14ac:dyDescent="0.3">
      <c r="A45" s="16"/>
      <c r="B45" s="20"/>
      <c r="C45" s="2"/>
      <c r="D45" s="2"/>
      <c r="E45" s="2"/>
      <c r="F45" s="2"/>
      <c r="G45" s="2"/>
      <c r="H45" s="2"/>
      <c r="I45" s="2"/>
      <c r="J45" s="2"/>
      <c r="K45" s="2"/>
    </row>
    <row r="46" spans="1:11" s="3" customFormat="1" x14ac:dyDescent="0.3">
      <c r="A46" s="16"/>
      <c r="B46" s="20"/>
      <c r="C46" s="2"/>
      <c r="D46" s="2"/>
      <c r="E46" s="2"/>
      <c r="F46" s="2"/>
      <c r="G46" s="2"/>
      <c r="H46" s="2"/>
      <c r="I46" s="2"/>
      <c r="J46" s="2"/>
      <c r="K46" s="2"/>
    </row>
    <row r="47" spans="1:11" s="3" customFormat="1" x14ac:dyDescent="0.3">
      <c r="A47" s="16"/>
      <c r="B47" s="20"/>
      <c r="C47" s="2"/>
      <c r="D47" s="2"/>
      <c r="E47" s="2"/>
      <c r="F47" s="2"/>
      <c r="G47" s="2"/>
      <c r="H47" s="2"/>
      <c r="I47" s="2"/>
      <c r="J47" s="2"/>
      <c r="K47" s="2"/>
    </row>
    <row r="48" spans="1:11" s="3" customFormat="1" x14ac:dyDescent="0.3">
      <c r="A48" s="16"/>
      <c r="B48" s="20"/>
      <c r="C48" s="2"/>
      <c r="D48" s="2"/>
      <c r="E48" s="2"/>
      <c r="F48" s="2"/>
      <c r="G48" s="2"/>
      <c r="H48" s="2"/>
      <c r="I48" s="2"/>
      <c r="J48" s="2"/>
      <c r="K48" s="2"/>
    </row>
    <row r="49" spans="1:11" s="3" customFormat="1" x14ac:dyDescent="0.3">
      <c r="A49" s="16"/>
      <c r="B49" s="20"/>
      <c r="C49" s="2"/>
      <c r="D49" s="2"/>
      <c r="E49" s="2"/>
      <c r="F49" s="2"/>
      <c r="G49" s="2"/>
      <c r="H49" s="2"/>
      <c r="I49" s="2"/>
      <c r="J49" s="2"/>
      <c r="K49" s="2"/>
    </row>
    <row r="50" spans="1:11" s="3" customFormat="1" x14ac:dyDescent="0.3">
      <c r="A50" s="16"/>
      <c r="B50" s="20"/>
      <c r="C50" s="2"/>
      <c r="D50" s="2"/>
      <c r="E50" s="2"/>
      <c r="F50" s="2"/>
      <c r="G50" s="2"/>
      <c r="H50" s="2"/>
      <c r="I50" s="2"/>
      <c r="J50" s="2"/>
      <c r="K50" s="2"/>
    </row>
    <row r="51" spans="1:11" s="3" customFormat="1" x14ac:dyDescent="0.3">
      <c r="A51" s="16"/>
      <c r="B51" s="20"/>
      <c r="C51" s="2"/>
      <c r="D51" s="2"/>
      <c r="E51" s="2"/>
      <c r="F51" s="2"/>
      <c r="G51" s="2"/>
      <c r="H51" s="2"/>
      <c r="I51" s="2"/>
      <c r="J51" s="2"/>
      <c r="K51" s="2"/>
    </row>
    <row r="52" spans="1:11" s="3" customFormat="1" x14ac:dyDescent="0.3">
      <c r="A52" s="16"/>
      <c r="B52" s="20"/>
      <c r="C52" s="2"/>
      <c r="D52" s="2"/>
      <c r="E52" s="2"/>
      <c r="F52" s="2"/>
      <c r="G52" s="2"/>
      <c r="H52" s="2"/>
      <c r="I52" s="2"/>
      <c r="J52" s="2"/>
      <c r="K52" s="2"/>
    </row>
    <row r="53" spans="1:11" s="3" customFormat="1" x14ac:dyDescent="0.3">
      <c r="A53" s="16"/>
      <c r="B53" s="20"/>
      <c r="C53" s="2"/>
      <c r="D53" s="2"/>
      <c r="E53" s="2"/>
      <c r="F53" s="2"/>
      <c r="G53" s="2"/>
      <c r="H53" s="2"/>
      <c r="I53" s="2"/>
      <c r="J53" s="2"/>
      <c r="K53" s="2"/>
    </row>
    <row r="54" spans="1:11" s="3" customFormat="1" x14ac:dyDescent="0.3">
      <c r="A54" s="16"/>
      <c r="B54" s="20"/>
      <c r="C54" s="2"/>
      <c r="D54" s="2"/>
      <c r="E54" s="2"/>
      <c r="F54" s="2"/>
      <c r="G54" s="2"/>
      <c r="H54" s="2"/>
      <c r="I54" s="2"/>
      <c r="J54" s="2"/>
      <c r="K54" s="2"/>
    </row>
    <row r="55" spans="1:11" s="3" customFormat="1" x14ac:dyDescent="0.3">
      <c r="A55" s="16"/>
      <c r="B55" s="20"/>
      <c r="C55" s="2"/>
      <c r="D55" s="2"/>
      <c r="E55" s="2"/>
      <c r="F55" s="2"/>
      <c r="G55" s="2"/>
      <c r="H55" s="2"/>
      <c r="I55" s="2"/>
      <c r="J55" s="2"/>
      <c r="K55" s="2"/>
    </row>
    <row r="56" spans="1:11" s="3" customFormat="1" x14ac:dyDescent="0.3">
      <c r="A56" s="16"/>
      <c r="B56" s="20"/>
      <c r="C56" s="2"/>
      <c r="D56" s="2"/>
      <c r="E56" s="2"/>
      <c r="F56" s="2"/>
      <c r="G56" s="2"/>
      <c r="H56" s="2"/>
      <c r="I56" s="2"/>
      <c r="J56" s="2"/>
      <c r="K56" s="2"/>
    </row>
    <row r="57" spans="1:11" s="3" customFormat="1" x14ac:dyDescent="0.3">
      <c r="A57" s="16"/>
      <c r="B57" s="20"/>
      <c r="C57" s="2"/>
      <c r="D57" s="2"/>
      <c r="E57" s="2"/>
      <c r="F57" s="2"/>
      <c r="G57" s="2"/>
      <c r="H57" s="2"/>
      <c r="I57" s="2"/>
      <c r="J57" s="2"/>
      <c r="K57" s="2"/>
    </row>
    <row r="58" spans="1:11" s="3" customFormat="1" x14ac:dyDescent="0.3">
      <c r="A58" s="16"/>
      <c r="B58" s="20"/>
      <c r="C58" s="2"/>
      <c r="D58" s="2"/>
      <c r="E58" s="2"/>
      <c r="F58" s="2"/>
      <c r="G58" s="2"/>
      <c r="H58" s="2"/>
      <c r="I58" s="2"/>
      <c r="J58" s="2"/>
    </row>
    <row r="59" spans="1:11" s="3" customFormat="1" x14ac:dyDescent="0.3">
      <c r="A59" s="16"/>
      <c r="B59" s="20"/>
      <c r="C59" s="2"/>
      <c r="D59" s="2"/>
      <c r="E59" s="2"/>
      <c r="F59" s="2"/>
      <c r="G59" s="2"/>
      <c r="H59" s="2"/>
      <c r="I59" s="2"/>
      <c r="J59" s="2"/>
    </row>
    <row r="60" spans="1:11" s="3" customFormat="1" x14ac:dyDescent="0.3">
      <c r="A60" s="16"/>
      <c r="B60" s="20"/>
      <c r="C60" s="2"/>
      <c r="D60" s="2"/>
      <c r="E60" s="2"/>
      <c r="F60" s="2"/>
      <c r="G60" s="2"/>
      <c r="H60" s="2"/>
      <c r="I60" s="2"/>
      <c r="J60" s="2"/>
      <c r="K60" s="2"/>
    </row>
    <row r="61" spans="1:11" s="3" customFormat="1" x14ac:dyDescent="0.3">
      <c r="A61" s="16"/>
      <c r="B61" s="20"/>
      <c r="C61" s="2"/>
      <c r="D61" s="2"/>
      <c r="E61" s="2"/>
      <c r="F61" s="2"/>
      <c r="G61" s="2"/>
      <c r="H61" s="2"/>
      <c r="I61" s="2"/>
      <c r="J61" s="2"/>
    </row>
    <row r="62" spans="1:11" s="3" customFormat="1" x14ac:dyDescent="0.3">
      <c r="A62" s="16"/>
      <c r="B62" s="20"/>
      <c r="C62" s="2"/>
      <c r="D62" s="2"/>
      <c r="E62" s="2"/>
      <c r="F62" s="2"/>
      <c r="G62" s="2"/>
      <c r="H62" s="2"/>
      <c r="I62" s="2"/>
      <c r="J62" s="2"/>
    </row>
    <row r="63" spans="1:11" s="3" customFormat="1" x14ac:dyDescent="0.3">
      <c r="A63" s="16"/>
      <c r="B63" s="20"/>
      <c r="C63" s="2"/>
      <c r="D63" s="2"/>
      <c r="E63" s="2"/>
      <c r="F63" s="2"/>
      <c r="G63" s="2"/>
      <c r="H63" s="2"/>
      <c r="I63" s="2"/>
      <c r="J63" s="2"/>
    </row>
    <row r="64" spans="1:11" s="3" customFormat="1" x14ac:dyDescent="0.3">
      <c r="A64" s="16"/>
      <c r="B64" s="20"/>
      <c r="C64" s="2"/>
      <c r="D64" s="2"/>
      <c r="E64" s="2"/>
      <c r="F64" s="2"/>
      <c r="G64" s="2"/>
      <c r="H64" s="2"/>
      <c r="I64" s="2"/>
      <c r="J64" s="2"/>
      <c r="K64" s="2"/>
    </row>
    <row r="65" spans="1:11" s="3" customFormat="1" x14ac:dyDescent="0.3">
      <c r="A65" s="16"/>
      <c r="B65" s="20"/>
      <c r="C65" s="2"/>
      <c r="D65" s="2"/>
      <c r="E65" s="2"/>
      <c r="F65" s="2"/>
      <c r="G65" s="2"/>
      <c r="H65" s="2"/>
      <c r="I65" s="2"/>
      <c r="J65" s="2"/>
      <c r="K65" s="2"/>
    </row>
    <row r="66" spans="1:11" s="3" customFormat="1" x14ac:dyDescent="0.3">
      <c r="A66" s="16"/>
      <c r="B66" s="20"/>
      <c r="C66" s="2"/>
      <c r="D66" s="2"/>
      <c r="E66" s="2"/>
      <c r="F66" s="2"/>
      <c r="G66" s="2"/>
      <c r="H66" s="2"/>
      <c r="I66" s="2"/>
      <c r="J66" s="2"/>
      <c r="K66" s="2"/>
    </row>
    <row r="67" spans="1:11" s="3" customFormat="1" x14ac:dyDescent="0.3">
      <c r="A67" s="16"/>
      <c r="B67" s="20"/>
      <c r="C67" s="2"/>
      <c r="D67" s="2"/>
      <c r="E67" s="2"/>
      <c r="F67" s="2"/>
      <c r="G67" s="2"/>
      <c r="H67" s="2"/>
      <c r="I67" s="2"/>
      <c r="J67" s="2"/>
      <c r="K67" s="2"/>
    </row>
    <row r="68" spans="1:11" s="3" customFormat="1" x14ac:dyDescent="0.3">
      <c r="A68" s="16"/>
      <c r="B68" s="20"/>
      <c r="C68" s="2"/>
      <c r="D68" s="2"/>
      <c r="E68" s="2"/>
      <c r="F68" s="2"/>
      <c r="G68" s="2"/>
      <c r="H68" s="2"/>
      <c r="I68" s="2"/>
      <c r="J68" s="2"/>
      <c r="K68" s="2"/>
    </row>
    <row r="69" spans="1:11" s="3" customFormat="1" x14ac:dyDescent="0.3">
      <c r="A69" s="16"/>
      <c r="B69" s="20"/>
      <c r="C69" s="2"/>
      <c r="D69" s="2"/>
      <c r="E69" s="2"/>
      <c r="F69" s="2"/>
      <c r="G69" s="2"/>
      <c r="H69" s="2"/>
      <c r="I69" s="2"/>
      <c r="J69" s="2"/>
      <c r="K69" s="2"/>
    </row>
    <row r="70" spans="1:11" s="3" customFormat="1" x14ac:dyDescent="0.3">
      <c r="A70" s="16"/>
      <c r="B70" s="20"/>
      <c r="C70" s="2"/>
      <c r="D70" s="2"/>
      <c r="E70" s="2"/>
      <c r="F70" s="2"/>
      <c r="G70" s="2"/>
      <c r="H70" s="2"/>
      <c r="I70" s="2"/>
      <c r="J70" s="2"/>
      <c r="K70" s="2"/>
    </row>
    <row r="71" spans="1:11" s="3" customFormat="1" x14ac:dyDescent="0.3">
      <c r="A71" s="16"/>
      <c r="B71" s="20"/>
      <c r="C71" s="2"/>
      <c r="D71" s="2"/>
      <c r="E71" s="2"/>
      <c r="F71" s="2"/>
      <c r="G71" s="2"/>
      <c r="H71" s="2"/>
      <c r="I71" s="2"/>
      <c r="J71" s="2"/>
      <c r="K71" s="2"/>
    </row>
    <row r="72" spans="1:11" s="3" customFormat="1" x14ac:dyDescent="0.3">
      <c r="A72" s="16"/>
      <c r="B72" s="20"/>
      <c r="C72" s="2"/>
      <c r="D72" s="2"/>
      <c r="E72" s="2"/>
      <c r="F72" s="2"/>
      <c r="G72" s="2"/>
      <c r="H72" s="2"/>
      <c r="I72" s="2"/>
      <c r="J72" s="2"/>
      <c r="K72" s="2"/>
    </row>
    <row r="73" spans="1:11" s="3" customFormat="1" x14ac:dyDescent="0.3">
      <c r="A73" s="16"/>
      <c r="B73" s="20"/>
      <c r="C73" s="2"/>
      <c r="D73" s="2"/>
      <c r="E73" s="2"/>
      <c r="F73" s="2"/>
      <c r="G73" s="2"/>
      <c r="H73" s="2"/>
      <c r="I73" s="2"/>
      <c r="J73" s="2"/>
      <c r="K73" s="2"/>
    </row>
    <row r="74" spans="1:11" s="3" customFormat="1" x14ac:dyDescent="0.3">
      <c r="A74" s="16"/>
      <c r="B74" s="20"/>
      <c r="C74" s="2"/>
      <c r="D74" s="2"/>
      <c r="E74" s="2"/>
      <c r="F74" s="2"/>
      <c r="G74" s="2"/>
      <c r="H74" s="2"/>
      <c r="I74" s="2"/>
      <c r="J74" s="2"/>
      <c r="K74" s="2"/>
    </row>
    <row r="75" spans="1:11" s="3" customFormat="1" x14ac:dyDescent="0.3">
      <c r="A75" s="16"/>
      <c r="B75" s="20"/>
      <c r="C75" s="2"/>
      <c r="D75" s="2"/>
      <c r="E75" s="2"/>
      <c r="F75" s="2"/>
      <c r="G75" s="2"/>
      <c r="H75" s="2"/>
      <c r="I75" s="2"/>
      <c r="J75" s="2"/>
      <c r="K75" s="2"/>
    </row>
    <row r="76" spans="1:11" s="3" customFormat="1" x14ac:dyDescent="0.3">
      <c r="A76" s="16"/>
      <c r="B76" s="20"/>
      <c r="C76" s="2"/>
      <c r="D76" s="2"/>
      <c r="E76" s="2"/>
      <c r="F76" s="2"/>
      <c r="G76" s="2"/>
      <c r="H76" s="2"/>
      <c r="I76" s="2"/>
      <c r="J76" s="2"/>
      <c r="K76" s="2"/>
    </row>
    <row r="77" spans="1:11" s="3" customFormat="1" x14ac:dyDescent="0.3">
      <c r="A77" s="16"/>
      <c r="B77" s="20"/>
      <c r="C77" s="2"/>
      <c r="D77" s="2"/>
      <c r="E77" s="2"/>
      <c r="F77" s="2"/>
      <c r="G77" s="2"/>
      <c r="H77" s="2"/>
      <c r="I77" s="2"/>
      <c r="J77" s="2"/>
      <c r="K77" s="2"/>
    </row>
    <row r="78" spans="1:11" s="3" customFormat="1" x14ac:dyDescent="0.3">
      <c r="A78" s="16"/>
      <c r="B78" s="20"/>
      <c r="C78" s="2"/>
      <c r="D78" s="2"/>
      <c r="E78" s="2"/>
      <c r="F78" s="2"/>
      <c r="G78" s="2"/>
      <c r="H78" s="2"/>
      <c r="I78" s="2"/>
      <c r="J78" s="2"/>
      <c r="K78" s="2"/>
    </row>
    <row r="79" spans="1:11" s="3" customFormat="1" x14ac:dyDescent="0.3">
      <c r="A79" s="16"/>
      <c r="B79" s="20"/>
      <c r="K79" s="2"/>
    </row>
    <row r="80" spans="1:11" s="3" customFormat="1" x14ac:dyDescent="0.3">
      <c r="A80" s="16"/>
      <c r="B80" s="20"/>
      <c r="K80" s="2"/>
    </row>
    <row r="81" spans="1:11" s="3" customFormat="1" x14ac:dyDescent="0.3">
      <c r="A81" s="16"/>
      <c r="B81" s="20"/>
      <c r="K81" s="2"/>
    </row>
    <row r="82" spans="1:11" s="3" customFormat="1" x14ac:dyDescent="0.3">
      <c r="A82" s="16"/>
      <c r="B82" s="20"/>
      <c r="K82" s="2"/>
    </row>
    <row r="83" spans="1:11" s="3" customFormat="1" x14ac:dyDescent="0.3">
      <c r="A83" s="16"/>
      <c r="B83" s="20"/>
      <c r="K83" s="2"/>
    </row>
    <row r="84" spans="1:11" s="3" customFormat="1" x14ac:dyDescent="0.3">
      <c r="A84" s="16"/>
      <c r="B84" s="20"/>
      <c r="K84" s="2"/>
    </row>
    <row r="85" spans="1:11" s="3" customFormat="1" x14ac:dyDescent="0.3">
      <c r="A85" s="16"/>
      <c r="B85" s="20"/>
      <c r="K85" s="2"/>
    </row>
    <row r="86" spans="1:11" s="3" customFormat="1" x14ac:dyDescent="0.3">
      <c r="A86" s="16"/>
      <c r="B86" s="20"/>
      <c r="K86" s="2"/>
    </row>
    <row r="87" spans="1:11" s="3" customFormat="1" x14ac:dyDescent="0.3">
      <c r="A87" s="16"/>
      <c r="B87" s="20"/>
      <c r="K87" s="2"/>
    </row>
    <row r="88" spans="1:11" s="3" customFormat="1" x14ac:dyDescent="0.3">
      <c r="A88" s="16"/>
      <c r="B88" s="20"/>
      <c r="K88" s="2"/>
    </row>
    <row r="89" spans="1:11" s="3" customFormat="1" x14ac:dyDescent="0.3">
      <c r="A89" s="16"/>
      <c r="B89" s="20"/>
      <c r="C89" s="2"/>
      <c r="D89" s="2"/>
      <c r="E89" s="2"/>
      <c r="F89" s="2"/>
      <c r="G89" s="2"/>
      <c r="H89" s="2"/>
      <c r="I89" s="2"/>
      <c r="J89" s="2"/>
      <c r="K89" s="2"/>
    </row>
    <row r="90" spans="1:11" s="3" customFormat="1" x14ac:dyDescent="0.3">
      <c r="A90" s="16"/>
      <c r="B90" s="20"/>
      <c r="C90" s="2"/>
      <c r="D90" s="2"/>
      <c r="E90" s="2"/>
      <c r="F90" s="2"/>
      <c r="G90" s="2"/>
      <c r="H90" s="2"/>
      <c r="I90" s="2"/>
      <c r="J90" s="2"/>
      <c r="K90" s="2"/>
    </row>
    <row r="91" spans="1:11" s="3" customFormat="1" x14ac:dyDescent="0.3">
      <c r="A91" s="16"/>
      <c r="B91" s="20"/>
      <c r="C91" s="2"/>
      <c r="D91" s="2"/>
      <c r="E91" s="2"/>
      <c r="F91" s="2"/>
      <c r="G91" s="2"/>
      <c r="H91" s="2"/>
      <c r="I91" s="2"/>
      <c r="J91" s="2"/>
      <c r="K91" s="2"/>
    </row>
    <row r="92" spans="1:11" s="3" customFormat="1" x14ac:dyDescent="0.3">
      <c r="A92" s="16"/>
      <c r="B92" s="20"/>
      <c r="C92" s="2"/>
      <c r="D92" s="2"/>
      <c r="E92" s="2"/>
      <c r="F92" s="2"/>
      <c r="G92" s="2"/>
      <c r="H92" s="2"/>
      <c r="I92" s="2"/>
      <c r="J92" s="2"/>
      <c r="K92" s="2"/>
    </row>
    <row r="93" spans="1:11" s="3" customFormat="1" x14ac:dyDescent="0.3">
      <c r="A93" s="16"/>
      <c r="B93" s="20"/>
      <c r="C93" s="2"/>
      <c r="D93" s="2"/>
      <c r="E93" s="2"/>
      <c r="F93" s="2"/>
      <c r="G93" s="2"/>
      <c r="H93" s="2"/>
      <c r="I93" s="2"/>
      <c r="J93" s="2"/>
      <c r="K93" s="2"/>
    </row>
    <row r="94" spans="1:11" s="3" customFormat="1" x14ac:dyDescent="0.3">
      <c r="A94" s="16"/>
      <c r="B94" s="20"/>
      <c r="C94" s="2"/>
      <c r="D94" s="2"/>
      <c r="E94" s="2"/>
      <c r="F94" s="2"/>
      <c r="G94" s="2"/>
      <c r="H94" s="2"/>
      <c r="I94" s="2"/>
      <c r="J94" s="2"/>
      <c r="K94" s="2"/>
    </row>
    <row r="95" spans="1:11" s="3" customFormat="1" x14ac:dyDescent="0.3">
      <c r="A95" s="16"/>
      <c r="B95" s="20"/>
      <c r="C95" s="2"/>
      <c r="D95" s="2"/>
      <c r="E95" s="2"/>
      <c r="F95" s="2"/>
      <c r="G95" s="2"/>
      <c r="H95" s="2"/>
      <c r="I95" s="2"/>
      <c r="J95" s="2"/>
      <c r="K95" s="2"/>
    </row>
    <row r="96" spans="1:11" s="3" customFormat="1" x14ac:dyDescent="0.3">
      <c r="A96" s="16"/>
      <c r="B96" s="20"/>
      <c r="C96" s="2"/>
      <c r="D96" s="2"/>
      <c r="E96" s="2"/>
      <c r="F96" s="2"/>
      <c r="G96" s="2"/>
      <c r="H96" s="2"/>
      <c r="I96" s="2"/>
      <c r="J96" s="2"/>
      <c r="K96" s="2"/>
    </row>
    <row r="97" spans="1:11" s="3" customFormat="1" x14ac:dyDescent="0.3">
      <c r="A97" s="16"/>
      <c r="B97" s="20"/>
      <c r="C97" s="2"/>
      <c r="D97" s="2"/>
      <c r="E97" s="2"/>
      <c r="F97" s="2"/>
      <c r="G97" s="2"/>
      <c r="H97" s="2"/>
      <c r="I97" s="2"/>
      <c r="J97" s="2"/>
      <c r="K97" s="2"/>
    </row>
    <row r="98" spans="1:11" s="3" customFormat="1" x14ac:dyDescent="0.3">
      <c r="A98" s="16"/>
      <c r="B98" s="20"/>
      <c r="C98" s="2"/>
      <c r="D98" s="2"/>
      <c r="E98" s="2"/>
      <c r="F98" s="2"/>
      <c r="G98" s="2"/>
      <c r="H98" s="2"/>
      <c r="I98" s="2"/>
      <c r="J98" s="2"/>
      <c r="K98" s="2"/>
    </row>
    <row r="99" spans="1:11" s="3" customFormat="1" x14ac:dyDescent="0.3">
      <c r="A99" s="16"/>
      <c r="B99" s="20"/>
      <c r="C99" s="2"/>
      <c r="D99" s="2"/>
      <c r="E99" s="2"/>
      <c r="F99" s="2"/>
      <c r="G99" s="2"/>
      <c r="H99" s="2"/>
      <c r="I99" s="2"/>
      <c r="J99" s="2"/>
      <c r="K99" s="2"/>
    </row>
    <row r="100" spans="1:11" s="3" customFormat="1" x14ac:dyDescent="0.3">
      <c r="A100" s="16"/>
      <c r="B100" s="20"/>
      <c r="C100" s="2"/>
      <c r="D100" s="2"/>
      <c r="E100" s="2"/>
      <c r="F100" s="2"/>
      <c r="G100" s="2"/>
      <c r="H100" s="2"/>
      <c r="I100" s="2"/>
      <c r="J100" s="2"/>
      <c r="K100" s="2"/>
    </row>
    <row r="101" spans="1:11" s="3" customFormat="1" x14ac:dyDescent="0.3">
      <c r="A101" s="16"/>
      <c r="B101" s="20"/>
      <c r="C101" s="2"/>
      <c r="D101" s="2"/>
      <c r="E101" s="2"/>
      <c r="F101" s="2"/>
      <c r="G101" s="2"/>
      <c r="H101" s="2"/>
      <c r="I101" s="2"/>
      <c r="J101" s="2"/>
      <c r="K101" s="2"/>
    </row>
    <row r="102" spans="1:11" s="3" customFormat="1" x14ac:dyDescent="0.3">
      <c r="A102" s="16"/>
      <c r="B102" s="20"/>
      <c r="K102" s="2"/>
    </row>
    <row r="103" spans="1:11" s="3" customFormat="1" x14ac:dyDescent="0.3">
      <c r="A103" s="16"/>
      <c r="B103" s="20"/>
      <c r="C103" s="2"/>
      <c r="D103" s="2"/>
      <c r="E103" s="2"/>
      <c r="F103" s="2"/>
      <c r="G103" s="2"/>
      <c r="H103" s="2"/>
      <c r="I103" s="2"/>
      <c r="J103" s="2"/>
      <c r="K103" s="2"/>
    </row>
    <row r="104" spans="1:11" s="3" customFormat="1" x14ac:dyDescent="0.3">
      <c r="A104" s="16"/>
      <c r="B104" s="20"/>
      <c r="C104" s="2"/>
      <c r="D104" s="2"/>
      <c r="E104" s="2"/>
      <c r="F104" s="2"/>
      <c r="G104" s="2"/>
      <c r="H104" s="2"/>
      <c r="I104" s="2"/>
      <c r="J104" s="2"/>
      <c r="K104" s="2"/>
    </row>
    <row r="105" spans="1:11" s="3" customFormat="1" x14ac:dyDescent="0.3">
      <c r="A105" s="16"/>
      <c r="B105" s="20"/>
      <c r="C105" s="2"/>
      <c r="D105" s="2"/>
      <c r="E105" s="2"/>
      <c r="F105" s="2"/>
      <c r="G105" s="2"/>
      <c r="H105" s="2"/>
      <c r="I105" s="2"/>
      <c r="J105" s="2"/>
      <c r="K105" s="2"/>
    </row>
    <row r="106" spans="1:11" s="3" customFormat="1" x14ac:dyDescent="0.3">
      <c r="A106" s="16"/>
      <c r="B106" s="20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3" customFormat="1" x14ac:dyDescent="0.3">
      <c r="A107" s="16"/>
      <c r="B107" s="20"/>
      <c r="C107" s="2"/>
      <c r="D107" s="2"/>
      <c r="E107" s="2"/>
      <c r="F107" s="2"/>
      <c r="G107" s="2"/>
      <c r="H107" s="2"/>
      <c r="I107" s="2"/>
      <c r="J107" s="2"/>
      <c r="K107" s="2"/>
    </row>
    <row r="108" spans="1:11" s="3" customFormat="1" x14ac:dyDescent="0.3">
      <c r="A108" s="16"/>
      <c r="B108" s="20"/>
      <c r="C108" s="2"/>
      <c r="D108" s="2"/>
      <c r="E108" s="2"/>
      <c r="F108" s="2"/>
      <c r="G108" s="2"/>
      <c r="H108" s="2"/>
      <c r="I108" s="2"/>
      <c r="J108" s="2"/>
      <c r="K108" s="2"/>
    </row>
    <row r="109" spans="1:11" s="3" customFormat="1" x14ac:dyDescent="0.3">
      <c r="A109" s="16"/>
      <c r="B109" s="20"/>
      <c r="C109" s="2"/>
      <c r="D109" s="2"/>
      <c r="E109" s="2"/>
      <c r="F109" s="2"/>
      <c r="G109" s="2"/>
      <c r="H109" s="2"/>
      <c r="I109" s="2"/>
      <c r="J109" s="2"/>
      <c r="K109" s="2"/>
    </row>
    <row r="110" spans="1:11" s="3" customFormat="1" x14ac:dyDescent="0.3">
      <c r="A110" s="16"/>
      <c r="B110" s="20"/>
      <c r="C110" s="2"/>
      <c r="D110" s="2"/>
      <c r="E110" s="2"/>
      <c r="F110" s="2"/>
      <c r="G110" s="2"/>
      <c r="H110" s="2"/>
      <c r="I110" s="2"/>
      <c r="J110" s="2"/>
      <c r="K110" s="2"/>
    </row>
    <row r="111" spans="1:11" s="3" customFormat="1" x14ac:dyDescent="0.3">
      <c r="A111" s="16"/>
      <c r="B111" s="20"/>
      <c r="C111" s="2"/>
      <c r="D111" s="2"/>
      <c r="E111" s="2"/>
      <c r="F111" s="2"/>
      <c r="G111" s="2"/>
      <c r="H111" s="2"/>
      <c r="I111" s="2"/>
      <c r="J111" s="2"/>
      <c r="K111" s="2"/>
    </row>
    <row r="112" spans="1:11" s="3" customFormat="1" x14ac:dyDescent="0.3">
      <c r="A112" s="16"/>
      <c r="B112" s="20"/>
      <c r="C112" s="2"/>
      <c r="D112" s="2"/>
      <c r="E112" s="2"/>
      <c r="F112" s="2"/>
      <c r="G112" s="2"/>
      <c r="H112" s="2"/>
      <c r="I112" s="2"/>
      <c r="J112" s="2"/>
      <c r="K112" s="2"/>
    </row>
    <row r="113" spans="1:11" s="3" customFormat="1" x14ac:dyDescent="0.3">
      <c r="A113" s="16"/>
      <c r="B113" s="20"/>
      <c r="C113" s="2"/>
      <c r="D113" s="2"/>
      <c r="E113" s="2"/>
      <c r="F113" s="2"/>
      <c r="G113" s="2"/>
      <c r="H113" s="2"/>
      <c r="I113" s="2"/>
      <c r="J113" s="2"/>
      <c r="K113" s="2"/>
    </row>
    <row r="114" spans="1:11" s="3" customFormat="1" x14ac:dyDescent="0.3">
      <c r="A114" s="16"/>
      <c r="B114" s="20"/>
      <c r="C114" s="2"/>
      <c r="D114" s="2"/>
      <c r="E114" s="2"/>
      <c r="F114" s="2"/>
      <c r="G114" s="2"/>
      <c r="H114" s="2"/>
      <c r="I114" s="2"/>
      <c r="J114" s="2"/>
      <c r="K114" s="2"/>
    </row>
    <row r="115" spans="1:11" s="3" customFormat="1" x14ac:dyDescent="0.3">
      <c r="A115" s="16"/>
      <c r="B115" s="20"/>
      <c r="C115" s="2"/>
      <c r="D115" s="2"/>
      <c r="E115" s="2"/>
      <c r="F115" s="2"/>
      <c r="G115" s="2"/>
      <c r="H115" s="2"/>
      <c r="I115" s="2"/>
      <c r="J115" s="2"/>
    </row>
    <row r="116" spans="1:11" s="3" customFormat="1" x14ac:dyDescent="0.3">
      <c r="A116" s="16"/>
      <c r="B116" s="20"/>
      <c r="C116" s="2"/>
      <c r="D116" s="2"/>
      <c r="E116" s="2"/>
      <c r="F116" s="2"/>
      <c r="G116" s="2"/>
      <c r="H116" s="2"/>
      <c r="I116" s="2"/>
      <c r="J116" s="2"/>
    </row>
    <row r="117" spans="1:11" s="3" customFormat="1" x14ac:dyDescent="0.3">
      <c r="A117" s="16"/>
      <c r="B117" s="20"/>
      <c r="C117" s="2"/>
      <c r="D117" s="2"/>
      <c r="E117" s="2"/>
      <c r="F117" s="2"/>
      <c r="G117" s="2"/>
      <c r="H117" s="2"/>
      <c r="I117" s="2"/>
      <c r="J117" s="2"/>
    </row>
    <row r="118" spans="1:11" s="3" customFormat="1" x14ac:dyDescent="0.3">
      <c r="A118" s="16"/>
      <c r="B118" s="20"/>
      <c r="C118" s="2"/>
      <c r="D118" s="2"/>
      <c r="E118" s="2"/>
      <c r="F118" s="2"/>
      <c r="G118" s="2"/>
      <c r="H118" s="2"/>
      <c r="I118" s="2"/>
      <c r="J118" s="2"/>
    </row>
    <row r="119" spans="1:11" s="3" customFormat="1" x14ac:dyDescent="0.3">
      <c r="A119" s="16"/>
      <c r="B119" s="20"/>
      <c r="C119" s="2"/>
      <c r="D119" s="2"/>
      <c r="E119" s="2"/>
      <c r="F119" s="2"/>
      <c r="G119" s="2"/>
      <c r="H119" s="2"/>
      <c r="I119" s="2"/>
      <c r="J119" s="2"/>
    </row>
    <row r="120" spans="1:11" s="3" customFormat="1" x14ac:dyDescent="0.3">
      <c r="A120" s="16"/>
      <c r="B120" s="20"/>
      <c r="C120" s="2"/>
      <c r="D120" s="2"/>
      <c r="E120" s="2"/>
      <c r="F120" s="2"/>
      <c r="G120" s="2"/>
      <c r="H120" s="2"/>
      <c r="I120" s="2"/>
      <c r="J120" s="2"/>
    </row>
    <row r="121" spans="1:11" s="3" customFormat="1" x14ac:dyDescent="0.3">
      <c r="A121" s="16"/>
      <c r="B121" s="20"/>
      <c r="C121" s="2"/>
      <c r="D121" s="2"/>
      <c r="E121" s="2"/>
      <c r="F121" s="2"/>
      <c r="G121" s="2"/>
      <c r="H121" s="2"/>
      <c r="I121" s="2"/>
      <c r="J121" s="2"/>
    </row>
    <row r="122" spans="1:11" s="3" customFormat="1" x14ac:dyDescent="0.3">
      <c r="A122" s="16"/>
      <c r="B122" s="20"/>
      <c r="C122" s="2"/>
      <c r="D122" s="2"/>
      <c r="E122" s="2"/>
      <c r="F122" s="2"/>
      <c r="G122" s="2"/>
      <c r="H122" s="2"/>
      <c r="I122" s="2"/>
      <c r="J122" s="2"/>
    </row>
    <row r="123" spans="1:11" s="3" customFormat="1" x14ac:dyDescent="0.3">
      <c r="A123" s="16"/>
      <c r="B123" s="20"/>
      <c r="C123" s="2"/>
      <c r="D123" s="2"/>
      <c r="E123" s="2"/>
      <c r="F123" s="2"/>
      <c r="G123" s="2"/>
      <c r="H123" s="2"/>
      <c r="I123" s="2"/>
      <c r="J123" s="2"/>
    </row>
    <row r="124" spans="1:11" s="3" customFormat="1" x14ac:dyDescent="0.3">
      <c r="A124" s="16"/>
      <c r="B124" s="20"/>
      <c r="C124" s="2"/>
      <c r="D124" s="2"/>
      <c r="E124" s="2"/>
      <c r="F124" s="2"/>
      <c r="G124" s="2"/>
      <c r="H124" s="2"/>
      <c r="I124" s="2"/>
      <c r="J124" s="2"/>
    </row>
    <row r="125" spans="1:11" s="3" customFormat="1" x14ac:dyDescent="0.3">
      <c r="A125" s="16"/>
      <c r="B125" s="20"/>
      <c r="C125" s="2"/>
      <c r="D125" s="2"/>
      <c r="E125" s="2"/>
      <c r="F125" s="2"/>
      <c r="G125" s="2"/>
      <c r="H125" s="2"/>
      <c r="I125" s="2"/>
      <c r="J125" s="2"/>
      <c r="K125" s="2"/>
    </row>
    <row r="126" spans="1:11" s="3" customFormat="1" x14ac:dyDescent="0.3">
      <c r="A126" s="16"/>
      <c r="B126" s="20"/>
      <c r="C126" s="2"/>
      <c r="D126" s="2"/>
      <c r="E126" s="2"/>
      <c r="F126" s="2"/>
      <c r="G126" s="2"/>
      <c r="H126" s="2"/>
      <c r="I126" s="2"/>
      <c r="J126" s="2"/>
      <c r="K126" s="2"/>
    </row>
    <row r="127" spans="1:11" s="3" customFormat="1" x14ac:dyDescent="0.3">
      <c r="A127" s="16"/>
      <c r="B127" s="20"/>
      <c r="C127" s="2"/>
      <c r="D127" s="2"/>
      <c r="E127" s="2"/>
      <c r="F127" s="2"/>
      <c r="G127" s="2"/>
      <c r="H127" s="2"/>
      <c r="I127" s="2"/>
      <c r="J127" s="2"/>
      <c r="K127" s="2"/>
    </row>
    <row r="128" spans="1:11" s="3" customFormat="1" x14ac:dyDescent="0.3">
      <c r="A128" s="16"/>
      <c r="B128" s="20"/>
      <c r="C128" s="2"/>
      <c r="D128" s="2"/>
      <c r="E128" s="2"/>
      <c r="F128" s="2"/>
      <c r="G128" s="2"/>
      <c r="H128" s="2"/>
      <c r="I128" s="2"/>
      <c r="J128" s="2"/>
      <c r="K128" s="2"/>
    </row>
    <row r="129" spans="1:11" s="3" customFormat="1" x14ac:dyDescent="0.3">
      <c r="A129" s="16"/>
      <c r="B129" s="20"/>
      <c r="C129" s="2"/>
      <c r="D129" s="2"/>
      <c r="E129" s="2"/>
      <c r="F129" s="2"/>
      <c r="G129" s="2"/>
      <c r="H129" s="2"/>
      <c r="I129" s="2"/>
      <c r="J129" s="2"/>
      <c r="K129" s="2"/>
    </row>
    <row r="130" spans="1:11" s="3" customFormat="1" x14ac:dyDescent="0.3">
      <c r="A130" s="16"/>
      <c r="B130" s="20"/>
      <c r="C130" s="2"/>
      <c r="D130" s="2"/>
      <c r="E130" s="2"/>
      <c r="F130" s="2"/>
      <c r="G130" s="2"/>
      <c r="H130" s="2"/>
      <c r="I130" s="2"/>
      <c r="J130" s="2"/>
      <c r="K130" s="2"/>
    </row>
    <row r="131" spans="1:11" s="3" customFormat="1" x14ac:dyDescent="0.3">
      <c r="A131" s="16"/>
      <c r="B131" s="20"/>
      <c r="C131" s="2"/>
      <c r="D131" s="2"/>
      <c r="E131" s="2"/>
      <c r="F131" s="2"/>
      <c r="G131" s="2"/>
      <c r="H131" s="2"/>
      <c r="I131" s="2"/>
      <c r="J131" s="2"/>
      <c r="K131" s="2"/>
    </row>
    <row r="132" spans="1:11" s="3" customFormat="1" x14ac:dyDescent="0.3">
      <c r="A132" s="16"/>
      <c r="B132" s="20"/>
      <c r="C132" s="2"/>
      <c r="D132" s="2"/>
      <c r="E132" s="2"/>
      <c r="F132" s="2"/>
      <c r="G132" s="2"/>
      <c r="H132" s="2"/>
      <c r="I132" s="2"/>
      <c r="J132" s="2"/>
      <c r="K132" s="2"/>
    </row>
    <row r="133" spans="1:11" s="3" customFormat="1" x14ac:dyDescent="0.3">
      <c r="A133" s="16"/>
      <c r="B133" s="20"/>
      <c r="C133" s="2"/>
      <c r="D133" s="2"/>
      <c r="E133" s="2"/>
      <c r="F133" s="2"/>
      <c r="G133" s="2"/>
      <c r="H133" s="2"/>
      <c r="I133" s="2"/>
      <c r="J133" s="2"/>
      <c r="K133" s="2"/>
    </row>
    <row r="134" spans="1:11" s="3" customFormat="1" x14ac:dyDescent="0.3">
      <c r="A134" s="16"/>
      <c r="B134" s="20"/>
      <c r="C134" s="2"/>
      <c r="D134" s="2"/>
      <c r="E134" s="2"/>
      <c r="F134" s="2"/>
      <c r="G134" s="2"/>
      <c r="H134" s="2"/>
      <c r="I134" s="2"/>
      <c r="J134" s="2"/>
      <c r="K134" s="2"/>
    </row>
    <row r="135" spans="1:11" s="3" customFormat="1" x14ac:dyDescent="0.3">
      <c r="A135" s="16"/>
      <c r="B135" s="20"/>
      <c r="C135" s="2"/>
      <c r="D135" s="2"/>
      <c r="E135" s="2"/>
      <c r="F135" s="2"/>
      <c r="G135" s="2"/>
      <c r="H135" s="2"/>
      <c r="I135" s="2"/>
      <c r="J135" s="2"/>
      <c r="K135" s="2"/>
    </row>
    <row r="136" spans="1:11" s="3" customFormat="1" x14ac:dyDescent="0.3">
      <c r="A136" s="16"/>
      <c r="B136" s="20"/>
      <c r="C136" s="2"/>
      <c r="D136" s="2"/>
      <c r="E136" s="2"/>
      <c r="F136" s="2"/>
      <c r="G136" s="2"/>
      <c r="H136" s="2"/>
      <c r="I136" s="2"/>
      <c r="J136" s="2"/>
      <c r="K136" s="2"/>
    </row>
    <row r="137" spans="1:11" s="3" customFormat="1" x14ac:dyDescent="0.3">
      <c r="A137" s="16"/>
      <c r="B137" s="20"/>
      <c r="C137" s="2"/>
      <c r="D137" s="2"/>
      <c r="E137" s="2"/>
      <c r="F137" s="2"/>
      <c r="G137" s="2"/>
      <c r="H137" s="2"/>
      <c r="I137" s="2"/>
      <c r="J137" s="2"/>
      <c r="K137" s="2"/>
    </row>
    <row r="138" spans="1:11" s="3" customFormat="1" x14ac:dyDescent="0.3">
      <c r="A138" s="16"/>
      <c r="B138" s="20"/>
      <c r="C138" s="2"/>
      <c r="D138" s="2"/>
      <c r="E138" s="2"/>
      <c r="F138" s="2"/>
      <c r="G138" s="2"/>
      <c r="H138" s="2"/>
      <c r="I138" s="2"/>
      <c r="J138" s="2"/>
    </row>
    <row r="139" spans="1:11" s="3" customFormat="1" x14ac:dyDescent="0.3">
      <c r="A139" s="16"/>
      <c r="B139" s="20"/>
      <c r="C139" s="2"/>
      <c r="D139" s="2"/>
      <c r="E139" s="2"/>
      <c r="F139" s="2"/>
      <c r="G139" s="2"/>
      <c r="H139" s="2"/>
      <c r="I139" s="2"/>
      <c r="J139" s="2"/>
      <c r="K139" s="2"/>
    </row>
    <row r="140" spans="1:11" s="3" customFormat="1" x14ac:dyDescent="0.3">
      <c r="A140" s="16"/>
      <c r="B140" s="20"/>
      <c r="C140" s="2"/>
      <c r="D140" s="2"/>
      <c r="E140" s="2"/>
      <c r="F140" s="2"/>
      <c r="G140" s="2"/>
      <c r="H140" s="2"/>
      <c r="I140" s="2"/>
      <c r="J140" s="2"/>
      <c r="K140" s="2"/>
    </row>
    <row r="141" spans="1:11" s="3" customFormat="1" x14ac:dyDescent="0.3">
      <c r="A141" s="16"/>
      <c r="B141" s="20"/>
      <c r="C141" s="2"/>
      <c r="D141" s="2"/>
      <c r="E141" s="2"/>
      <c r="F141" s="2"/>
      <c r="G141" s="2"/>
      <c r="H141" s="2"/>
      <c r="I141" s="2"/>
      <c r="J141" s="2"/>
      <c r="K141" s="2"/>
    </row>
    <row r="142" spans="1:11" s="3" customFormat="1" x14ac:dyDescent="0.3">
      <c r="A142" s="16"/>
      <c r="B142" s="20"/>
      <c r="C142" s="2"/>
      <c r="D142" s="2"/>
      <c r="E142" s="2"/>
      <c r="F142" s="2"/>
      <c r="G142" s="2"/>
      <c r="H142" s="2"/>
      <c r="I142" s="2"/>
      <c r="J142" s="2"/>
      <c r="K142" s="2"/>
    </row>
    <row r="143" spans="1:11" s="3" customFormat="1" x14ac:dyDescent="0.3">
      <c r="A143" s="16"/>
      <c r="B143" s="20"/>
      <c r="C143" s="2"/>
      <c r="D143" s="2"/>
      <c r="E143" s="2"/>
      <c r="F143" s="2"/>
      <c r="G143" s="2"/>
      <c r="H143" s="2"/>
      <c r="I143" s="2"/>
      <c r="J143" s="2"/>
      <c r="K143" s="2"/>
    </row>
    <row r="144" spans="1:11" s="3" customFormat="1" x14ac:dyDescent="0.3">
      <c r="A144" s="16"/>
      <c r="B144" s="20"/>
      <c r="C144" s="2"/>
      <c r="D144" s="2"/>
      <c r="E144" s="2"/>
      <c r="F144" s="2"/>
      <c r="G144" s="2"/>
      <c r="H144" s="2"/>
      <c r="I144" s="2"/>
      <c r="J144" s="2"/>
      <c r="K144" s="2"/>
    </row>
    <row r="145" spans="1:11" s="3" customFormat="1" x14ac:dyDescent="0.3">
      <c r="A145" s="16"/>
      <c r="B145" s="20"/>
      <c r="C145" s="2"/>
      <c r="D145" s="2"/>
      <c r="E145" s="2"/>
      <c r="F145" s="2"/>
      <c r="G145" s="2"/>
      <c r="H145" s="2"/>
      <c r="I145" s="2"/>
      <c r="J145" s="2"/>
      <c r="K145" s="2"/>
    </row>
    <row r="146" spans="1:11" s="3" customFormat="1" x14ac:dyDescent="0.3">
      <c r="A146" s="16"/>
      <c r="B146" s="20"/>
      <c r="C146" s="2"/>
      <c r="D146" s="2"/>
      <c r="E146" s="2"/>
      <c r="F146" s="2"/>
      <c r="G146" s="2"/>
      <c r="H146" s="2"/>
      <c r="I146" s="2"/>
      <c r="J146" s="2"/>
      <c r="K146" s="2"/>
    </row>
    <row r="147" spans="1:11" s="3" customFormat="1" x14ac:dyDescent="0.3">
      <c r="A147" s="16"/>
      <c r="B147" s="20"/>
      <c r="C147" s="2"/>
      <c r="D147" s="2"/>
      <c r="E147" s="2"/>
      <c r="F147" s="2"/>
      <c r="G147" s="2"/>
      <c r="H147" s="2"/>
      <c r="I147" s="2"/>
      <c r="J147" s="2"/>
      <c r="K147" s="2"/>
    </row>
    <row r="148" spans="1:11" s="3" customFormat="1" x14ac:dyDescent="0.3">
      <c r="A148" s="16"/>
      <c r="B148" s="20"/>
      <c r="C148" s="2"/>
      <c r="D148" s="2"/>
      <c r="E148" s="2"/>
      <c r="F148" s="2"/>
      <c r="G148" s="2"/>
      <c r="H148" s="2"/>
      <c r="I148" s="2"/>
      <c r="J148" s="2"/>
      <c r="K148" s="2"/>
    </row>
    <row r="149" spans="1:11" s="3" customFormat="1" x14ac:dyDescent="0.3">
      <c r="A149" s="16"/>
      <c r="B149" s="20"/>
      <c r="C149" s="2"/>
      <c r="D149" s="2"/>
      <c r="E149" s="2"/>
      <c r="F149" s="2"/>
      <c r="G149" s="2"/>
      <c r="H149" s="2"/>
      <c r="I149" s="2"/>
      <c r="J149" s="2"/>
      <c r="K149" s="2"/>
    </row>
    <row r="150" spans="1:11" s="3" customFormat="1" x14ac:dyDescent="0.3">
      <c r="A150" s="16"/>
      <c r="B150" s="20"/>
      <c r="C150" s="2"/>
      <c r="D150" s="2"/>
      <c r="E150" s="2"/>
      <c r="F150" s="2"/>
      <c r="G150" s="2"/>
      <c r="H150" s="2"/>
      <c r="I150" s="2"/>
      <c r="J150" s="2"/>
      <c r="K150" s="2"/>
    </row>
    <row r="151" spans="1:11" s="3" customFormat="1" x14ac:dyDescent="0.3">
      <c r="A151" s="16"/>
      <c r="B151" s="20"/>
      <c r="C151" s="2"/>
      <c r="D151" s="2"/>
      <c r="E151" s="2"/>
      <c r="F151" s="2"/>
      <c r="G151" s="2"/>
      <c r="H151" s="2"/>
      <c r="I151" s="2"/>
      <c r="J151" s="2"/>
      <c r="K151" s="2"/>
    </row>
    <row r="152" spans="1:11" s="3" customFormat="1" x14ac:dyDescent="0.3">
      <c r="A152" s="16"/>
      <c r="B152" s="20"/>
      <c r="C152" s="2"/>
      <c r="D152" s="2"/>
      <c r="E152" s="2"/>
      <c r="F152" s="2"/>
      <c r="G152" s="2"/>
      <c r="H152" s="2"/>
      <c r="I152" s="2"/>
      <c r="J152" s="2"/>
      <c r="K152" s="2"/>
    </row>
    <row r="153" spans="1:11" s="3" customFormat="1" x14ac:dyDescent="0.3">
      <c r="A153" s="16"/>
      <c r="B153" s="20"/>
      <c r="C153" s="2"/>
      <c r="D153" s="2"/>
      <c r="E153" s="2"/>
      <c r="F153" s="2"/>
      <c r="G153" s="2"/>
      <c r="H153" s="2"/>
      <c r="I153" s="2"/>
      <c r="J153" s="2"/>
      <c r="K153" s="2"/>
    </row>
    <row r="154" spans="1:11" s="3" customFormat="1" x14ac:dyDescent="0.3">
      <c r="A154" s="16"/>
      <c r="B154" s="20"/>
      <c r="C154" s="1"/>
      <c r="D154" s="1"/>
      <c r="E154" s="1"/>
      <c r="F154" s="1"/>
      <c r="G154" s="1"/>
      <c r="H154" s="1"/>
      <c r="I154" s="1"/>
      <c r="J154" s="1"/>
      <c r="K154" s="2"/>
    </row>
    <row r="155" spans="1:11" s="3" customFormat="1" x14ac:dyDescent="0.3">
      <c r="A155" s="16"/>
      <c r="B155" s="20"/>
      <c r="C155" s="1"/>
      <c r="D155" s="1"/>
      <c r="E155" s="1"/>
      <c r="F155" s="1"/>
      <c r="G155" s="1"/>
      <c r="H155" s="1"/>
      <c r="I155" s="1"/>
      <c r="J155" s="1"/>
      <c r="K155" s="2"/>
    </row>
    <row r="156" spans="1:11" s="3" customFormat="1" x14ac:dyDescent="0.3">
      <c r="A156" s="16"/>
      <c r="B156" s="20"/>
      <c r="C156" s="1"/>
      <c r="D156" s="1"/>
      <c r="E156" s="1"/>
      <c r="F156" s="1"/>
      <c r="G156" s="1"/>
      <c r="H156" s="1"/>
      <c r="I156" s="1"/>
      <c r="J156" s="1"/>
      <c r="K156" s="2"/>
    </row>
    <row r="157" spans="1:11" s="3" customFormat="1" x14ac:dyDescent="0.3">
      <c r="A157" s="16"/>
      <c r="B157" s="20"/>
      <c r="C157" s="1"/>
      <c r="D157" s="1"/>
      <c r="E157" s="1"/>
      <c r="F157" s="1"/>
      <c r="G157" s="1"/>
      <c r="H157" s="1"/>
      <c r="I157" s="1"/>
      <c r="J157" s="1"/>
      <c r="K157" s="2"/>
    </row>
    <row r="158" spans="1:11" s="3" customFormat="1" x14ac:dyDescent="0.3">
      <c r="A158" s="16"/>
      <c r="B158" s="20"/>
      <c r="C158" s="1"/>
      <c r="D158" s="1"/>
      <c r="E158" s="1"/>
      <c r="F158" s="1"/>
      <c r="G158" s="1"/>
      <c r="H158" s="1"/>
      <c r="I158" s="1"/>
      <c r="J158" s="1"/>
      <c r="K158" s="2"/>
    </row>
    <row r="159" spans="1:11" s="3" customFormat="1" x14ac:dyDescent="0.3">
      <c r="A159" s="16"/>
      <c r="B159" s="20"/>
      <c r="C159" s="1"/>
      <c r="D159" s="1"/>
      <c r="E159" s="1"/>
      <c r="F159" s="1"/>
      <c r="G159" s="1"/>
      <c r="H159" s="1"/>
      <c r="I159" s="1"/>
      <c r="J159" s="1"/>
      <c r="K159" s="2"/>
    </row>
    <row r="160" spans="1:11" s="3" customFormat="1" x14ac:dyDescent="0.3">
      <c r="A160" s="16"/>
      <c r="B160" s="20"/>
      <c r="C160" s="1"/>
      <c r="D160" s="1"/>
      <c r="E160" s="1"/>
      <c r="F160" s="1"/>
      <c r="G160" s="1"/>
      <c r="H160" s="1"/>
      <c r="I160" s="1"/>
      <c r="J160" s="1"/>
      <c r="K160" s="2"/>
    </row>
    <row r="161" spans="1:11" s="3" customFormat="1" x14ac:dyDescent="0.3">
      <c r="A161" s="16"/>
      <c r="B161" s="20"/>
      <c r="C161" s="1"/>
      <c r="D161" s="1"/>
      <c r="E161" s="1"/>
      <c r="F161" s="1"/>
      <c r="G161" s="1"/>
      <c r="H161" s="1"/>
      <c r="I161" s="1"/>
      <c r="J161" s="1"/>
      <c r="K161" s="2"/>
    </row>
    <row r="162" spans="1:11" s="3" customFormat="1" x14ac:dyDescent="0.3">
      <c r="A162" s="16"/>
      <c r="B162" s="20"/>
      <c r="C162" s="1"/>
      <c r="D162" s="1"/>
      <c r="E162" s="1"/>
      <c r="F162" s="1"/>
      <c r="G162" s="1"/>
      <c r="H162" s="1"/>
      <c r="I162" s="1"/>
      <c r="J162" s="1"/>
      <c r="K162" s="2"/>
    </row>
    <row r="163" spans="1:11" s="3" customFormat="1" x14ac:dyDescent="0.3">
      <c r="A163" s="16"/>
      <c r="B163" s="20"/>
      <c r="C163" s="1"/>
      <c r="D163" s="1"/>
      <c r="E163" s="1"/>
      <c r="F163" s="1"/>
      <c r="G163" s="1"/>
      <c r="H163" s="1"/>
      <c r="I163" s="1"/>
      <c r="J163" s="1"/>
      <c r="K163" s="2"/>
    </row>
    <row r="164" spans="1:11" s="3" customFormat="1" x14ac:dyDescent="0.3">
      <c r="A164" s="16"/>
      <c r="B164" s="20"/>
      <c r="C164" s="1"/>
      <c r="D164" s="1"/>
      <c r="E164" s="1"/>
      <c r="F164" s="1"/>
      <c r="G164" s="1"/>
      <c r="H164" s="1"/>
      <c r="I164" s="1"/>
      <c r="J164" s="1"/>
      <c r="K164" s="2"/>
    </row>
    <row r="165" spans="1:11" s="3" customFormat="1" x14ac:dyDescent="0.3">
      <c r="A165" s="16"/>
      <c r="B165" s="20"/>
      <c r="C165" s="1"/>
      <c r="D165" s="1"/>
      <c r="E165" s="1"/>
      <c r="F165" s="1"/>
      <c r="G165" s="1"/>
      <c r="H165" s="1"/>
      <c r="I165" s="1"/>
      <c r="J165" s="1"/>
      <c r="K165" s="2"/>
    </row>
    <row r="166" spans="1:11" s="3" customFormat="1" x14ac:dyDescent="0.3">
      <c r="A166" s="16"/>
      <c r="B166" s="20"/>
      <c r="C166" s="1"/>
      <c r="D166" s="1"/>
      <c r="E166" s="1"/>
      <c r="F166" s="1"/>
      <c r="G166" s="1"/>
      <c r="H166" s="1"/>
      <c r="I166" s="1"/>
      <c r="J166" s="1"/>
      <c r="K166" s="2"/>
    </row>
    <row r="167" spans="1:11" s="3" customFormat="1" x14ac:dyDescent="0.3">
      <c r="A167" s="16"/>
      <c r="B167" s="20"/>
      <c r="C167" s="1"/>
      <c r="D167" s="1"/>
      <c r="E167" s="1"/>
      <c r="F167" s="1"/>
      <c r="G167" s="1"/>
      <c r="H167" s="1"/>
      <c r="I167" s="1"/>
      <c r="J167" s="1"/>
      <c r="K167" s="2"/>
    </row>
    <row r="168" spans="1:11" s="3" customFormat="1" x14ac:dyDescent="0.3">
      <c r="A168" s="16"/>
      <c r="B168" s="20"/>
      <c r="C168" s="1"/>
      <c r="D168" s="1"/>
      <c r="E168" s="1"/>
      <c r="F168" s="1"/>
      <c r="G168" s="1"/>
      <c r="H168" s="1"/>
      <c r="I168" s="1"/>
      <c r="J168" s="1"/>
      <c r="K168" s="2"/>
    </row>
    <row r="169" spans="1:11" s="3" customFormat="1" x14ac:dyDescent="0.3">
      <c r="A169" s="16"/>
      <c r="B169" s="20"/>
      <c r="C169" s="1"/>
      <c r="D169" s="1"/>
      <c r="E169" s="1"/>
      <c r="F169" s="1"/>
      <c r="G169" s="1"/>
      <c r="H169" s="1"/>
      <c r="I169" s="1"/>
      <c r="J169" s="1"/>
      <c r="K169" s="2"/>
    </row>
    <row r="170" spans="1:11" s="3" customFormat="1" x14ac:dyDescent="0.3">
      <c r="A170" s="16"/>
      <c r="B170" s="20"/>
      <c r="C170" s="1"/>
      <c r="D170" s="1"/>
      <c r="E170" s="1"/>
      <c r="F170" s="1"/>
      <c r="G170" s="1"/>
      <c r="H170" s="1"/>
      <c r="I170" s="1"/>
      <c r="J170" s="1"/>
      <c r="K170" s="2"/>
    </row>
    <row r="171" spans="1:11" s="3" customFormat="1" x14ac:dyDescent="0.3">
      <c r="A171" s="16"/>
      <c r="B171" s="20"/>
      <c r="C171" s="1"/>
      <c r="D171" s="1"/>
      <c r="E171" s="1"/>
      <c r="F171" s="1"/>
      <c r="G171" s="1"/>
      <c r="H171" s="1"/>
      <c r="I171" s="1"/>
      <c r="J171" s="1"/>
      <c r="K171" s="2"/>
    </row>
    <row r="172" spans="1:11" s="3" customFormat="1" x14ac:dyDescent="0.3">
      <c r="A172" s="16"/>
      <c r="B172" s="20"/>
      <c r="C172" s="1"/>
      <c r="D172" s="1"/>
      <c r="E172" s="1"/>
      <c r="F172" s="1"/>
      <c r="G172" s="1"/>
      <c r="H172" s="1"/>
      <c r="I172" s="1"/>
      <c r="J172" s="1"/>
      <c r="K172" s="2"/>
    </row>
    <row r="173" spans="1:11" s="3" customFormat="1" x14ac:dyDescent="0.3">
      <c r="A173" s="16"/>
      <c r="B173" s="20"/>
      <c r="C173" s="1"/>
      <c r="D173" s="1"/>
      <c r="E173" s="1"/>
      <c r="F173" s="1"/>
      <c r="G173" s="1"/>
      <c r="H173" s="1"/>
      <c r="I173" s="1"/>
      <c r="J173" s="1"/>
      <c r="K173" s="2"/>
    </row>
    <row r="174" spans="1:11" s="3" customFormat="1" x14ac:dyDescent="0.3">
      <c r="A174" s="16"/>
      <c r="B174" s="20"/>
      <c r="C174" s="1"/>
      <c r="D174" s="1"/>
      <c r="E174" s="1"/>
      <c r="F174" s="1"/>
      <c r="G174" s="1"/>
      <c r="H174" s="1"/>
      <c r="I174" s="1"/>
      <c r="J174" s="1"/>
      <c r="K174" s="2"/>
    </row>
    <row r="175" spans="1:11" s="3" customFormat="1" x14ac:dyDescent="0.3">
      <c r="A175" s="16"/>
      <c r="B175" s="20"/>
      <c r="C175" s="1"/>
      <c r="D175" s="1"/>
      <c r="E175" s="1"/>
      <c r="F175" s="1"/>
      <c r="G175" s="1"/>
      <c r="H175" s="1"/>
      <c r="I175" s="1"/>
      <c r="J175" s="1"/>
      <c r="K175" s="2"/>
    </row>
    <row r="176" spans="1:11" s="3" customFormat="1" x14ac:dyDescent="0.3">
      <c r="A176" s="16"/>
      <c r="B176" s="20"/>
      <c r="C176" s="1"/>
      <c r="D176" s="1"/>
      <c r="E176" s="1"/>
      <c r="F176" s="1"/>
      <c r="G176" s="1"/>
      <c r="H176" s="1"/>
      <c r="I176" s="1"/>
      <c r="J176" s="1"/>
      <c r="K176" s="2"/>
    </row>
    <row r="177" spans="1:11" s="3" customFormat="1" x14ac:dyDescent="0.3">
      <c r="A177" s="16"/>
      <c r="B177" s="20"/>
      <c r="C177" s="1"/>
      <c r="D177" s="1"/>
      <c r="E177" s="1"/>
      <c r="F177" s="1"/>
      <c r="G177" s="1"/>
      <c r="H177" s="1"/>
      <c r="I177" s="1"/>
      <c r="J177" s="1"/>
      <c r="K177" s="2"/>
    </row>
    <row r="178" spans="1:11" s="3" customFormat="1" x14ac:dyDescent="0.3">
      <c r="A178" s="16"/>
      <c r="B178" s="20"/>
      <c r="C178" s="1"/>
      <c r="D178" s="1"/>
      <c r="E178" s="1"/>
      <c r="F178" s="1"/>
      <c r="G178" s="1"/>
      <c r="H178" s="1"/>
      <c r="I178" s="1"/>
      <c r="J178" s="1"/>
      <c r="K178" s="2"/>
    </row>
    <row r="179" spans="1:11" s="3" customFormat="1" x14ac:dyDescent="0.3">
      <c r="A179" s="16"/>
      <c r="B179" s="20"/>
      <c r="C179" s="1"/>
      <c r="D179" s="1"/>
      <c r="E179" s="1"/>
      <c r="F179" s="1"/>
      <c r="G179" s="1"/>
      <c r="H179" s="1"/>
      <c r="I179" s="1"/>
      <c r="J179" s="1"/>
      <c r="K179" s="2"/>
    </row>
    <row r="180" spans="1:11" s="3" customFormat="1" x14ac:dyDescent="0.3">
      <c r="A180" s="16"/>
      <c r="B180" s="20"/>
      <c r="C180" s="1"/>
      <c r="D180" s="1"/>
      <c r="E180" s="1"/>
      <c r="F180" s="1"/>
      <c r="G180" s="1"/>
      <c r="H180" s="1"/>
      <c r="I180" s="1"/>
      <c r="J180" s="1"/>
      <c r="K180" s="2"/>
    </row>
    <row r="181" spans="1:11" s="3" customFormat="1" x14ac:dyDescent="0.3">
      <c r="A181" s="16"/>
      <c r="B181" s="20"/>
      <c r="C181" s="1"/>
      <c r="D181" s="1"/>
      <c r="E181" s="1"/>
      <c r="F181" s="1"/>
      <c r="G181" s="1"/>
      <c r="H181" s="1"/>
      <c r="I181" s="1"/>
      <c r="J181" s="1"/>
      <c r="K181" s="2"/>
    </row>
    <row r="182" spans="1:11" s="3" customFormat="1" x14ac:dyDescent="0.3">
      <c r="A182" s="16"/>
      <c r="B182" s="20"/>
      <c r="C182" s="1"/>
      <c r="D182" s="1"/>
      <c r="E182" s="1"/>
      <c r="F182" s="1"/>
      <c r="G182" s="1"/>
      <c r="H182" s="1"/>
      <c r="I182" s="1"/>
      <c r="J182" s="1"/>
      <c r="K182" s="2"/>
    </row>
    <row r="183" spans="1:11" s="3" customFormat="1" x14ac:dyDescent="0.3">
      <c r="A183" s="16"/>
      <c r="B183" s="20"/>
      <c r="C183" s="1"/>
      <c r="D183" s="1"/>
      <c r="E183" s="1"/>
      <c r="F183" s="1"/>
      <c r="G183" s="1"/>
      <c r="H183" s="1"/>
      <c r="I183" s="1"/>
      <c r="J183" s="1"/>
      <c r="K183" s="2"/>
    </row>
    <row r="184" spans="1:11" s="3" customFormat="1" x14ac:dyDescent="0.3">
      <c r="A184" s="16"/>
      <c r="B184" s="20"/>
      <c r="C184" s="1"/>
      <c r="D184" s="1"/>
      <c r="E184" s="1"/>
      <c r="F184" s="1"/>
      <c r="G184" s="1"/>
      <c r="H184" s="1"/>
      <c r="I184" s="1"/>
      <c r="J184" s="1"/>
      <c r="K184" s="2"/>
    </row>
    <row r="185" spans="1:11" s="3" customFormat="1" x14ac:dyDescent="0.3">
      <c r="A185" s="16"/>
      <c r="B185" s="20"/>
      <c r="C185" s="1"/>
      <c r="D185" s="1"/>
      <c r="E185" s="1"/>
      <c r="F185" s="1"/>
      <c r="G185" s="1"/>
      <c r="H185" s="1"/>
      <c r="I185" s="1"/>
      <c r="J185" s="1"/>
      <c r="K185" s="2"/>
    </row>
    <row r="186" spans="1:11" s="3" customFormat="1" x14ac:dyDescent="0.3">
      <c r="A186" s="16"/>
      <c r="B186" s="20"/>
      <c r="C186" s="1"/>
      <c r="D186" s="1"/>
      <c r="E186" s="1"/>
      <c r="F186" s="1"/>
      <c r="G186" s="1"/>
      <c r="H186" s="1"/>
      <c r="I186" s="1"/>
      <c r="J186" s="1"/>
      <c r="K186" s="2"/>
    </row>
    <row r="187" spans="1:11" s="3" customFormat="1" x14ac:dyDescent="0.3">
      <c r="A187" s="16"/>
      <c r="B187" s="20"/>
      <c r="C187" s="1"/>
      <c r="D187" s="1"/>
      <c r="E187" s="1"/>
      <c r="F187" s="1"/>
      <c r="G187" s="1"/>
      <c r="H187" s="1"/>
      <c r="I187" s="1"/>
      <c r="J187" s="1"/>
      <c r="K187" s="2"/>
    </row>
    <row r="188" spans="1:11" s="3" customFormat="1" x14ac:dyDescent="0.3">
      <c r="A188" s="16"/>
      <c r="B188" s="20"/>
      <c r="C188" s="1"/>
      <c r="D188" s="1"/>
      <c r="E188" s="1"/>
      <c r="F188" s="1"/>
      <c r="G188" s="1"/>
      <c r="H188" s="1"/>
      <c r="I188" s="1"/>
      <c r="J188" s="1"/>
      <c r="K188" s="2"/>
    </row>
    <row r="189" spans="1:11" s="3" customFormat="1" x14ac:dyDescent="0.3">
      <c r="A189" s="16"/>
      <c r="B189" s="20"/>
      <c r="C189" s="1"/>
      <c r="D189" s="1"/>
      <c r="E189" s="1"/>
      <c r="F189" s="1"/>
      <c r="G189" s="1"/>
      <c r="H189" s="1"/>
      <c r="I189" s="1"/>
      <c r="J189" s="1"/>
      <c r="K189" s="2"/>
    </row>
    <row r="190" spans="1:11" s="3" customFormat="1" x14ac:dyDescent="0.3">
      <c r="A190" s="16"/>
      <c r="B190" s="20"/>
      <c r="C190" s="1"/>
      <c r="D190" s="1"/>
      <c r="E190" s="1"/>
      <c r="F190" s="1"/>
      <c r="G190" s="1"/>
      <c r="H190" s="1"/>
      <c r="I190" s="1"/>
      <c r="J190" s="1"/>
      <c r="K190" s="1"/>
    </row>
    <row r="191" spans="1:11" s="3" customFormat="1" x14ac:dyDescent="0.3">
      <c r="A191" s="16"/>
      <c r="B191" s="20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3">
      <c r="C192" s="1"/>
      <c r="D192" s="1"/>
      <c r="E192" s="1"/>
      <c r="F192" s="1"/>
      <c r="G192" s="1"/>
      <c r="H192" s="1"/>
      <c r="I192" s="1"/>
      <c r="J192" s="1"/>
      <c r="K192" s="1"/>
    </row>
    <row r="193" spans="3:11" x14ac:dyDescent="0.3">
      <c r="C193" s="1"/>
      <c r="D193" s="1"/>
      <c r="E193" s="1"/>
      <c r="F193" s="1"/>
      <c r="G193" s="1"/>
      <c r="H193" s="1"/>
      <c r="I193" s="1"/>
      <c r="J193" s="1"/>
      <c r="K193" s="1"/>
    </row>
    <row r="194" spans="3:11" x14ac:dyDescent="0.3">
      <c r="C194" s="1"/>
      <c r="D194" s="1"/>
      <c r="E194" s="1"/>
      <c r="F194" s="1"/>
      <c r="G194" s="1"/>
      <c r="H194" s="1"/>
      <c r="I194" s="1"/>
      <c r="J194" s="1"/>
      <c r="K194" s="1"/>
    </row>
    <row r="195" spans="3:11" x14ac:dyDescent="0.3">
      <c r="C195" s="1"/>
      <c r="D195" s="1"/>
      <c r="E195" s="1"/>
      <c r="F195" s="1"/>
      <c r="G195" s="1"/>
      <c r="H195" s="1"/>
      <c r="I195" s="1"/>
      <c r="J195" s="1"/>
      <c r="K195" s="1"/>
    </row>
    <row r="196" spans="3:11" x14ac:dyDescent="0.3">
      <c r="C196" s="1"/>
      <c r="D196" s="1"/>
      <c r="E196" s="1"/>
      <c r="F196" s="1"/>
      <c r="G196" s="1"/>
      <c r="H196" s="1"/>
      <c r="I196" s="1"/>
      <c r="J196" s="1"/>
      <c r="K196" s="1"/>
    </row>
    <row r="197" spans="3:11" x14ac:dyDescent="0.3">
      <c r="C197" s="1"/>
      <c r="D197" s="1"/>
      <c r="E197" s="1"/>
      <c r="F197" s="1"/>
      <c r="G197" s="1"/>
      <c r="H197" s="1"/>
      <c r="I197" s="1"/>
      <c r="J197" s="1"/>
      <c r="K197" s="1"/>
    </row>
    <row r="198" spans="3:11" x14ac:dyDescent="0.3">
      <c r="C198" s="1"/>
      <c r="D198" s="1"/>
      <c r="E198" s="1"/>
      <c r="F198" s="1"/>
      <c r="G198" s="1"/>
      <c r="H198" s="1"/>
      <c r="I198" s="1"/>
      <c r="J198" s="1"/>
      <c r="K198" s="1"/>
    </row>
    <row r="199" spans="3:11" x14ac:dyDescent="0.3">
      <c r="C199" s="1"/>
      <c r="D199" s="1"/>
      <c r="E199" s="1"/>
      <c r="F199" s="1"/>
      <c r="G199" s="1"/>
      <c r="H199" s="1"/>
      <c r="I199" s="1"/>
      <c r="J199" s="1"/>
      <c r="K199" s="1"/>
    </row>
    <row r="200" spans="3:11" x14ac:dyDescent="0.3">
      <c r="C200" s="1"/>
      <c r="D200" s="1"/>
      <c r="E200" s="1"/>
      <c r="F200" s="1"/>
      <c r="G200" s="1"/>
      <c r="H200" s="1"/>
      <c r="I200" s="1"/>
      <c r="J200" s="1"/>
      <c r="K200" s="1"/>
    </row>
    <row r="201" spans="3:11" x14ac:dyDescent="0.3">
      <c r="C201" s="1"/>
      <c r="D201" s="1"/>
      <c r="E201" s="1"/>
      <c r="F201" s="1"/>
      <c r="G201" s="1"/>
      <c r="H201" s="1"/>
      <c r="I201" s="1"/>
      <c r="J201" s="1"/>
      <c r="K201" s="1"/>
    </row>
    <row r="202" spans="3:11" x14ac:dyDescent="0.3">
      <c r="C202" s="1"/>
      <c r="D202" s="1"/>
      <c r="E202" s="1"/>
      <c r="F202" s="1"/>
      <c r="G202" s="1"/>
      <c r="H202" s="1"/>
      <c r="I202" s="1"/>
      <c r="J202" s="1"/>
      <c r="K202" s="1"/>
    </row>
    <row r="203" spans="3:11" x14ac:dyDescent="0.3">
      <c r="C203" s="1"/>
      <c r="D203" s="1"/>
      <c r="E203" s="1"/>
      <c r="F203" s="1"/>
      <c r="G203" s="1"/>
      <c r="H203" s="1"/>
      <c r="I203" s="1"/>
      <c r="J203" s="1"/>
      <c r="K203" s="1"/>
    </row>
    <row r="204" spans="3:11" x14ac:dyDescent="0.3">
      <c r="C204" s="1"/>
      <c r="D204" s="1"/>
      <c r="E204" s="1"/>
      <c r="F204" s="1"/>
      <c r="G204" s="1"/>
      <c r="H204" s="1"/>
      <c r="I204" s="1"/>
      <c r="J204" s="1"/>
      <c r="K204" s="1"/>
    </row>
    <row r="205" spans="3:11" x14ac:dyDescent="0.3">
      <c r="C205" s="1"/>
      <c r="D205" s="1"/>
      <c r="E205" s="1"/>
      <c r="F205" s="1"/>
      <c r="G205" s="1"/>
      <c r="H205" s="1"/>
      <c r="I205" s="1"/>
      <c r="J205" s="1"/>
      <c r="K205" s="1"/>
    </row>
    <row r="206" spans="3:11" x14ac:dyDescent="0.3">
      <c r="C206" s="1"/>
      <c r="D206" s="1"/>
      <c r="E206" s="1"/>
      <c r="F206" s="1"/>
      <c r="G206" s="1"/>
      <c r="H206" s="1"/>
      <c r="I206" s="1"/>
      <c r="J206" s="1"/>
      <c r="K206" s="1"/>
    </row>
    <row r="207" spans="3:11" x14ac:dyDescent="0.3">
      <c r="C207" s="1"/>
      <c r="D207" s="1"/>
      <c r="E207" s="1"/>
      <c r="F207" s="1"/>
      <c r="G207" s="1"/>
      <c r="H207" s="1"/>
      <c r="I207" s="1"/>
      <c r="J207" s="1"/>
      <c r="K207" s="1"/>
    </row>
    <row r="208" spans="3:11" x14ac:dyDescent="0.3">
      <c r="C208" s="1"/>
      <c r="D208" s="1"/>
      <c r="E208" s="1"/>
      <c r="F208" s="1"/>
      <c r="G208" s="1"/>
      <c r="H208" s="1"/>
      <c r="I208" s="1"/>
      <c r="J208" s="1"/>
      <c r="K208" s="1"/>
    </row>
    <row r="209" spans="3:11" x14ac:dyDescent="0.3">
      <c r="C209" s="1"/>
      <c r="D209" s="1"/>
      <c r="E209" s="1"/>
      <c r="F209" s="1"/>
      <c r="G209" s="1"/>
      <c r="H209" s="1"/>
      <c r="I209" s="1"/>
      <c r="J209" s="1"/>
      <c r="K209" s="1"/>
    </row>
    <row r="210" spans="3:11" x14ac:dyDescent="0.3">
      <c r="C210" s="1"/>
      <c r="D210" s="1"/>
      <c r="E210" s="1"/>
      <c r="F210" s="1"/>
      <c r="G210" s="1"/>
      <c r="H210" s="1"/>
      <c r="I210" s="1"/>
      <c r="J210" s="1"/>
      <c r="K210" s="1"/>
    </row>
    <row r="211" spans="3:11" x14ac:dyDescent="0.3">
      <c r="C211" s="1"/>
      <c r="D211" s="1"/>
      <c r="E211" s="1"/>
      <c r="F211" s="1"/>
      <c r="G211" s="1"/>
      <c r="H211" s="1"/>
      <c r="I211" s="1"/>
      <c r="J211" s="1"/>
      <c r="K211" s="1"/>
    </row>
    <row r="212" spans="3:11" x14ac:dyDescent="0.3">
      <c r="C212" s="1"/>
      <c r="D212" s="1"/>
      <c r="E212" s="1"/>
      <c r="F212" s="1"/>
      <c r="G212" s="1"/>
      <c r="H212" s="1"/>
      <c r="I212" s="1"/>
      <c r="J212" s="1"/>
      <c r="K212" s="1"/>
    </row>
    <row r="213" spans="3:11" x14ac:dyDescent="0.3">
      <c r="C213" s="1"/>
      <c r="D213" s="1"/>
      <c r="E213" s="1"/>
      <c r="F213" s="1"/>
      <c r="G213" s="1"/>
      <c r="H213" s="1"/>
      <c r="I213" s="1"/>
      <c r="J213" s="1"/>
      <c r="K213" s="1"/>
    </row>
    <row r="214" spans="3:11" x14ac:dyDescent="0.3">
      <c r="C214" s="1"/>
      <c r="D214" s="1"/>
      <c r="E214" s="1"/>
      <c r="F214" s="1"/>
      <c r="G214" s="1"/>
      <c r="H214" s="1"/>
      <c r="I214" s="1"/>
      <c r="J214" s="1"/>
      <c r="K214" s="1"/>
    </row>
    <row r="215" spans="3:11" x14ac:dyDescent="0.3">
      <c r="C215" s="1"/>
      <c r="D215" s="1"/>
      <c r="E215" s="1"/>
      <c r="F215" s="1"/>
      <c r="G215" s="1"/>
      <c r="H215" s="1"/>
      <c r="I215" s="1"/>
      <c r="J215" s="1"/>
      <c r="K215" s="1"/>
    </row>
    <row r="216" spans="3:11" x14ac:dyDescent="0.3">
      <c r="C216" s="1"/>
      <c r="D216" s="1"/>
      <c r="E216" s="1"/>
      <c r="F216" s="1"/>
      <c r="G216" s="1"/>
      <c r="H216" s="1"/>
      <c r="I216" s="1"/>
      <c r="J216" s="1"/>
      <c r="K216" s="1"/>
    </row>
    <row r="217" spans="3:11" x14ac:dyDescent="0.3">
      <c r="C217" s="1"/>
      <c r="D217" s="1"/>
      <c r="E217" s="1"/>
      <c r="F217" s="1"/>
      <c r="G217" s="1"/>
      <c r="H217" s="1"/>
      <c r="I217" s="1"/>
      <c r="J217" s="1"/>
      <c r="K217" s="1"/>
    </row>
    <row r="218" spans="3:11" x14ac:dyDescent="0.3">
      <c r="C218" s="1"/>
      <c r="D218" s="1"/>
      <c r="E218" s="1"/>
      <c r="F218" s="1"/>
      <c r="G218" s="1"/>
      <c r="H218" s="1"/>
      <c r="I218" s="1"/>
      <c r="J218" s="1"/>
      <c r="K218" s="1"/>
    </row>
    <row r="219" spans="3:11" x14ac:dyDescent="0.3">
      <c r="C219" s="1"/>
      <c r="D219" s="1"/>
      <c r="E219" s="1"/>
      <c r="F219" s="1"/>
      <c r="G219" s="1"/>
      <c r="H219" s="1"/>
      <c r="I219" s="1"/>
      <c r="J219" s="1"/>
      <c r="K219" s="1"/>
    </row>
    <row r="220" spans="3:11" x14ac:dyDescent="0.3">
      <c r="C220" s="1"/>
      <c r="D220" s="1"/>
      <c r="E220" s="1"/>
      <c r="F220" s="1"/>
      <c r="G220" s="1"/>
      <c r="H220" s="1"/>
      <c r="I220" s="1"/>
      <c r="J220" s="1"/>
      <c r="K220" s="1"/>
    </row>
    <row r="221" spans="3:11" x14ac:dyDescent="0.3">
      <c r="C221" s="1"/>
      <c r="D221" s="1"/>
      <c r="E221" s="1"/>
      <c r="F221" s="1"/>
      <c r="G221" s="1"/>
      <c r="H221" s="1"/>
      <c r="I221" s="1"/>
      <c r="J221" s="1"/>
      <c r="K221" s="1"/>
    </row>
    <row r="222" spans="3:11" x14ac:dyDescent="0.3">
      <c r="C222" s="1"/>
      <c r="D222" s="1"/>
      <c r="E222" s="1"/>
      <c r="F222" s="1"/>
      <c r="G222" s="1"/>
      <c r="H222" s="1"/>
      <c r="I222" s="1"/>
      <c r="J222" s="1"/>
      <c r="K222" s="1"/>
    </row>
    <row r="223" spans="3:11" x14ac:dyDescent="0.3">
      <c r="C223" s="1"/>
      <c r="D223" s="1"/>
      <c r="E223" s="1"/>
      <c r="F223" s="1"/>
      <c r="G223" s="1"/>
      <c r="H223" s="1"/>
      <c r="I223" s="1"/>
      <c r="J223" s="1"/>
      <c r="K223" s="1"/>
    </row>
    <row r="224" spans="3:11" x14ac:dyDescent="0.3">
      <c r="C224" s="1"/>
      <c r="D224" s="1"/>
      <c r="E224" s="1"/>
      <c r="F224" s="1"/>
      <c r="G224" s="1"/>
      <c r="H224" s="1"/>
      <c r="I224" s="1"/>
      <c r="J224" s="1"/>
      <c r="K224" s="1"/>
    </row>
    <row r="225" spans="3:11" x14ac:dyDescent="0.3">
      <c r="C225" s="1"/>
      <c r="D225" s="1"/>
      <c r="E225" s="1"/>
      <c r="F225" s="1"/>
      <c r="G225" s="1"/>
      <c r="H225" s="1"/>
      <c r="I225" s="1"/>
      <c r="J225" s="1"/>
      <c r="K225" s="1"/>
    </row>
    <row r="226" spans="3:11" x14ac:dyDescent="0.3">
      <c r="C226" s="1"/>
      <c r="D226" s="1"/>
      <c r="E226" s="1"/>
      <c r="F226" s="1"/>
      <c r="G226" s="1"/>
      <c r="H226" s="1"/>
      <c r="I226" s="1"/>
      <c r="J226" s="1"/>
      <c r="K226" s="1"/>
    </row>
    <row r="227" spans="3:11" x14ac:dyDescent="0.3">
      <c r="C227" s="1"/>
      <c r="D227" s="1"/>
      <c r="E227" s="1"/>
      <c r="F227" s="1"/>
      <c r="G227" s="1"/>
      <c r="H227" s="1"/>
      <c r="I227" s="1"/>
      <c r="J227" s="1"/>
      <c r="K227" s="1"/>
    </row>
    <row r="228" spans="3:11" x14ac:dyDescent="0.3">
      <c r="C228" s="1"/>
      <c r="D228" s="1"/>
      <c r="E228" s="1"/>
      <c r="F228" s="1"/>
      <c r="G228" s="1"/>
      <c r="H228" s="1"/>
      <c r="I228" s="1"/>
      <c r="J228" s="1"/>
      <c r="K228" s="1"/>
    </row>
    <row r="229" spans="3:11" x14ac:dyDescent="0.3">
      <c r="C229" s="1"/>
      <c r="D229" s="1"/>
      <c r="E229" s="1"/>
      <c r="F229" s="1"/>
      <c r="G229" s="1"/>
      <c r="H229" s="1"/>
      <c r="I229" s="1"/>
      <c r="J229" s="1"/>
      <c r="K229" s="1"/>
    </row>
    <row r="230" spans="3:11" x14ac:dyDescent="0.3">
      <c r="K230" s="1"/>
    </row>
    <row r="231" spans="3:11" x14ac:dyDescent="0.3">
      <c r="K231" s="1"/>
    </row>
    <row r="232" spans="3:11" x14ac:dyDescent="0.3">
      <c r="K232" s="1"/>
    </row>
    <row r="233" spans="3:11" x14ac:dyDescent="0.3">
      <c r="K233" s="1"/>
    </row>
    <row r="234" spans="3:11" x14ac:dyDescent="0.3">
      <c r="K234" s="1"/>
    </row>
    <row r="235" spans="3:11" x14ac:dyDescent="0.3">
      <c r="K235" s="1"/>
    </row>
    <row r="236" spans="3:11" x14ac:dyDescent="0.3">
      <c r="K236" s="1"/>
    </row>
    <row r="237" spans="3:11" x14ac:dyDescent="0.3">
      <c r="K237" s="1"/>
    </row>
    <row r="238" spans="3:11" x14ac:dyDescent="0.3">
      <c r="K238" s="1"/>
    </row>
    <row r="239" spans="3:11" x14ac:dyDescent="0.3">
      <c r="K239" s="1"/>
    </row>
    <row r="240" spans="3:11" x14ac:dyDescent="0.3">
      <c r="K240" s="1"/>
    </row>
    <row r="241" spans="11:11" x14ac:dyDescent="0.3">
      <c r="K241" s="1"/>
    </row>
    <row r="242" spans="11:11" x14ac:dyDescent="0.3">
      <c r="K242" s="1"/>
    </row>
    <row r="243" spans="11:11" x14ac:dyDescent="0.3">
      <c r="K243" s="1"/>
    </row>
    <row r="244" spans="11:11" x14ac:dyDescent="0.3">
      <c r="K244" s="1"/>
    </row>
    <row r="245" spans="11:11" x14ac:dyDescent="0.3">
      <c r="K245" s="1"/>
    </row>
    <row r="246" spans="11:11" x14ac:dyDescent="0.3">
      <c r="K246" s="1"/>
    </row>
    <row r="247" spans="11:11" x14ac:dyDescent="0.3">
      <c r="K247" s="1"/>
    </row>
    <row r="248" spans="11:11" x14ac:dyDescent="0.3">
      <c r="K248" s="1"/>
    </row>
    <row r="249" spans="11:11" x14ac:dyDescent="0.3">
      <c r="K249" s="1"/>
    </row>
    <row r="250" spans="11:11" x14ac:dyDescent="0.3">
      <c r="K250" s="1"/>
    </row>
    <row r="251" spans="11:11" x14ac:dyDescent="0.3">
      <c r="K251" s="1"/>
    </row>
    <row r="252" spans="11:11" x14ac:dyDescent="0.3">
      <c r="K252" s="1"/>
    </row>
    <row r="253" spans="11:11" x14ac:dyDescent="0.3">
      <c r="K253" s="1"/>
    </row>
    <row r="254" spans="11:11" x14ac:dyDescent="0.3">
      <c r="K254" s="1"/>
    </row>
    <row r="255" spans="11:11" x14ac:dyDescent="0.3">
      <c r="K255" s="1"/>
    </row>
    <row r="256" spans="11:11" x14ac:dyDescent="0.3">
      <c r="K256" s="1"/>
    </row>
    <row r="257" spans="11:11" x14ac:dyDescent="0.3">
      <c r="K257" s="1"/>
    </row>
    <row r="258" spans="11:11" x14ac:dyDescent="0.3">
      <c r="K258" s="1"/>
    </row>
    <row r="259" spans="11:11" x14ac:dyDescent="0.3">
      <c r="K259" s="1"/>
    </row>
    <row r="260" spans="11:11" x14ac:dyDescent="0.3">
      <c r="K260" s="1"/>
    </row>
    <row r="261" spans="11:11" x14ac:dyDescent="0.3">
      <c r="K261" s="1"/>
    </row>
    <row r="262" spans="11:11" x14ac:dyDescent="0.3">
      <c r="K262" s="1"/>
    </row>
    <row r="263" spans="11:11" x14ac:dyDescent="0.3">
      <c r="K263" s="1"/>
    </row>
    <row r="264" spans="11:11" x14ac:dyDescent="0.3">
      <c r="K264" s="1"/>
    </row>
    <row r="265" spans="11:11" x14ac:dyDescent="0.3">
      <c r="K265" s="1"/>
    </row>
  </sheetData>
  <mergeCells count="10">
    <mergeCell ref="B2:B3"/>
    <mergeCell ref="I14:J14"/>
    <mergeCell ref="C2:E2"/>
    <mergeCell ref="F2:H2"/>
    <mergeCell ref="I2:K2"/>
    <mergeCell ref="B18:B19"/>
    <mergeCell ref="C18:C19"/>
    <mergeCell ref="D18:D19"/>
    <mergeCell ref="E18:E19"/>
    <mergeCell ref="A25:A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zoomScale="80" zoomScaleNormal="80" workbookViewId="0">
      <selection activeCell="D19" sqref="D19"/>
    </sheetView>
  </sheetViews>
  <sheetFormatPr defaultRowHeight="14.4" x14ac:dyDescent="0.3"/>
  <cols>
    <col min="1" max="1" width="34.33203125" style="3" bestFit="1" customWidth="1"/>
    <col min="2" max="2" width="13.5546875" customWidth="1"/>
    <col min="3" max="3" width="18.33203125" bestFit="1" customWidth="1"/>
    <col min="4" max="4" width="14.109375" customWidth="1"/>
    <col min="5" max="6" width="16.5546875" customWidth="1"/>
  </cols>
  <sheetData>
    <row r="1" spans="1:6" ht="15.6" customHeight="1" x14ac:dyDescent="0.3">
      <c r="A1" s="11"/>
      <c r="C1" s="25" t="s">
        <v>59</v>
      </c>
      <c r="D1" s="25"/>
      <c r="E1" s="25"/>
      <c r="F1" s="25"/>
    </row>
    <row r="2" spans="1:6" ht="15.6" x14ac:dyDescent="0.3">
      <c r="A2" s="26" t="s">
        <v>0</v>
      </c>
      <c r="B2" s="27" t="s">
        <v>16</v>
      </c>
      <c r="C2" s="10" t="s">
        <v>15</v>
      </c>
      <c r="D2" s="28"/>
    </row>
    <row r="3" spans="1:6" ht="15.6" x14ac:dyDescent="0.3">
      <c r="A3" s="29" t="s">
        <v>96</v>
      </c>
      <c r="B3" s="13" t="s">
        <v>159</v>
      </c>
      <c r="C3" s="14">
        <f>(1+0/20+0/240)/D17</f>
        <v>7.6923076923076927E-2</v>
      </c>
      <c r="D3" s="28"/>
    </row>
    <row r="4" spans="1:6" x14ac:dyDescent="0.3">
      <c r="A4" s="29" t="s">
        <v>97</v>
      </c>
      <c r="B4" s="13" t="s">
        <v>159</v>
      </c>
      <c r="C4" s="14">
        <f>(3+13/20+6/240)/D17</f>
        <v>0.28269230769230769</v>
      </c>
    </row>
    <row r="5" spans="1:6" x14ac:dyDescent="0.3">
      <c r="A5" s="29" t="s">
        <v>98</v>
      </c>
      <c r="B5" s="13" t="s">
        <v>17</v>
      </c>
      <c r="C5" s="82">
        <f>(0+2/20+2.5/240)/1.25</f>
        <v>8.8333333333333347E-2</v>
      </c>
    </row>
    <row r="6" spans="1:6" x14ac:dyDescent="0.3">
      <c r="A6" s="29"/>
      <c r="B6" s="13"/>
      <c r="C6" s="14"/>
    </row>
    <row r="7" spans="1:6" x14ac:dyDescent="0.3">
      <c r="A7" s="29"/>
      <c r="B7" s="13"/>
    </row>
    <row r="8" spans="1:6" x14ac:dyDescent="0.3">
      <c r="A8" s="29"/>
      <c r="B8" s="13"/>
      <c r="C8" s="13"/>
      <c r="D8" s="14"/>
    </row>
    <row r="9" spans="1:6" ht="15" x14ac:dyDescent="0.3">
      <c r="A9" s="22"/>
      <c r="B9" s="13"/>
      <c r="C9" s="13"/>
      <c r="D9" s="14"/>
    </row>
    <row r="10" spans="1:6" x14ac:dyDescent="0.3">
      <c r="A10" s="30" t="s">
        <v>42</v>
      </c>
    </row>
    <row r="11" spans="1:6" x14ac:dyDescent="0.3">
      <c r="A11" s="3" t="s">
        <v>43</v>
      </c>
      <c r="B11" s="3">
        <v>1</v>
      </c>
      <c r="C11" s="4" t="s">
        <v>44</v>
      </c>
      <c r="D11" s="6">
        <v>52.5</v>
      </c>
      <c r="E11" s="4" t="s">
        <v>45</v>
      </c>
    </row>
    <row r="12" spans="1:6" x14ac:dyDescent="0.3">
      <c r="A12" s="3" t="s">
        <v>46</v>
      </c>
      <c r="B12" s="3">
        <v>1</v>
      </c>
      <c r="C12" s="4" t="s">
        <v>44</v>
      </c>
      <c r="D12" s="6">
        <v>55.52</v>
      </c>
      <c r="E12" s="4" t="s">
        <v>45</v>
      </c>
    </row>
    <row r="13" spans="1:6" x14ac:dyDescent="0.3">
      <c r="A13" s="3" t="s">
        <v>47</v>
      </c>
      <c r="B13" s="3">
        <v>1</v>
      </c>
      <c r="C13" s="4" t="s">
        <v>44</v>
      </c>
      <c r="D13" s="6">
        <v>61.082999999999998</v>
      </c>
      <c r="E13" s="4" t="s">
        <v>45</v>
      </c>
    </row>
    <row r="14" spans="1:6" x14ac:dyDescent="0.3">
      <c r="A14" s="3" t="s">
        <v>55</v>
      </c>
      <c r="B14" s="3">
        <v>1</v>
      </c>
      <c r="C14" s="4" t="s">
        <v>44</v>
      </c>
      <c r="D14" s="6">
        <v>58.503</v>
      </c>
      <c r="E14" s="4" t="s">
        <v>45</v>
      </c>
    </row>
    <row r="15" spans="1:6" x14ac:dyDescent="0.3">
      <c r="A15" s="3" t="s">
        <v>54</v>
      </c>
      <c r="B15" s="3">
        <v>1</v>
      </c>
      <c r="C15" s="4" t="s">
        <v>44</v>
      </c>
      <c r="D15" s="6">
        <v>58.503</v>
      </c>
      <c r="E15" s="4" t="s">
        <v>45</v>
      </c>
    </row>
    <row r="16" spans="1:6" x14ac:dyDescent="0.3">
      <c r="A16" s="3" t="s">
        <v>58</v>
      </c>
      <c r="B16" s="3">
        <v>1</v>
      </c>
      <c r="C16" s="4" t="s">
        <v>44</v>
      </c>
      <c r="D16" s="6">
        <v>52.5</v>
      </c>
      <c r="E16" s="4" t="s">
        <v>45</v>
      </c>
    </row>
    <row r="17" spans="2:5" x14ac:dyDescent="0.3">
      <c r="B17">
        <v>1</v>
      </c>
      <c r="C17" s="4" t="s">
        <v>48</v>
      </c>
      <c r="D17">
        <v>13</v>
      </c>
      <c r="E17" s="4" t="s">
        <v>49</v>
      </c>
    </row>
    <row r="18" spans="2:5" x14ac:dyDescent="0.3">
      <c r="B18">
        <v>1</v>
      </c>
      <c r="C18" s="4" t="s">
        <v>197</v>
      </c>
      <c r="D18">
        <v>2204.6</v>
      </c>
      <c r="E18" s="4" t="s">
        <v>49</v>
      </c>
    </row>
    <row r="19" spans="2:5" x14ac:dyDescent="0.3">
      <c r="B19">
        <v>1</v>
      </c>
      <c r="C19" s="4" t="s">
        <v>198</v>
      </c>
      <c r="D19" s="90">
        <v>2240</v>
      </c>
      <c r="E19" s="4" t="s">
        <v>49</v>
      </c>
    </row>
    <row r="20" spans="2:5" x14ac:dyDescent="0.3">
      <c r="B20">
        <v>1</v>
      </c>
      <c r="C20" s="4" t="s">
        <v>150</v>
      </c>
      <c r="D20" s="6">
        <v>9</v>
      </c>
      <c r="E20" s="4" t="s">
        <v>162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G4" sqref="G4"/>
    </sheetView>
  </sheetViews>
  <sheetFormatPr defaultRowHeight="14.4" x14ac:dyDescent="0.3"/>
  <cols>
    <col min="1" max="1" width="34.33203125" style="3" bestFit="1" customWidth="1"/>
    <col min="2" max="2" width="13.5546875" customWidth="1"/>
    <col min="3" max="5" width="18.33203125" bestFit="1" customWidth="1"/>
    <col min="6" max="6" width="18.77734375" customWidth="1"/>
    <col min="7" max="7" width="19.21875" customWidth="1"/>
    <col min="8" max="9" width="16.5546875" customWidth="1"/>
  </cols>
  <sheetData>
    <row r="1" spans="1:11" ht="15.6" customHeight="1" x14ac:dyDescent="0.3">
      <c r="A1" s="11"/>
      <c r="C1" s="25" t="s">
        <v>95</v>
      </c>
      <c r="D1" s="25" t="s">
        <v>59</v>
      </c>
      <c r="E1" s="25" t="s">
        <v>57</v>
      </c>
      <c r="F1" s="25" t="s">
        <v>52</v>
      </c>
      <c r="G1" s="25" t="s">
        <v>53</v>
      </c>
      <c r="H1" s="25" t="s">
        <v>51</v>
      </c>
      <c r="I1" s="25"/>
      <c r="J1" s="25"/>
      <c r="K1" s="25"/>
    </row>
    <row r="2" spans="1:11" ht="15.6" x14ac:dyDescent="0.3">
      <c r="A2" s="26" t="s">
        <v>0</v>
      </c>
      <c r="B2" s="27" t="s">
        <v>16</v>
      </c>
      <c r="C2" s="10" t="s">
        <v>15</v>
      </c>
      <c r="D2" s="10" t="s">
        <v>15</v>
      </c>
      <c r="E2" s="10" t="s">
        <v>15</v>
      </c>
      <c r="F2" s="10" t="s">
        <v>15</v>
      </c>
      <c r="G2" s="10" t="s">
        <v>15</v>
      </c>
      <c r="H2" s="10" t="s">
        <v>15</v>
      </c>
      <c r="I2" s="28"/>
    </row>
    <row r="3" spans="1:11" x14ac:dyDescent="0.3">
      <c r="A3" s="29" t="s">
        <v>11</v>
      </c>
      <c r="B3" s="13" t="s">
        <v>165</v>
      </c>
      <c r="C3" s="14">
        <f>360/$D$26*$D$27</f>
        <v>62.030769230769231</v>
      </c>
      <c r="D3" s="14">
        <f>(220+350)/2/$D$26*$D$27</f>
        <v>49.107692307692304</v>
      </c>
      <c r="E3" s="14">
        <f>(270+340)/2/$D$25*$D$27</f>
        <v>50.051282051282044</v>
      </c>
      <c r="F3" s="14">
        <f>(((4+5)/2)+((4+4)/2/20)+((8+6)/2/240))*$D$27</f>
        <v>40.743589743589745</v>
      </c>
      <c r="G3" s="14">
        <f>(((5+6)/2)+((1+3)/2/20)+((9+7)/2/240))*$D$27</f>
        <v>48.533333333333324</v>
      </c>
      <c r="H3" s="14">
        <f>(440+600)/2/$D$22*$D$27</f>
        <v>73.34282861025163</v>
      </c>
    </row>
    <row r="4" spans="1:11" x14ac:dyDescent="0.3">
      <c r="A4" s="29" t="s">
        <v>56</v>
      </c>
      <c r="B4" s="13" t="s">
        <v>165</v>
      </c>
      <c r="C4" s="14">
        <f>((2.75+3)/2)/$D$26*$D$27</f>
        <v>0.49538461538461537</v>
      </c>
      <c r="D4" s="14"/>
      <c r="E4" s="13"/>
      <c r="F4" s="14">
        <f>((2/20)+(6/240))*$D$27</f>
        <v>1.0769230769230769</v>
      </c>
      <c r="G4" s="14">
        <f>((2/20)+(10/240))*$D$27</f>
        <v>1.2205128205128204</v>
      </c>
      <c r="H4" s="14"/>
    </row>
    <row r="5" spans="1:11" x14ac:dyDescent="0.3">
      <c r="A5" s="29" t="s">
        <v>6</v>
      </c>
      <c r="B5" s="13" t="s">
        <v>165</v>
      </c>
      <c r="C5" s="14"/>
      <c r="D5" s="14"/>
      <c r="E5" s="13"/>
      <c r="F5" s="14">
        <f>((4/20)+(8/240))*$D$27</f>
        <v>2.0102564102564102</v>
      </c>
      <c r="G5" s="14">
        <f>((3/20)+(1.5/240))*$D$27</f>
        <v>1.346153846153846</v>
      </c>
      <c r="H5" s="14">
        <f>(8.5+11.5)/2/$D$22*$D$27</f>
        <v>1.4104390117356083</v>
      </c>
    </row>
    <row r="6" spans="1:11" x14ac:dyDescent="0.3">
      <c r="A6" s="29" t="s">
        <v>99</v>
      </c>
      <c r="B6" s="13" t="s">
        <v>100</v>
      </c>
      <c r="C6" s="14">
        <f>8/$D$26</f>
        <v>0.16</v>
      </c>
      <c r="D6" s="14"/>
      <c r="E6" s="13"/>
      <c r="F6" s="14"/>
      <c r="G6" s="14"/>
      <c r="H6" s="14"/>
    </row>
    <row r="7" spans="1:11" x14ac:dyDescent="0.3">
      <c r="A7" s="29" t="s">
        <v>41</v>
      </c>
      <c r="B7" s="13" t="s">
        <v>165</v>
      </c>
      <c r="C7" s="14"/>
      <c r="D7" s="14"/>
      <c r="E7" s="13"/>
      <c r="G7" s="14">
        <f>((4/20)+(10/240))*$D$27</f>
        <v>2.0820512820512818</v>
      </c>
      <c r="H7" s="14">
        <f>(16.25+20.5)/2/$D$22*$D$27</f>
        <v>2.5916816840641799</v>
      </c>
    </row>
    <row r="8" spans="1:11" x14ac:dyDescent="0.3">
      <c r="A8" s="29" t="s">
        <v>39</v>
      </c>
      <c r="B8" s="13" t="s">
        <v>165</v>
      </c>
      <c r="C8" s="14"/>
      <c r="D8" s="14"/>
      <c r="E8" s="13"/>
      <c r="F8" s="14"/>
      <c r="G8" s="14"/>
      <c r="H8" s="14">
        <f>4/$D$22*$D$27</f>
        <v>0.56417560469424322</v>
      </c>
    </row>
    <row r="9" spans="1:11" x14ac:dyDescent="0.3">
      <c r="A9" s="29"/>
      <c r="B9" s="13"/>
      <c r="C9" s="14"/>
      <c r="D9" s="14"/>
      <c r="E9" s="14"/>
    </row>
    <row r="10" spans="1:11" x14ac:dyDescent="0.3">
      <c r="A10" s="29"/>
      <c r="B10" s="13"/>
      <c r="C10" s="14"/>
      <c r="D10" s="14"/>
      <c r="E10" s="14"/>
    </row>
    <row r="11" spans="1:11" x14ac:dyDescent="0.3">
      <c r="A11" s="29"/>
      <c r="B11" s="13"/>
      <c r="C11" s="14"/>
      <c r="D11" s="14"/>
      <c r="E11" s="14"/>
    </row>
    <row r="12" spans="1:11" x14ac:dyDescent="0.3">
      <c r="A12" s="29"/>
      <c r="B12" s="13"/>
      <c r="C12" s="14"/>
      <c r="D12" s="14"/>
      <c r="E12" s="14"/>
    </row>
    <row r="13" spans="1:11" x14ac:dyDescent="0.3">
      <c r="A13" s="29"/>
      <c r="B13" s="13"/>
      <c r="C13" s="14"/>
      <c r="D13" s="14"/>
      <c r="E13" s="14"/>
    </row>
    <row r="14" spans="1:11" x14ac:dyDescent="0.3">
      <c r="A14" s="29"/>
      <c r="B14" s="13"/>
      <c r="C14" s="14"/>
      <c r="D14" s="14"/>
      <c r="E14" s="14"/>
    </row>
    <row r="15" spans="1:11" x14ac:dyDescent="0.3">
      <c r="A15" s="29"/>
      <c r="B15" s="13"/>
      <c r="C15" s="14"/>
      <c r="D15" s="14"/>
      <c r="E15" s="14"/>
    </row>
    <row r="16" spans="1:11" x14ac:dyDescent="0.3">
      <c r="A16" s="29"/>
      <c r="B16" s="13"/>
      <c r="C16" s="13"/>
      <c r="D16" s="13"/>
      <c r="E16" s="13"/>
      <c r="F16" s="14"/>
    </row>
    <row r="17" spans="1:7" x14ac:dyDescent="0.3">
      <c r="A17" s="29"/>
      <c r="B17" s="13"/>
      <c r="C17" s="13"/>
      <c r="D17" s="13"/>
      <c r="E17" s="13"/>
      <c r="F17" s="29"/>
      <c r="G17" s="14"/>
    </row>
    <row r="18" spans="1:7" ht="15" x14ac:dyDescent="0.3">
      <c r="A18" s="22"/>
      <c r="B18" s="13"/>
      <c r="C18" s="13"/>
      <c r="D18" s="13"/>
      <c r="E18" s="13"/>
      <c r="F18" s="12"/>
      <c r="G18" s="14"/>
    </row>
    <row r="19" spans="1:7" x14ac:dyDescent="0.3">
      <c r="A19" s="30" t="s">
        <v>42</v>
      </c>
    </row>
    <row r="20" spans="1:7" x14ac:dyDescent="0.3">
      <c r="A20" s="3" t="s">
        <v>43</v>
      </c>
      <c r="B20" s="3">
        <v>1</v>
      </c>
      <c r="C20" s="4" t="s">
        <v>44</v>
      </c>
      <c r="D20" s="6">
        <v>52.5</v>
      </c>
      <c r="E20" s="4" t="s">
        <v>45</v>
      </c>
    </row>
    <row r="21" spans="1:7" x14ac:dyDescent="0.3">
      <c r="A21" s="3" t="s">
        <v>46</v>
      </c>
      <c r="B21" s="3">
        <v>1</v>
      </c>
      <c r="C21" s="4" t="s">
        <v>44</v>
      </c>
      <c r="D21" s="6">
        <v>55.52</v>
      </c>
      <c r="E21" s="4" t="s">
        <v>45</v>
      </c>
    </row>
    <row r="22" spans="1:7" x14ac:dyDescent="0.3">
      <c r="A22" s="3" t="s">
        <v>47</v>
      </c>
      <c r="B22" s="3">
        <v>1</v>
      </c>
      <c r="C22" s="4" t="s">
        <v>44</v>
      </c>
      <c r="D22" s="6">
        <v>61.082999999999998</v>
      </c>
      <c r="E22" s="4" t="s">
        <v>45</v>
      </c>
    </row>
    <row r="23" spans="1:7" x14ac:dyDescent="0.3">
      <c r="A23" s="3" t="s">
        <v>55</v>
      </c>
      <c r="B23" s="3">
        <v>1</v>
      </c>
      <c r="C23" s="4" t="s">
        <v>44</v>
      </c>
      <c r="D23" s="6">
        <v>58.503</v>
      </c>
      <c r="E23" s="4" t="s">
        <v>45</v>
      </c>
    </row>
    <row r="24" spans="1:7" x14ac:dyDescent="0.3">
      <c r="A24" s="3" t="s">
        <v>54</v>
      </c>
      <c r="B24" s="3">
        <v>1</v>
      </c>
      <c r="C24" s="4" t="s">
        <v>44</v>
      </c>
      <c r="D24" s="6">
        <v>58.503</v>
      </c>
      <c r="E24" s="4" t="s">
        <v>45</v>
      </c>
    </row>
    <row r="25" spans="1:7" x14ac:dyDescent="0.3">
      <c r="A25" s="3" t="s">
        <v>58</v>
      </c>
      <c r="B25" s="3">
        <v>1</v>
      </c>
      <c r="C25" s="4" t="s">
        <v>44</v>
      </c>
      <c r="D25" s="6">
        <v>52.5</v>
      </c>
      <c r="E25" s="4" t="s">
        <v>45</v>
      </c>
    </row>
    <row r="26" spans="1:7" x14ac:dyDescent="0.3">
      <c r="A26" s="3" t="s">
        <v>89</v>
      </c>
      <c r="B26" s="3">
        <v>1</v>
      </c>
      <c r="C26" s="4" t="s">
        <v>44</v>
      </c>
      <c r="D26" s="6">
        <v>50</v>
      </c>
      <c r="E26" s="4" t="s">
        <v>45</v>
      </c>
    </row>
    <row r="27" spans="1:7" x14ac:dyDescent="0.3">
      <c r="B27">
        <v>1</v>
      </c>
      <c r="C27" s="4" t="s">
        <v>157</v>
      </c>
      <c r="D27" s="6">
        <f>D30/D31</f>
        <v>8.615384615384615</v>
      </c>
      <c r="E27" s="4" t="s">
        <v>48</v>
      </c>
    </row>
    <row r="28" spans="1:7" x14ac:dyDescent="0.3">
      <c r="B28">
        <v>1</v>
      </c>
      <c r="C28" s="4" t="s">
        <v>50</v>
      </c>
      <c r="D28">
        <v>2204.6</v>
      </c>
      <c r="E28" s="4" t="s">
        <v>49</v>
      </c>
    </row>
    <row r="29" spans="1:7" x14ac:dyDescent="0.3">
      <c r="B29">
        <v>1</v>
      </c>
      <c r="C29" s="4" t="s">
        <v>198</v>
      </c>
      <c r="D29" s="90">
        <v>2240</v>
      </c>
      <c r="E29" s="4" t="s">
        <v>49</v>
      </c>
    </row>
    <row r="30" spans="1:7" x14ac:dyDescent="0.3">
      <c r="B30">
        <v>1</v>
      </c>
      <c r="C30" s="4" t="s">
        <v>10</v>
      </c>
      <c r="D30">
        <v>112</v>
      </c>
      <c r="E30" s="4" t="s">
        <v>49</v>
      </c>
    </row>
    <row r="31" spans="1:7" x14ac:dyDescent="0.3">
      <c r="B31">
        <v>1</v>
      </c>
      <c r="C31" s="4" t="s">
        <v>48</v>
      </c>
      <c r="D31">
        <v>13</v>
      </c>
      <c r="E31" s="4" t="s">
        <v>49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zoomScale="80" zoomScaleNormal="80" workbookViewId="0">
      <selection activeCell="E36" sqref="E36"/>
    </sheetView>
  </sheetViews>
  <sheetFormatPr defaultRowHeight="14.4" x14ac:dyDescent="0.3"/>
  <cols>
    <col min="1" max="1" width="34.33203125" style="3" bestFit="1" customWidth="1"/>
    <col min="2" max="2" width="13.5546875" customWidth="1"/>
    <col min="3" max="7" width="18.33203125" bestFit="1" customWidth="1"/>
    <col min="8" max="8" width="16.21875" customWidth="1"/>
    <col min="9" max="9" width="14.109375" customWidth="1"/>
    <col min="10" max="11" width="16.5546875" customWidth="1"/>
  </cols>
  <sheetData>
    <row r="1" spans="1:9" ht="15.6" customHeight="1" x14ac:dyDescent="0.3">
      <c r="A1" s="11"/>
      <c r="C1" s="25" t="s">
        <v>103</v>
      </c>
      <c r="D1" s="25" t="s">
        <v>101</v>
      </c>
      <c r="E1" s="25" t="s">
        <v>59</v>
      </c>
      <c r="F1" s="25" t="s">
        <v>93</v>
      </c>
      <c r="G1" s="25" t="s">
        <v>57</v>
      </c>
      <c r="H1" s="25"/>
      <c r="I1" s="25"/>
    </row>
    <row r="2" spans="1:9" ht="15.6" x14ac:dyDescent="0.3">
      <c r="A2" s="33" t="s">
        <v>0</v>
      </c>
      <c r="B2" s="27" t="s">
        <v>16</v>
      </c>
      <c r="C2" s="10" t="s">
        <v>15</v>
      </c>
      <c r="D2" s="10" t="s">
        <v>15</v>
      </c>
      <c r="E2" s="10" t="s">
        <v>15</v>
      </c>
      <c r="F2" s="10" t="s">
        <v>15</v>
      </c>
      <c r="G2" s="10" t="s">
        <v>15</v>
      </c>
    </row>
    <row r="3" spans="1:9" ht="15.6" x14ac:dyDescent="0.3">
      <c r="A3" s="33" t="s">
        <v>129</v>
      </c>
      <c r="B3" s="13" t="s">
        <v>40</v>
      </c>
      <c r="C3" s="34">
        <f>(1+15/$D$59)/$D$54/$D$55</f>
        <v>3.3034450212364322E-3</v>
      </c>
      <c r="D3" s="34">
        <f>(2+4/$D$59)/$D$53/$D$55</f>
        <v>3.6006546644844523E-3</v>
      </c>
      <c r="E3" s="34">
        <f>(2+0/$D$59)/$D$52/$D$55</f>
        <v>3.0769230769230769E-3</v>
      </c>
      <c r="F3" s="34">
        <f>(2+8/$D$59)/$D$51/$D$55</f>
        <v>3.6557501904036557E-3</v>
      </c>
      <c r="G3" s="34">
        <f>(2+36/$D$59)/$D$50/$D$55</f>
        <v>5.5677655677655678E-3</v>
      </c>
    </row>
    <row r="4" spans="1:9" ht="15.6" x14ac:dyDescent="0.3">
      <c r="A4" s="33" t="s">
        <v>62</v>
      </c>
      <c r="B4" s="13" t="s">
        <v>40</v>
      </c>
      <c r="C4" s="34">
        <f>(1+7/$D$59)/$D$54/$D$55</f>
        <v>2.548371873525248E-3</v>
      </c>
      <c r="D4" s="34">
        <f>(2+0/$D$59)/$D$53/$D$55</f>
        <v>3.2733224222585922E-3</v>
      </c>
      <c r="E4" s="34">
        <f>(2+8/$D$59)/$D$52/$D$55</f>
        <v>3.6923076923076922E-3</v>
      </c>
      <c r="F4" s="34">
        <f>(2+0/$D$59)/$D$51/$D$55</f>
        <v>3.0464584920030465E-3</v>
      </c>
      <c r="G4" s="34">
        <f>(2+20/$D$59)/$D$50/$D$55</f>
        <v>4.3956043956043956E-3</v>
      </c>
    </row>
    <row r="5" spans="1:9" ht="15.6" x14ac:dyDescent="0.3">
      <c r="A5" s="33" t="s">
        <v>63</v>
      </c>
      <c r="B5" s="13" t="s">
        <v>40</v>
      </c>
      <c r="C5" s="34">
        <f>(1+12/$D$59)/$D$54*8/$D$55</f>
        <v>2.4162340726757905E-2</v>
      </c>
      <c r="D5" s="34">
        <f>(2+0/$D$59)/$D$53*8/$D$55</f>
        <v>2.6186579378068738E-2</v>
      </c>
      <c r="E5" s="34">
        <f>(2+5/$D$59)/$D$52*8/$D$55</f>
        <v>2.769230769230769E-2</v>
      </c>
      <c r="F5" s="34">
        <f>(2+16/$D$59)/$D$51*8/$D$55</f>
        <v>3.4120335110434115E-2</v>
      </c>
      <c r="G5" s="34">
        <f>(2+20/$D$59)/$D$50*8/$D$55</f>
        <v>3.5164835164835165E-2</v>
      </c>
    </row>
    <row r="6" spans="1:9" ht="15.6" x14ac:dyDescent="0.3">
      <c r="A6" s="33" t="s">
        <v>36</v>
      </c>
      <c r="B6" s="13" t="s">
        <v>40</v>
      </c>
      <c r="C6" s="34">
        <f>(1+12/$D$59)/$D$54/$D$55</f>
        <v>3.0202925908447381E-3</v>
      </c>
      <c r="D6" s="34">
        <f>(2+0/$D$59)/$D$53/$D$55</f>
        <v>3.2733224222585922E-3</v>
      </c>
      <c r="E6" s="34">
        <f>(2+10/$D$59)/$D$52/$D$55</f>
        <v>3.8461538461538464E-3</v>
      </c>
      <c r="F6" s="34">
        <f>(2+18/$D$59)/$D$51/$D$55</f>
        <v>4.4173648134044168E-3</v>
      </c>
      <c r="G6" s="34">
        <f>(2+5/$D$59)/$D$50/$D$55</f>
        <v>3.2967032967032967E-3</v>
      </c>
    </row>
    <row r="7" spans="1:9" ht="15.6" x14ac:dyDescent="0.3">
      <c r="A7" s="33" t="s">
        <v>128</v>
      </c>
      <c r="B7" s="13" t="s">
        <v>40</v>
      </c>
      <c r="C7" s="34">
        <f>(2+12/$D$59)/$D$54/$D$55</f>
        <v>4.9079754601226997E-3</v>
      </c>
      <c r="D7" s="34">
        <f>(2+16/$D$59)/$D$53/$D$55</f>
        <v>4.5826513911620291E-3</v>
      </c>
      <c r="E7" s="34">
        <f>(3+10/$D$59)/$D$52/$D$55</f>
        <v>5.3846153846153853E-3</v>
      </c>
      <c r="F7" s="34">
        <f>(4+0/$D$59)/$D$51/$D$55</f>
        <v>6.0929169840060931E-3</v>
      </c>
      <c r="G7" s="34">
        <f>(4+0/$D$59)/$D$50/$D$55</f>
        <v>5.8608058608058617E-3</v>
      </c>
    </row>
    <row r="8" spans="1:9" ht="15.6" x14ac:dyDescent="0.3">
      <c r="A8" s="33" t="s">
        <v>64</v>
      </c>
      <c r="B8" s="13" t="s">
        <v>40</v>
      </c>
      <c r="C8" s="34">
        <f>(1+0/$D$59)/$D$53*8/$D$55</f>
        <v>1.3093289689034369E-2</v>
      </c>
      <c r="D8" s="34">
        <f>(1+0/$D$59)/$D$53*8/$D$55</f>
        <v>1.3093289689034369E-2</v>
      </c>
      <c r="E8" s="34">
        <f>(2+0/$D$59)/$D$52*8/$D$55</f>
        <v>2.4615384615384615E-2</v>
      </c>
      <c r="F8" s="34">
        <f>(2+4/$D$59)/$D$51*8/$D$55</f>
        <v>2.680883472962681E-2</v>
      </c>
      <c r="G8" s="34">
        <f>(2+20/$D$59)/$D$50*8/$D$55</f>
        <v>3.5164835164835165E-2</v>
      </c>
    </row>
    <row r="9" spans="1:9" ht="15.6" x14ac:dyDescent="0.3">
      <c r="A9" s="33" t="s">
        <v>65</v>
      </c>
      <c r="B9" s="13" t="s">
        <v>40</v>
      </c>
      <c r="C9" s="34">
        <f>(0+16/$D$59)/$D$54*8/$D$55</f>
        <v>1.2081170363378952E-2</v>
      </c>
      <c r="D9" s="34">
        <f>(1+5/$D$59)/$D$53*8/$D$55</f>
        <v>1.6366612111292964E-2</v>
      </c>
      <c r="E9" s="34">
        <f>(2+0/$D$59)/$D$52*8/$D$55</f>
        <v>2.4615384615384615E-2</v>
      </c>
      <c r="F9" s="34">
        <f>(2+0/$D$59)/$D$51*8/$D$55</f>
        <v>2.4371667936024372E-2</v>
      </c>
      <c r="G9" s="34">
        <f>(2+10/$D$59)/$D$50/$D$55</f>
        <v>3.663003663003663E-3</v>
      </c>
    </row>
    <row r="10" spans="1:9" ht="15.6" x14ac:dyDescent="0.3">
      <c r="A10" s="33" t="s">
        <v>4</v>
      </c>
      <c r="B10" s="13" t="s">
        <v>40</v>
      </c>
      <c r="C10" s="34">
        <f>(3+0/$D$59)/$D$54/$D$55</f>
        <v>5.6630486078338843E-3</v>
      </c>
      <c r="D10" s="34">
        <f>(4+0/$D$59)/$D$53/$D$55</f>
        <v>6.5466448445171844E-3</v>
      </c>
      <c r="E10" s="34">
        <f>(4+0/$D$59)/$D$52/$D$55</f>
        <v>6.1538461538461538E-3</v>
      </c>
      <c r="F10" s="34">
        <f>(3+10/$D$59)/$D$51/$D$55</f>
        <v>5.331302361005332E-3</v>
      </c>
      <c r="G10" s="34">
        <f>(4+20/$D$59)/$D$50/$D$55</f>
        <v>7.326007326007326E-3</v>
      </c>
    </row>
    <row r="11" spans="1:9" ht="15.6" x14ac:dyDescent="0.3">
      <c r="A11" s="33" t="s">
        <v>66</v>
      </c>
      <c r="B11" s="13" t="s">
        <v>40</v>
      </c>
      <c r="C11" s="34">
        <f>(3+4/$D$59)/$D$54/$D$55</f>
        <v>6.0405851816894762E-3</v>
      </c>
      <c r="D11" s="34">
        <f>(4+8/$D$59)/$D$53/$D$55</f>
        <v>7.2013093289689046E-3</v>
      </c>
      <c r="E11" s="34">
        <f>(6+10/$D$59)/$D$52/$D$55</f>
        <v>0.01</v>
      </c>
      <c r="F11" s="34">
        <f>(4+16/$D$59)/$D$51/$D$55</f>
        <v>7.3115003808073113E-3</v>
      </c>
      <c r="G11" s="34">
        <f>(5+8/$D$59)/$D$50/$D$55</f>
        <v>7.9120879120879138E-3</v>
      </c>
      <c r="H11" s="13"/>
      <c r="I11" s="14"/>
    </row>
    <row r="12" spans="1:9" ht="15.6" x14ac:dyDescent="0.3">
      <c r="A12" s="33" t="s">
        <v>67</v>
      </c>
      <c r="B12" s="13" t="s">
        <v>40</v>
      </c>
      <c r="C12" s="34">
        <f>(3+4/$D$59)/$D$54/$D$55</f>
        <v>6.0405851816894762E-3</v>
      </c>
      <c r="D12" s="34">
        <f>(2+16/$D$59)/$D$53/$D$55</f>
        <v>4.5826513911620291E-3</v>
      </c>
      <c r="E12" s="34">
        <f>(2+4/$D$59)/$D$52/$D$55</f>
        <v>3.3846153846153848E-3</v>
      </c>
      <c r="F12" s="34">
        <f>(2+8/$D$59)/$D$51/$D$55</f>
        <v>3.6557501904036557E-3</v>
      </c>
      <c r="G12" s="34">
        <f>(4+0/$D$59)/$D$50/$D$55</f>
        <v>5.8608058608058617E-3</v>
      </c>
    </row>
    <row r="13" spans="1:9" ht="15.6" x14ac:dyDescent="0.3">
      <c r="A13" s="33" t="s">
        <v>126</v>
      </c>
      <c r="B13" s="13" t="s">
        <v>40</v>
      </c>
      <c r="C13" s="34">
        <f>(2+4/$D$59)/$D$54/$D$55</f>
        <v>4.152902312411515E-3</v>
      </c>
      <c r="D13" s="34">
        <f>(2+8/$D$59)/$D$53/$D$55</f>
        <v>3.9279869067103106E-3</v>
      </c>
      <c r="E13" s="34">
        <f>(6+0/$D$59)/$D$52/$D$55</f>
        <v>9.2307692307692299E-3</v>
      </c>
      <c r="F13" s="34">
        <f>(6+10/$D$59)/$D$51/$D$55</f>
        <v>9.9009900990099011E-3</v>
      </c>
      <c r="G13" s="34">
        <f>(8+32/$D$59)/$D$50/$D$55</f>
        <v>1.4065934065934066E-2</v>
      </c>
    </row>
    <row r="14" spans="1:9" ht="15.6" x14ac:dyDescent="0.3">
      <c r="A14" s="33" t="s">
        <v>127</v>
      </c>
      <c r="B14" s="13" t="s">
        <v>40</v>
      </c>
      <c r="C14" s="34">
        <f>(10+0/$D$59)/$D$54/$D$55</f>
        <v>1.8876828692779613E-2</v>
      </c>
      <c r="D14" s="34">
        <f>(10+8/$D$59)/$D$53/$D$55</f>
        <v>1.7021276595744681E-2</v>
      </c>
      <c r="E14" s="34">
        <f>(8+0/$D$59)/$D$52/$D$55</f>
        <v>1.2307692307692308E-2</v>
      </c>
      <c r="F14" s="34">
        <f>(9+0/$D$59)/$D$51/$D$55</f>
        <v>1.3709063214013708E-2</v>
      </c>
      <c r="G14" s="34">
        <f>(10+0/$D$59)/$D$50/$D$55</f>
        <v>1.4652014652014652E-2</v>
      </c>
    </row>
    <row r="15" spans="1:9" ht="15.6" x14ac:dyDescent="0.3">
      <c r="A15" s="33" t="s">
        <v>68</v>
      </c>
      <c r="B15" s="13" t="s">
        <v>40</v>
      </c>
      <c r="C15" s="34">
        <f>(0+8/$D$59)/$D$54*8/$D$55</f>
        <v>6.0405851816894762E-3</v>
      </c>
      <c r="D15" s="34">
        <f>(0+15/$D$59)/$D$54*8/$D$55</f>
        <v>1.1326097215667769E-2</v>
      </c>
      <c r="E15" s="34">
        <f>(0+12/$D$59)/$D$52*8/$D$55</f>
        <v>7.3846153846153844E-3</v>
      </c>
      <c r="F15" s="34">
        <f>(0+10/$D$59)/$D$51*8/$D$55</f>
        <v>6.0929169840060931E-3</v>
      </c>
      <c r="G15" s="34">
        <f>(0+14/$D$59)/$D$50*8/$D$55</f>
        <v>8.2051282051282051E-3</v>
      </c>
    </row>
    <row r="16" spans="1:9" ht="15.6" x14ac:dyDescent="0.3">
      <c r="A16" s="33" t="s">
        <v>69</v>
      </c>
      <c r="B16" s="13" t="s">
        <v>40</v>
      </c>
      <c r="C16" s="34">
        <f>(8+0/$D$59)/$D$54/$D$55</f>
        <v>1.5101462954223691E-2</v>
      </c>
      <c r="D16" s="34">
        <f>(12+0/$D$59)/$D$53/$D$55</f>
        <v>1.9639934533551555E-2</v>
      </c>
      <c r="E16" s="34">
        <f>(11+0/$D$59)/$D$52/$D$55</f>
        <v>1.6923076923076923E-2</v>
      </c>
      <c r="F16" s="34">
        <f>(16+0/$D$59)/$D$51/$D$55</f>
        <v>2.4371667936024372E-2</v>
      </c>
      <c r="G16" s="34">
        <f>(16+0/$D$59)/$D$50/$D$55</f>
        <v>2.3443223443223447E-2</v>
      </c>
    </row>
    <row r="17" spans="1:10" ht="15.6" x14ac:dyDescent="0.3">
      <c r="A17" s="33" t="s">
        <v>70</v>
      </c>
      <c r="B17" s="13" t="s">
        <v>40</v>
      </c>
      <c r="C17" s="34">
        <f>(5+12/$D$59)/$D$54/$D$55</f>
        <v>1.0571024067956581E-2</v>
      </c>
      <c r="D17" s="34">
        <f>(6+10/$D$59)/$D$53/$D$55</f>
        <v>1.0638297872340425E-2</v>
      </c>
      <c r="E17" s="34">
        <f>(7+0/$D$59)/$D$52/$D$55</f>
        <v>1.0769230769230771E-2</v>
      </c>
      <c r="F17" s="34">
        <f>(8+0/$D$59)/$D$51/$D$55</f>
        <v>1.2185833968012186E-2</v>
      </c>
      <c r="G17" s="34">
        <f>(8+0/$D$59)/$D$50/$D$55</f>
        <v>1.1721611721611723E-2</v>
      </c>
      <c r="H17" s="13"/>
      <c r="I17" s="14"/>
    </row>
    <row r="18" spans="1:10" ht="15.6" x14ac:dyDescent="0.3">
      <c r="A18" s="33" t="s">
        <v>71</v>
      </c>
      <c r="B18" s="13" t="s">
        <v>40</v>
      </c>
      <c r="C18" s="34">
        <f>(1+2/$D$59)/$D$54/$D$55</f>
        <v>2.0764511562057575E-3</v>
      </c>
      <c r="D18" s="34">
        <f>(1+4/$D$59)/$D$53/$D$55</f>
        <v>1.9639934533551553E-3</v>
      </c>
      <c r="E18" s="34">
        <f>(1+0/$D$59)/$D$52/$D$55</f>
        <v>1.5384615384615385E-3</v>
      </c>
      <c r="F18" s="34">
        <f>(1+4/$D$59)/$D$51/$D$55</f>
        <v>1.8278750952018278E-3</v>
      </c>
      <c r="G18" s="34">
        <f>(4+0/$D$59)/$D$50/$D$55</f>
        <v>5.8608058608058617E-3</v>
      </c>
    </row>
    <row r="19" spans="1:10" ht="15.6" x14ac:dyDescent="0.3">
      <c r="A19" s="33" t="s">
        <v>72</v>
      </c>
      <c r="B19" s="13" t="s">
        <v>40</v>
      </c>
      <c r="C19" s="34">
        <f>(0+13/$D$59)/$D$54*8/$D$55</f>
        <v>9.8159509202453993E-3</v>
      </c>
      <c r="D19" s="34">
        <f>(0+15/$D$59)/$D$53*8/$D$55</f>
        <v>9.8199672667757774E-3</v>
      </c>
      <c r="E19" s="34">
        <f>(0+10/$D$59)/$D$52*8/$D$55</f>
        <v>6.1538461538461538E-3</v>
      </c>
      <c r="F19" s="34">
        <f>(0+10/$D$59)/$D$51*8/$D$55</f>
        <v>6.0929169840060931E-3</v>
      </c>
      <c r="G19" s="34">
        <f>(1+2/$D$59)/$D$50*8/$D$55</f>
        <v>1.2893772893772895E-2</v>
      </c>
    </row>
    <row r="20" spans="1:10" ht="15.6" x14ac:dyDescent="0.3">
      <c r="A20" s="33" t="s">
        <v>73</v>
      </c>
      <c r="B20" s="13" t="s">
        <v>40</v>
      </c>
      <c r="C20" s="34">
        <f>(0+8/$D$59)/$D$54/$D$55</f>
        <v>7.5507314771118452E-4</v>
      </c>
      <c r="D20" s="34">
        <f>(0+9/$D$59)/$D$53/$D$55</f>
        <v>7.3649754500818335E-4</v>
      </c>
      <c r="E20" s="34">
        <f>(0+8/$D$59)/$D$52/$D$55</f>
        <v>6.1538461538461541E-4</v>
      </c>
      <c r="F20" s="34">
        <f>(0+10/$D$59)/$D$51/$D$55</f>
        <v>7.6161462300076163E-4</v>
      </c>
      <c r="G20" s="34">
        <f>(1+10/$D$59)/$D$50/$D$55</f>
        <v>2.1978021978021978E-3</v>
      </c>
    </row>
    <row r="21" spans="1:10" ht="15.6" x14ac:dyDescent="0.3">
      <c r="A21" s="33" t="s">
        <v>74</v>
      </c>
      <c r="B21" s="13" t="s">
        <v>40</v>
      </c>
      <c r="C21" s="34">
        <f>(1+0/$D$59)/$D$54/$D$55</f>
        <v>1.8876828692779614E-3</v>
      </c>
      <c r="D21" s="34">
        <f>(1+0/$D$59)/$D$53/$D$55</f>
        <v>1.6366612111292961E-3</v>
      </c>
      <c r="E21" s="34">
        <f>(1+18/$D$59)/$D$52/$D$55</f>
        <v>2.9230769230769232E-3</v>
      </c>
      <c r="F21" s="34">
        <f>(1+12/$D$59)/$D$51/$D$55</f>
        <v>2.4371667936024374E-3</v>
      </c>
      <c r="G21" s="34">
        <f>(3+0/$D$59)/$D$50/$D$55</f>
        <v>4.3956043956043956E-3</v>
      </c>
    </row>
    <row r="22" spans="1:10" ht="15.6" x14ac:dyDescent="0.3">
      <c r="A22" s="33" t="s">
        <v>75</v>
      </c>
      <c r="B22" s="13" t="s">
        <v>40</v>
      </c>
      <c r="C22" s="34">
        <f>(1+0/$D$59)/$D$54/$D$55</f>
        <v>1.8876828692779614E-3</v>
      </c>
      <c r="D22" s="34">
        <f>(2+0/$D$59)/$D$53/$D$55</f>
        <v>3.2733224222585922E-3</v>
      </c>
      <c r="E22" s="34">
        <f>(2+8/$D$59)/$D$52/$D$55</f>
        <v>3.6923076923076922E-3</v>
      </c>
      <c r="F22" s="34">
        <f>(2+10/$D$59)/$D$51/$D$55</f>
        <v>3.8080731150038081E-3</v>
      </c>
      <c r="G22" s="34">
        <f>(2+0/$D$59)/$D$50/$D$55</f>
        <v>2.9304029304029308E-3</v>
      </c>
    </row>
    <row r="23" spans="1:10" ht="15.6" x14ac:dyDescent="0.3">
      <c r="A23" s="33" t="s">
        <v>124</v>
      </c>
      <c r="B23" s="13" t="s">
        <v>40</v>
      </c>
      <c r="C23" s="34">
        <f>(1+4/$D$59)/$D$54/$D$55</f>
        <v>2.2652194431335535E-3</v>
      </c>
      <c r="D23" s="34">
        <f>(1+12/$D$59)/$D$53/$D$55</f>
        <v>2.6186579378068742E-3</v>
      </c>
      <c r="E23" s="34">
        <f>(1+5/$D$59)/$D$52/$D$55</f>
        <v>1.9230769230769232E-3</v>
      </c>
      <c r="F23" s="34">
        <f>(1+0/$D$59)/$D$51/$D$55</f>
        <v>1.5232292460015233E-3</v>
      </c>
      <c r="G23" s="34">
        <f>(2+0/$D$59)/$D$50/$D$55</f>
        <v>2.9304029304029308E-3</v>
      </c>
    </row>
    <row r="24" spans="1:10" ht="15.6" x14ac:dyDescent="0.3">
      <c r="A24" s="33" t="s">
        <v>9</v>
      </c>
      <c r="B24" s="13" t="s">
        <v>40</v>
      </c>
      <c r="C24" s="34">
        <f>(0+16/$D$59)/$D$54/$D$55</f>
        <v>1.510146295422369E-3</v>
      </c>
      <c r="D24" s="34">
        <f>(1+0/$D$59)/$D$53/$D$55</f>
        <v>1.6366612111292961E-3</v>
      </c>
      <c r="E24" s="34">
        <f>(0+18/$D$59)/$D$52/$D$55</f>
        <v>1.3846153846153847E-3</v>
      </c>
      <c r="F24" s="34">
        <f>(0+13/$D$59)/$D$51/$D$55</f>
        <v>9.9009900990099011E-4</v>
      </c>
      <c r="G24" s="34">
        <f>(0+24/$D$59)/$D$50/$D$55</f>
        <v>1.7582417582417582E-3</v>
      </c>
      <c r="H24" s="13"/>
      <c r="I24" s="14"/>
    </row>
    <row r="25" spans="1:10" ht="15.6" x14ac:dyDescent="0.3">
      <c r="A25" s="33" t="s">
        <v>125</v>
      </c>
      <c r="B25" s="13" t="s">
        <v>40</v>
      </c>
      <c r="C25" s="34">
        <f>(0+4/$D$59)/$D$54/$D$55</f>
        <v>3.7753657385559226E-4</v>
      </c>
      <c r="D25" s="34">
        <f>(0+5/$D$59)/$D$53/$D$55</f>
        <v>4.0916530278232402E-4</v>
      </c>
      <c r="E25" s="34">
        <f>(0+3/$D$59)/$D$52/$D$55</f>
        <v>2.3076923076923076E-4</v>
      </c>
      <c r="F25" s="34">
        <f>(0+3/$D$59)/$D$51/$D$55</f>
        <v>2.2848438690022848E-4</v>
      </c>
      <c r="G25" s="34">
        <f>(0+10/$D$59)/$D$50/$D$55</f>
        <v>7.3260073260073271E-4</v>
      </c>
      <c r="H25" s="13"/>
      <c r="I25" s="29"/>
      <c r="J25" s="14"/>
    </row>
    <row r="26" spans="1:10" ht="15.6" x14ac:dyDescent="0.3">
      <c r="A26" s="33" t="s">
        <v>76</v>
      </c>
      <c r="B26" s="13" t="s">
        <v>40</v>
      </c>
      <c r="C26" s="34">
        <f>(1+12/$D$59)/$D$54/$D$55</f>
        <v>3.0202925908447381E-3</v>
      </c>
      <c r="D26" s="34">
        <f>(1+12/$D$59)/$D$53/$D$55</f>
        <v>2.6186579378068742E-3</v>
      </c>
      <c r="E26" s="34">
        <f>(2+0/$D$59)/$D$52/$D$55</f>
        <v>3.0769230769230769E-3</v>
      </c>
      <c r="F26" s="34">
        <f>(2+10/$D$59)/$D$51/$D$55</f>
        <v>3.8080731150038081E-3</v>
      </c>
      <c r="G26" s="34">
        <f>(2+0/$D$59)/$D$50/$D$55</f>
        <v>2.9304029304029308E-3</v>
      </c>
      <c r="H26" s="13"/>
      <c r="I26" s="12"/>
      <c r="J26" s="14"/>
    </row>
    <row r="27" spans="1:10" ht="15.6" x14ac:dyDescent="0.3">
      <c r="A27" s="33" t="s">
        <v>18</v>
      </c>
      <c r="B27" s="13" t="s">
        <v>40</v>
      </c>
      <c r="C27" s="34">
        <f>(0+3/$D$59)/$D$54/$D$55</f>
        <v>2.8315243039169418E-4</v>
      </c>
      <c r="D27" s="34">
        <f>(0+5/$D$59)/$D$53/$D$55</f>
        <v>4.0916530278232402E-4</v>
      </c>
      <c r="E27" s="34">
        <f>(0+7/$D$59)/$D$52/$D$55</f>
        <v>5.3846153846153844E-4</v>
      </c>
      <c r="F27" s="34">
        <f>(0+5/$D$59)/$D$51/$D$55</f>
        <v>3.8080731150038082E-4</v>
      </c>
      <c r="G27" s="34">
        <f>(0+14/$D$59)/$D$50/$D$55</f>
        <v>1.0256410256410256E-3</v>
      </c>
    </row>
    <row r="28" spans="1:10" ht="15.6" x14ac:dyDescent="0.3">
      <c r="A28" s="33" t="s">
        <v>77</v>
      </c>
      <c r="B28" s="13" t="s">
        <v>40</v>
      </c>
      <c r="C28" s="34">
        <f>(0+16/$D$59)/$D$54/$D$55</f>
        <v>1.510146295422369E-3</v>
      </c>
      <c r="D28" s="34">
        <f>(1+0/$D$59)/$D$53/$D$55</f>
        <v>1.6366612111292961E-3</v>
      </c>
      <c r="E28" s="34">
        <f>(1+0/$D$59)/$D$52/$D$55</f>
        <v>1.5384615384615385E-3</v>
      </c>
      <c r="F28" s="34">
        <f>(1+5/$D$59)/$D$51/$D$55</f>
        <v>1.904036557501904E-3</v>
      </c>
      <c r="G28" s="34"/>
    </row>
    <row r="29" spans="1:10" ht="15.6" x14ac:dyDescent="0.3">
      <c r="A29" s="33" t="s">
        <v>78</v>
      </c>
      <c r="B29" s="13" t="s">
        <v>40</v>
      </c>
      <c r="C29" s="34">
        <f>(9+0/$D$59)/$D$54/$D$55</f>
        <v>1.6989145823501653E-2</v>
      </c>
      <c r="D29" s="34">
        <f>(11+0/$D$59)/$D$53/$D$55</f>
        <v>1.8003273322422259E-2</v>
      </c>
      <c r="E29" s="34">
        <f>(10+10/$D$59)/$D$52/$D$55</f>
        <v>1.6153846153846154E-2</v>
      </c>
      <c r="F29" s="34">
        <f>(11+4/$D$59)/$D$51/$D$55</f>
        <v>1.7060167555217057E-2</v>
      </c>
      <c r="G29" s="34">
        <f>(12+0/$D$59)/$D$50/$D$55</f>
        <v>1.7582417582417582E-2</v>
      </c>
    </row>
    <row r="30" spans="1:10" ht="15.6" x14ac:dyDescent="0.3">
      <c r="A30" s="33" t="s">
        <v>22</v>
      </c>
      <c r="B30" s="13" t="s">
        <v>40</v>
      </c>
      <c r="C30" s="34"/>
      <c r="D30" s="34"/>
      <c r="E30" s="34">
        <f>(8+0/$D$59)/$D$52/$D$55</f>
        <v>1.2307692307692308E-2</v>
      </c>
      <c r="F30" s="34">
        <f>(9+0/$D$59)/$D$51/$D$55</f>
        <v>1.3709063214013708E-2</v>
      </c>
      <c r="G30" s="34">
        <f>(10+0/$D$59)/$D$50/$D$55</f>
        <v>1.4652014652014652E-2</v>
      </c>
    </row>
    <row r="31" spans="1:10" ht="15.6" x14ac:dyDescent="0.3">
      <c r="A31" s="33" t="s">
        <v>79</v>
      </c>
      <c r="B31" s="13" t="s">
        <v>105</v>
      </c>
      <c r="C31" s="34">
        <f>(2+10/$D$59)/$D$54/100</f>
        <v>6.1349693251533746E-4</v>
      </c>
      <c r="D31" s="34">
        <f>(3+10/$D$59)/$D$53/100</f>
        <v>7.4468085106382971E-4</v>
      </c>
      <c r="E31" s="34">
        <f>(4+5/$D$59)/$D$52/100</f>
        <v>8.5000000000000006E-4</v>
      </c>
      <c r="F31" s="34">
        <f>(3+10/$D$59)/$D$51/100</f>
        <v>6.9306930693069314E-4</v>
      </c>
      <c r="G31" s="34">
        <f>(3+0/$D$59)/$D$50/100</f>
        <v>5.7142857142857136E-4</v>
      </c>
    </row>
    <row r="32" spans="1:10" ht="15.6" x14ac:dyDescent="0.3">
      <c r="A32" s="33" t="s">
        <v>80</v>
      </c>
      <c r="B32" s="13" t="s">
        <v>40</v>
      </c>
      <c r="C32" s="34">
        <f>(3+10/$D$59)/$D$54/$D$55</f>
        <v>6.6068900424728644E-3</v>
      </c>
      <c r="D32" s="34">
        <f>(4+16/$D$59)/$D$53/$D$55</f>
        <v>7.8559738134206213E-3</v>
      </c>
      <c r="E32" s="34">
        <f>(5+0/$D$59)/$D$52/$D$55</f>
        <v>7.6923076923076927E-3</v>
      </c>
      <c r="F32" s="34">
        <f>(5+12/$D$59)/$D$51/$D$55</f>
        <v>8.5300837776085287E-3</v>
      </c>
      <c r="G32" s="34">
        <f>(7+4/$D$59)/$D$50/$D$55</f>
        <v>1.0549450549450549E-2</v>
      </c>
    </row>
    <row r="33" spans="1:7" ht="15.6" x14ac:dyDescent="0.3">
      <c r="A33" s="33" t="s">
        <v>81</v>
      </c>
      <c r="B33" s="13" t="s">
        <v>40</v>
      </c>
      <c r="C33" s="34">
        <f>(1+10/$D$59)/$D$54/$D$55</f>
        <v>2.8315243039169422E-3</v>
      </c>
      <c r="D33" s="34">
        <f>(3+16/$D$59)/$D$53/$D$55</f>
        <v>6.2193126022913247E-3</v>
      </c>
      <c r="E33" s="34">
        <f>(3+6/$D$59)/$D$52/$D$55</f>
        <v>5.076923076923077E-3</v>
      </c>
      <c r="F33" s="34">
        <f>(2+18/$D$59)/$D$51/$D$55</f>
        <v>4.4173648134044168E-3</v>
      </c>
      <c r="G33" s="34">
        <f>(4+0/$D$59)/$D$50/$D$55</f>
        <v>5.8608058608058617E-3</v>
      </c>
    </row>
    <row r="34" spans="1:7" ht="15.6" x14ac:dyDescent="0.3">
      <c r="A34" s="33" t="s">
        <v>82</v>
      </c>
      <c r="B34" s="13" t="s">
        <v>40</v>
      </c>
      <c r="C34" s="34">
        <f>(6+0/$D$59)/$D$54*8/$D$55</f>
        <v>9.0608777725342149E-2</v>
      </c>
      <c r="D34" s="34">
        <f>(4+10/$D$59)/$D$53*8/$D$55</f>
        <v>5.8919803600654665E-2</v>
      </c>
      <c r="E34" s="34">
        <f>(4+0/$D$59)/$D$52*8/$D$55</f>
        <v>4.9230769230769231E-2</v>
      </c>
      <c r="F34" s="34">
        <f>(5+0/$D$59)/$D$51*8/$D$55</f>
        <v>6.0929169840060929E-2</v>
      </c>
      <c r="G34" s="34">
        <f>(4+32/$D$59)/$D$50*8/$D$55</f>
        <v>6.5641025641025641E-2</v>
      </c>
    </row>
    <row r="35" spans="1:7" ht="15.6" x14ac:dyDescent="0.3">
      <c r="A35" s="33" t="s">
        <v>83</v>
      </c>
      <c r="B35" s="13" t="s">
        <v>40</v>
      </c>
      <c r="C35" s="34">
        <f>(10+0/$D$59)/$D$54*8/$D$55</f>
        <v>0.15101462954223691</v>
      </c>
      <c r="D35" s="34">
        <f>(10+0/$D$59)/$D$53*8/$D$55</f>
        <v>0.13093289689034371</v>
      </c>
      <c r="E35" s="34">
        <f>(9+0/$D$59)/$D$52*8/$D$55</f>
        <v>0.11076923076923076</v>
      </c>
      <c r="F35" s="34">
        <f>(8+0/$D$59)/$D$51*8/$D$55</f>
        <v>9.7486671744097489E-2</v>
      </c>
      <c r="G35" s="34">
        <f>(10+0/$D$59)/$D$50*8/$D$55</f>
        <v>0.11721611721611722</v>
      </c>
    </row>
    <row r="36" spans="1:7" ht="15.6" x14ac:dyDescent="0.3">
      <c r="A36" s="33" t="s">
        <v>84</v>
      </c>
      <c r="B36" s="13" t="s">
        <v>105</v>
      </c>
      <c r="C36" s="34">
        <f>(0+18/$D$59)/$D$54/$D$55</f>
        <v>1.6989145823501652E-3</v>
      </c>
      <c r="D36" s="34">
        <f>(1+4/$D$59)/$D$53/$D$55</f>
        <v>1.9639934533551553E-3</v>
      </c>
      <c r="E36" s="34">
        <f>(1+0/$D$59)/$D$52/$D$55</f>
        <v>1.5384615384615385E-3</v>
      </c>
      <c r="F36" s="34">
        <f>(1+12/$D$59)/$D$51/$D$55</f>
        <v>2.4371667936024374E-3</v>
      </c>
      <c r="G36" s="34">
        <f>(4+0/$D$59)/$D$50/$D$55</f>
        <v>5.8608058608058617E-3</v>
      </c>
    </row>
    <row r="37" spans="1:7" ht="15.6" x14ac:dyDescent="0.3">
      <c r="A37" s="33" t="s">
        <v>85</v>
      </c>
      <c r="B37" s="13" t="s">
        <v>105</v>
      </c>
      <c r="C37" s="78">
        <f>(0+18/$D$59)/$D$54/$D$60</f>
        <v>3.6809815950920245E-3</v>
      </c>
      <c r="D37" s="78">
        <f>(1+0/$D$59)/$D$53/$D$60</f>
        <v>3.5460992907801418E-3</v>
      </c>
      <c r="E37" s="78">
        <f>(1+5/$D$59)/$D$52/$D$60</f>
        <v>4.1666666666666666E-3</v>
      </c>
      <c r="F37" s="78">
        <f>(1+2/$D$59)/$D$51/$D$60</f>
        <v>3.6303630363036308E-3</v>
      </c>
      <c r="G37" s="78">
        <f>(1+8/$D$59)/$D$50/$D$60</f>
        <v>4.4444444444444444E-3</v>
      </c>
    </row>
    <row r="38" spans="1:7" ht="15.6" x14ac:dyDescent="0.3">
      <c r="A38" s="33" t="s">
        <v>94</v>
      </c>
      <c r="B38" s="13" t="s">
        <v>40</v>
      </c>
      <c r="C38" s="34"/>
      <c r="D38" s="34"/>
      <c r="E38" s="34">
        <f>(8+0/$D$59)/$D$52/$D$55</f>
        <v>1.2307692307692308E-2</v>
      </c>
      <c r="F38" s="34">
        <f>(8+0/$D$59)/$D$51/$D$55</f>
        <v>1.2185833968012186E-2</v>
      </c>
      <c r="G38" s="34">
        <f>(9+14/$D$59)/$D$50/$D$55</f>
        <v>1.421245421245421E-2</v>
      </c>
    </row>
    <row r="39" spans="1:7" ht="15.6" x14ac:dyDescent="0.3">
      <c r="A39" s="33" t="s">
        <v>86</v>
      </c>
      <c r="B39" s="13" t="s">
        <v>40</v>
      </c>
      <c r="C39" s="34">
        <f>(16+0/$D$59)/$D$54/$D$55</f>
        <v>3.0202925908447382E-2</v>
      </c>
      <c r="D39" s="34">
        <f>(18+0/$D$59)/$D$53/$D$55</f>
        <v>2.9459901800327332E-2</v>
      </c>
      <c r="E39" s="34">
        <f>(16+0/$D$59)/$D$52/$D$55</f>
        <v>2.4615384615384615E-2</v>
      </c>
      <c r="F39" s="34">
        <f>(22+0/$D$59)/$D$51/$D$55</f>
        <v>3.3511043412033509E-2</v>
      </c>
      <c r="G39" s="34">
        <f>(24+0/$D$59)/$D$50/$D$55</f>
        <v>3.5164835164835165E-2</v>
      </c>
    </row>
    <row r="40" spans="1:7" ht="15.6" x14ac:dyDescent="0.3">
      <c r="A40" s="33" t="s">
        <v>87</v>
      </c>
      <c r="B40" s="13" t="s">
        <v>40</v>
      </c>
      <c r="C40" s="34">
        <f>(2+5/$D$59)/$D$54/$D$55</f>
        <v>4.2472864558754132E-3</v>
      </c>
      <c r="D40" s="34">
        <f>(2+5/$D$59)/$D$53/$D$55</f>
        <v>3.6824877250409165E-3</v>
      </c>
      <c r="E40" s="34">
        <f>(3+0/$D$59)/$D$52/$D$55</f>
        <v>4.6153846153846149E-3</v>
      </c>
      <c r="F40" s="34">
        <f>(4+0/$D$59)/$D$51/$D$55</f>
        <v>6.0929169840060931E-3</v>
      </c>
      <c r="G40" s="34">
        <f>(4+0/$D$59)/$D$50/$D$55</f>
        <v>5.8608058608058617E-3</v>
      </c>
    </row>
    <row r="41" spans="1:7" ht="15.6" x14ac:dyDescent="0.3">
      <c r="A41" s="33" t="s">
        <v>88</v>
      </c>
      <c r="B41" s="13" t="s">
        <v>105</v>
      </c>
      <c r="C41" s="34"/>
      <c r="D41" s="34"/>
      <c r="E41" s="34"/>
      <c r="F41" s="77">
        <f>(6+0/$D$59)/$D$51/1000</f>
        <v>1.1881188118811881E-4</v>
      </c>
      <c r="G41" s="77">
        <f>(6+0/$D$59)/$D$50/1000</f>
        <v>1.1428571428571428E-4</v>
      </c>
    </row>
    <row r="42" spans="1:7" ht="15" x14ac:dyDescent="0.3">
      <c r="A42" s="32"/>
      <c r="C42" s="13"/>
      <c r="D42" s="13"/>
      <c r="E42" s="13"/>
      <c r="F42" s="13"/>
    </row>
    <row r="44" spans="1:7" x14ac:dyDescent="0.3">
      <c r="A44" s="30" t="s">
        <v>42</v>
      </c>
    </row>
    <row r="45" spans="1:7" x14ac:dyDescent="0.3">
      <c r="A45" s="3" t="s">
        <v>43</v>
      </c>
      <c r="B45" s="3">
        <v>1</v>
      </c>
      <c r="C45" s="4" t="s">
        <v>44</v>
      </c>
      <c r="D45" s="6">
        <v>52.5</v>
      </c>
      <c r="E45" s="4" t="s">
        <v>45</v>
      </c>
    </row>
    <row r="46" spans="1:7" x14ac:dyDescent="0.3">
      <c r="A46" s="3" t="s">
        <v>46</v>
      </c>
      <c r="B46" s="3">
        <v>1</v>
      </c>
      <c r="C46" s="4" t="s">
        <v>44</v>
      </c>
      <c r="D46" s="6">
        <v>55.52</v>
      </c>
      <c r="E46" s="4" t="s">
        <v>45</v>
      </c>
    </row>
    <row r="47" spans="1:7" x14ac:dyDescent="0.3">
      <c r="A47" s="3" t="s">
        <v>47</v>
      </c>
      <c r="B47" s="3">
        <v>1</v>
      </c>
      <c r="C47" s="4" t="s">
        <v>44</v>
      </c>
      <c r="D47" s="6">
        <v>61.082999999999998</v>
      </c>
      <c r="E47" s="4" t="s">
        <v>45</v>
      </c>
    </row>
    <row r="48" spans="1:7" x14ac:dyDescent="0.3">
      <c r="A48" s="3" t="s">
        <v>55</v>
      </c>
      <c r="B48" s="3">
        <v>1</v>
      </c>
      <c r="C48" s="4" t="s">
        <v>44</v>
      </c>
      <c r="D48" s="6">
        <v>58.503</v>
      </c>
      <c r="E48" s="4" t="s">
        <v>45</v>
      </c>
    </row>
    <row r="49" spans="1:5" x14ac:dyDescent="0.3">
      <c r="A49" s="3" t="s">
        <v>54</v>
      </c>
      <c r="B49" s="3">
        <v>1</v>
      </c>
      <c r="C49" s="4" t="s">
        <v>44</v>
      </c>
      <c r="D49" s="6">
        <v>58.503</v>
      </c>
      <c r="E49" s="4" t="s">
        <v>45</v>
      </c>
    </row>
    <row r="50" spans="1:5" x14ac:dyDescent="0.3">
      <c r="A50" s="3" t="s">
        <v>58</v>
      </c>
      <c r="B50" s="3">
        <v>1</v>
      </c>
      <c r="C50" s="4" t="s">
        <v>44</v>
      </c>
      <c r="D50" s="6">
        <v>52.5</v>
      </c>
      <c r="E50" s="4" t="s">
        <v>45</v>
      </c>
    </row>
    <row r="51" spans="1:5" x14ac:dyDescent="0.3">
      <c r="A51" s="3" t="s">
        <v>92</v>
      </c>
      <c r="B51" s="3">
        <v>1</v>
      </c>
      <c r="C51" s="4" t="s">
        <v>44</v>
      </c>
      <c r="D51" s="6">
        <v>50.5</v>
      </c>
      <c r="E51" s="4" t="s">
        <v>45</v>
      </c>
    </row>
    <row r="52" spans="1:5" x14ac:dyDescent="0.3">
      <c r="A52" s="3" t="s">
        <v>89</v>
      </c>
      <c r="B52" s="3">
        <v>1</v>
      </c>
      <c r="C52" s="4" t="s">
        <v>44</v>
      </c>
      <c r="D52" s="6">
        <v>50</v>
      </c>
      <c r="E52" s="4" t="s">
        <v>45</v>
      </c>
    </row>
    <row r="53" spans="1:5" x14ac:dyDescent="0.3">
      <c r="A53" s="3" t="s">
        <v>102</v>
      </c>
      <c r="B53" s="3">
        <v>1</v>
      </c>
      <c r="C53" s="4" t="s">
        <v>44</v>
      </c>
      <c r="D53" s="6">
        <f>(43+46+52)/3</f>
        <v>47</v>
      </c>
      <c r="E53" s="4" t="s">
        <v>45</v>
      </c>
    </row>
    <row r="54" spans="1:5" x14ac:dyDescent="0.3">
      <c r="A54" s="3" t="s">
        <v>104</v>
      </c>
      <c r="B54" s="3">
        <v>1</v>
      </c>
      <c r="C54" s="4" t="s">
        <v>44</v>
      </c>
      <c r="D54" s="6">
        <f>(38.5+43)/2</f>
        <v>40.75</v>
      </c>
      <c r="E54" s="4" t="s">
        <v>45</v>
      </c>
    </row>
    <row r="55" spans="1:5" x14ac:dyDescent="0.3">
      <c r="B55">
        <v>1</v>
      </c>
      <c r="C55" s="4" t="s">
        <v>90</v>
      </c>
      <c r="D55">
        <v>13</v>
      </c>
      <c r="E55" s="4" t="s">
        <v>49</v>
      </c>
    </row>
    <row r="56" spans="1:5" x14ac:dyDescent="0.3">
      <c r="B56">
        <v>1</v>
      </c>
      <c r="C56" s="4" t="s">
        <v>91</v>
      </c>
      <c r="D56" s="6">
        <v>7.5</v>
      </c>
      <c r="E56" s="4" t="s">
        <v>49</v>
      </c>
    </row>
    <row r="57" spans="1:5" x14ac:dyDescent="0.3">
      <c r="B57">
        <v>1</v>
      </c>
      <c r="C57" t="s">
        <v>50</v>
      </c>
      <c r="D57">
        <v>2204.6</v>
      </c>
      <c r="E57" s="4" t="s">
        <v>49</v>
      </c>
    </row>
    <row r="58" spans="1:5" x14ac:dyDescent="0.3">
      <c r="B58">
        <v>1</v>
      </c>
      <c r="C58" s="4" t="s">
        <v>198</v>
      </c>
      <c r="D58" s="90">
        <v>2240</v>
      </c>
      <c r="E58" s="4" t="s">
        <v>49</v>
      </c>
    </row>
    <row r="59" spans="1:5" x14ac:dyDescent="0.3">
      <c r="B59">
        <v>1</v>
      </c>
      <c r="C59" s="4" t="s">
        <v>60</v>
      </c>
      <c r="D59" s="31">
        <v>20</v>
      </c>
      <c r="E59" s="4" t="s">
        <v>61</v>
      </c>
    </row>
    <row r="60" spans="1:5" x14ac:dyDescent="0.3">
      <c r="A60" s="3" t="s">
        <v>28</v>
      </c>
      <c r="B60">
        <v>1</v>
      </c>
      <c r="C60" s="4" t="s">
        <v>184</v>
      </c>
      <c r="D60">
        <v>6</v>
      </c>
      <c r="E60" s="4" t="s">
        <v>169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</vt:lpstr>
      <vt:lpstr>Ispahan - Prices (Imports)</vt:lpstr>
      <vt:lpstr>Ispahan - Prices (Exports)</vt:lpstr>
      <vt:lpstr>Ispahan - Prices (Bazaar-Local)</vt:lpstr>
      <vt:lpstr>Imports - Data (Raw &amp; Adjusted)</vt:lpstr>
      <vt:lpstr>Exports - Data (Raw &amp; Adjusted)</vt:lpstr>
      <vt:lpstr>Imports - Prices (Raw&amp;Adjusted)</vt:lpstr>
      <vt:lpstr>Exports - Prices (Raw&amp;Adjusted)</vt:lpstr>
      <vt:lpstr>Bazaar(Local) - Prices(Raw&amp;Adj)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2018-08-17T12:48:11Z</dcterms:modified>
</cp:coreProperties>
</file>