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3040" windowHeight="9396"/>
  </bookViews>
  <sheets>
    <sheet name="Intro" sheetId="13" r:id="rId1"/>
    <sheet name="Damascus - Prices (Imports)" sheetId="14" r:id="rId2"/>
    <sheet name="Damascus - Prices (Exports)" sheetId="15" r:id="rId3"/>
    <sheet name="Imports - Data (Raw)" sheetId="8" r:id="rId4"/>
    <sheet name="Imports - Data (Adjusted) - 1" sheetId="9" r:id="rId5"/>
    <sheet name="Imports - Data (Adjusted) - 2" sheetId="10" r:id="rId6"/>
    <sheet name="Exports - Data (Raw)" sheetId="5" r:id="rId7"/>
    <sheet name="Exports - Data (Adjusted) - 1" sheetId="2" r:id="rId8"/>
    <sheet name="Exports - Data (Adjusted) - 2" sheetId="3" r:id="rId9"/>
    <sheet name="Color Legend" sheetId="16" r:id="rId10"/>
  </sheets>
  <calcPr calcId="152511"/>
</workbook>
</file>

<file path=xl/calcChain.xml><?xml version="1.0" encoding="utf-8"?>
<calcChain xmlns="http://schemas.openxmlformats.org/spreadsheetml/2006/main">
  <c r="X73" i="10" l="1"/>
  <c r="J94" i="10" l="1"/>
  <c r="F58" i="10" l="1"/>
  <c r="V53" i="10"/>
  <c r="H97" i="10"/>
  <c r="F44" i="10" s="1"/>
  <c r="AC42" i="3"/>
  <c r="Y41" i="3"/>
  <c r="AC37" i="3"/>
  <c r="K29" i="3"/>
  <c r="J29" i="3"/>
  <c r="F133" i="3"/>
  <c r="M29" i="3" s="1"/>
  <c r="AC28" i="3"/>
  <c r="AE28" i="3"/>
  <c r="AF28" i="3"/>
  <c r="P28" i="3"/>
  <c r="Q28" i="3"/>
  <c r="S28" i="3"/>
  <c r="V28" i="3"/>
  <c r="X25" i="3"/>
  <c r="Y25" i="3"/>
  <c r="AA25" i="3"/>
  <c r="AC25" i="3"/>
  <c r="AC24" i="3"/>
  <c r="V24" i="3"/>
  <c r="E20" i="3"/>
  <c r="L20" i="3"/>
  <c r="P9" i="3"/>
  <c r="O9" i="3"/>
  <c r="F131" i="3"/>
  <c r="F130" i="3"/>
  <c r="F129" i="3"/>
  <c r="F128" i="3"/>
  <c r="D127" i="3"/>
  <c r="F127" i="3" s="1"/>
  <c r="D126" i="3"/>
  <c r="F126" i="3" s="1"/>
  <c r="F125" i="3" s="1"/>
  <c r="F124" i="3"/>
  <c r="D123" i="3"/>
  <c r="D122" i="3"/>
  <c r="D121" i="3"/>
  <c r="D120" i="3"/>
  <c r="F118" i="3"/>
  <c r="F116" i="3"/>
  <c r="F115" i="3"/>
  <c r="F113" i="3"/>
  <c r="F112" i="3"/>
  <c r="F111" i="3"/>
  <c r="F110" i="3"/>
  <c r="F109" i="3"/>
  <c r="F108" i="3"/>
  <c r="F106" i="3"/>
  <c r="F105" i="3"/>
  <c r="E10" i="3" s="1"/>
  <c r="F103" i="3"/>
  <c r="F101" i="3"/>
  <c r="F102" i="3" s="1"/>
  <c r="D100" i="3"/>
  <c r="F100" i="3" s="1"/>
  <c r="F99" i="3" s="1"/>
  <c r="F97" i="3"/>
  <c r="F96" i="3"/>
  <c r="F94" i="3"/>
  <c r="F87" i="3"/>
  <c r="F86" i="3"/>
  <c r="D81" i="3"/>
  <c r="F74" i="3"/>
  <c r="D72" i="3"/>
  <c r="D71" i="3"/>
  <c r="D61" i="3"/>
  <c r="D63" i="3" s="1"/>
  <c r="F60" i="3"/>
  <c r="F59" i="3"/>
  <c r="J59" i="3" s="1"/>
  <c r="F64" i="3" s="1"/>
  <c r="E45" i="3" s="1"/>
  <c r="D58" i="3"/>
  <c r="D57" i="3"/>
  <c r="D53" i="3"/>
  <c r="AB77" i="10"/>
  <c r="X74" i="10"/>
  <c r="Z74" i="10"/>
  <c r="AB74" i="10"/>
  <c r="Z73" i="10"/>
  <c r="AB73" i="10"/>
  <c r="AD73" i="10"/>
  <c r="AD77" i="10"/>
  <c r="AD74" i="10"/>
  <c r="AD71" i="10"/>
  <c r="AF71" i="10"/>
  <c r="AF73" i="10"/>
  <c r="AK74" i="10"/>
  <c r="AI74" i="10"/>
  <c r="AH74" i="10"/>
  <c r="AM73" i="10"/>
  <c r="AL73" i="10"/>
  <c r="AK73" i="10"/>
  <c r="AJ73" i="10"/>
  <c r="AI73" i="10"/>
  <c r="AH73" i="10"/>
  <c r="AM71" i="10"/>
  <c r="AL71" i="10"/>
  <c r="AK71" i="10"/>
  <c r="AJ71" i="10"/>
  <c r="AI71" i="10"/>
  <c r="AH71" i="10"/>
  <c r="AD69" i="10"/>
  <c r="Q52" i="10"/>
  <c r="P52" i="10"/>
  <c r="N52" i="10"/>
  <c r="M52" i="10"/>
  <c r="L52" i="10"/>
  <c r="K52" i="10"/>
  <c r="J52" i="10"/>
  <c r="H52" i="10"/>
  <c r="D96" i="10"/>
  <c r="D98" i="10"/>
  <c r="F94" i="10"/>
  <c r="AM43" i="10"/>
  <c r="AL43" i="10"/>
  <c r="AK43" i="10"/>
  <c r="AJ43" i="10"/>
  <c r="AH43" i="10"/>
  <c r="AD43" i="10"/>
  <c r="AB43" i="10"/>
  <c r="Z43" i="10"/>
  <c r="X43" i="10"/>
  <c r="K39" i="10"/>
  <c r="J39" i="10"/>
  <c r="H39" i="10"/>
  <c r="F166" i="10"/>
  <c r="M39" i="10" s="1"/>
  <c r="F38" i="10"/>
  <c r="F36" i="10"/>
  <c r="F165" i="10"/>
  <c r="F164" i="10"/>
  <c r="AM35" i="10"/>
  <c r="AL35" i="10"/>
  <c r="AK35" i="10"/>
  <c r="AJ35" i="10"/>
  <c r="AH35" i="10"/>
  <c r="AD35" i="10"/>
  <c r="AB35" i="10"/>
  <c r="Z35" i="10"/>
  <c r="X35" i="10"/>
  <c r="V35" i="10"/>
  <c r="T35" i="10"/>
  <c r="S35" i="10"/>
  <c r="R35" i="10"/>
  <c r="Q35" i="10"/>
  <c r="P35" i="10"/>
  <c r="N35" i="10"/>
  <c r="M35" i="10"/>
  <c r="L35" i="10"/>
  <c r="K35" i="10"/>
  <c r="J35" i="10"/>
  <c r="H35" i="10"/>
  <c r="F35" i="10"/>
  <c r="AB34" i="10"/>
  <c r="T34" i="10"/>
  <c r="S34" i="10"/>
  <c r="R34" i="10"/>
  <c r="Q34" i="10"/>
  <c r="P34" i="10"/>
  <c r="N34" i="10"/>
  <c r="M34" i="10"/>
  <c r="L34" i="10"/>
  <c r="K34" i="10"/>
  <c r="J34" i="10"/>
  <c r="F150" i="10"/>
  <c r="H34" i="10" s="1"/>
  <c r="N17" i="10"/>
  <c r="M17" i="10"/>
  <c r="L17" i="10"/>
  <c r="K17" i="10"/>
  <c r="J17" i="10"/>
  <c r="H17" i="10"/>
  <c r="T6" i="10"/>
  <c r="S6" i="10"/>
  <c r="R6" i="10"/>
  <c r="Q6" i="10"/>
  <c r="P5" i="10"/>
  <c r="N4" i="10"/>
  <c r="M4" i="10"/>
  <c r="L4" i="10"/>
  <c r="K4" i="10"/>
  <c r="J4" i="10"/>
  <c r="H4" i="10"/>
  <c r="N5" i="10"/>
  <c r="M5" i="10"/>
  <c r="L5" i="10"/>
  <c r="K5" i="10"/>
  <c r="J5" i="10"/>
  <c r="H5" i="10"/>
  <c r="L29" i="3" l="1"/>
  <c r="H59" i="3"/>
  <c r="I29" i="3"/>
  <c r="F61" i="3"/>
  <c r="F62" i="3" s="1"/>
  <c r="H94" i="10"/>
  <c r="F96" i="10"/>
  <c r="F97" i="10" s="1"/>
  <c r="F45" i="10" l="1"/>
  <c r="F50" i="10"/>
  <c r="F49" i="10"/>
  <c r="E46" i="3"/>
  <c r="E36" i="3"/>
  <c r="F40" i="10"/>
  <c r="F95" i="10"/>
  <c r="AM3" i="10"/>
  <c r="AL3" i="10"/>
  <c r="AK3" i="10"/>
  <c r="AJ3" i="10"/>
  <c r="AH3" i="10"/>
  <c r="X3" i="10"/>
  <c r="V3" i="10"/>
  <c r="S3" i="10"/>
  <c r="R3" i="10"/>
  <c r="J3" i="10"/>
  <c r="H3" i="10"/>
  <c r="F163" i="10"/>
  <c r="D162" i="10"/>
  <c r="F162" i="10" s="1"/>
  <c r="D161" i="10"/>
  <c r="F161" i="10" s="1"/>
  <c r="F159" i="10"/>
  <c r="D158" i="10"/>
  <c r="D157" i="10"/>
  <c r="D156" i="10"/>
  <c r="D155" i="10"/>
  <c r="F153" i="10"/>
  <c r="F151" i="10"/>
  <c r="F148" i="10"/>
  <c r="F147" i="10"/>
  <c r="F146" i="10"/>
  <c r="F145" i="10"/>
  <c r="F144" i="10"/>
  <c r="F143" i="10"/>
  <c r="F141" i="10"/>
  <c r="F140" i="10"/>
  <c r="Q3" i="10" s="1"/>
  <c r="F138" i="10"/>
  <c r="F136" i="10"/>
  <c r="F137" i="10" s="1"/>
  <c r="D135" i="10"/>
  <c r="F135" i="10" s="1"/>
  <c r="F134" i="10" s="1"/>
  <c r="F132" i="10"/>
  <c r="F131" i="10"/>
  <c r="F129" i="10"/>
  <c r="F122" i="10"/>
  <c r="F121" i="10"/>
  <c r="D116" i="10"/>
  <c r="F109" i="10"/>
  <c r="D107" i="10"/>
  <c r="D106" i="10"/>
  <c r="D93" i="10"/>
  <c r="D92" i="10"/>
  <c r="D88" i="10"/>
  <c r="K54" i="10" l="1"/>
  <c r="N54" i="10"/>
  <c r="J54" i="10"/>
  <c r="M54" i="10"/>
  <c r="L54" i="10"/>
  <c r="F160" i="10"/>
  <c r="P62" i="10"/>
  <c r="Q62" i="10"/>
  <c r="F34" i="10"/>
  <c r="F69" i="10"/>
  <c r="F68" i="10"/>
  <c r="M3" i="10"/>
  <c r="N3" i="10"/>
  <c r="K3" i="10"/>
  <c r="P3" i="10"/>
  <c r="T3" i="10"/>
  <c r="L3" i="10"/>
  <c r="F3" i="10"/>
  <c r="AB79" i="10"/>
  <c r="AD78" i="10"/>
  <c r="AB78" i="10"/>
  <c r="Z78" i="10"/>
  <c r="Z77" i="10"/>
  <c r="AB76" i="10"/>
  <c r="Z76" i="10"/>
  <c r="AD75" i="10"/>
  <c r="AB75" i="10"/>
  <c r="Z75" i="10"/>
  <c r="AD72" i="10"/>
  <c r="AB72" i="10"/>
  <c r="Z72" i="10"/>
  <c r="X72" i="10"/>
  <c r="AD70" i="10"/>
  <c r="AB70" i="10"/>
  <c r="X70" i="10"/>
  <c r="AH69" i="10"/>
  <c r="AB69" i="10"/>
  <c r="Z69" i="10"/>
  <c r="X69" i="10"/>
  <c r="AB68" i="10"/>
  <c r="Z68" i="10"/>
  <c r="X68" i="10"/>
  <c r="AD67" i="10"/>
  <c r="AB67" i="10"/>
  <c r="Z67" i="10"/>
  <c r="X67" i="10"/>
  <c r="H67" i="10"/>
  <c r="AD66" i="10"/>
  <c r="AB66" i="10"/>
  <c r="Z66" i="10"/>
  <c r="X66" i="10"/>
  <c r="V66" i="10"/>
  <c r="AB65" i="10"/>
  <c r="Z65" i="10"/>
  <c r="X65" i="10"/>
  <c r="V65" i="10"/>
  <c r="H65" i="10"/>
  <c r="Z64" i="10"/>
  <c r="X64" i="10"/>
  <c r="V64" i="10"/>
  <c r="V63" i="10"/>
  <c r="V61" i="10"/>
  <c r="N61" i="10"/>
  <c r="M61" i="10"/>
  <c r="L61" i="10"/>
  <c r="K61" i="10"/>
  <c r="AK60" i="10"/>
  <c r="AJ60" i="10"/>
  <c r="AI60" i="10"/>
  <c r="AH60" i="10"/>
  <c r="AD60" i="10"/>
  <c r="AB59" i="10"/>
  <c r="Z59" i="10"/>
  <c r="AB58" i="10"/>
  <c r="Z58" i="10"/>
  <c r="M58" i="10"/>
  <c r="L58" i="10"/>
  <c r="K58" i="10"/>
  <c r="J58" i="10"/>
  <c r="M57" i="10"/>
  <c r="L57" i="10"/>
  <c r="K57" i="10"/>
  <c r="J57" i="10"/>
  <c r="H57" i="10"/>
  <c r="M56" i="10"/>
  <c r="L56" i="10"/>
  <c r="K56" i="10"/>
  <c r="J56" i="10"/>
  <c r="H56" i="10"/>
  <c r="H55" i="10"/>
  <c r="H54" i="10"/>
  <c r="Z53" i="10"/>
  <c r="X53" i="10"/>
  <c r="R53" i="10"/>
  <c r="Q53" i="10"/>
  <c r="P53" i="10"/>
  <c r="N53" i="10"/>
  <c r="M53" i="10"/>
  <c r="L53" i="10"/>
  <c r="K53" i="10"/>
  <c r="J53" i="10"/>
  <c r="H53" i="10"/>
  <c r="Z52" i="10"/>
  <c r="X52" i="10"/>
  <c r="V52" i="10"/>
  <c r="Z51" i="10"/>
  <c r="X48" i="10"/>
  <c r="M48" i="10"/>
  <c r="L48" i="10"/>
  <c r="K48" i="10"/>
  <c r="J48" i="10"/>
  <c r="H48" i="10"/>
  <c r="AK47" i="10"/>
  <c r="AJ47" i="10"/>
  <c r="AI47" i="10"/>
  <c r="AH47" i="10"/>
  <c r="AF47" i="10"/>
  <c r="AD47" i="10"/>
  <c r="AB47" i="10"/>
  <c r="Z47" i="10"/>
  <c r="X47" i="10"/>
  <c r="V47" i="10"/>
  <c r="T46" i="10"/>
  <c r="S46" i="10"/>
  <c r="R46" i="10"/>
  <c r="Q46" i="10"/>
  <c r="P46" i="10"/>
  <c r="AM45" i="10"/>
  <c r="AL45" i="10"/>
  <c r="AK45" i="10"/>
  <c r="AJ45" i="10"/>
  <c r="AI45" i="10"/>
  <c r="AH45" i="10"/>
  <c r="AF45" i="10"/>
  <c r="AD45" i="10"/>
  <c r="AB45" i="10"/>
  <c r="Z45" i="10"/>
  <c r="X45" i="10"/>
  <c r="V45" i="10"/>
  <c r="N45" i="10"/>
  <c r="M45" i="10"/>
  <c r="L45" i="10"/>
  <c r="K45" i="10"/>
  <c r="J45" i="10"/>
  <c r="H45" i="10"/>
  <c r="AM44" i="10"/>
  <c r="AL44" i="10"/>
  <c r="AK44" i="10"/>
  <c r="AJ44" i="10"/>
  <c r="AI44" i="10"/>
  <c r="AH44" i="10"/>
  <c r="AF44" i="10"/>
  <c r="AD44" i="10"/>
  <c r="AB44" i="10"/>
  <c r="Z44" i="10"/>
  <c r="X44" i="10"/>
  <c r="V44" i="10"/>
  <c r="T44" i="10"/>
  <c r="S44" i="10"/>
  <c r="R44" i="10"/>
  <c r="Q44" i="10"/>
  <c r="P44" i="10"/>
  <c r="N44" i="10"/>
  <c r="M44" i="10"/>
  <c r="L44" i="10"/>
  <c r="K44" i="10"/>
  <c r="J44" i="10"/>
  <c r="H44" i="10"/>
  <c r="V43" i="10"/>
  <c r="T43" i="10"/>
  <c r="S43" i="10"/>
  <c r="R43" i="10"/>
  <c r="Q43" i="10"/>
  <c r="P43" i="10"/>
  <c r="H43" i="10"/>
  <c r="H42" i="10"/>
  <c r="X41" i="10"/>
  <c r="V41" i="10"/>
  <c r="X39" i="10"/>
  <c r="L39" i="10"/>
  <c r="AM38" i="10"/>
  <c r="AL38" i="10"/>
  <c r="AK38" i="10"/>
  <c r="AJ38" i="10"/>
  <c r="AH38" i="10"/>
  <c r="AF38" i="10"/>
  <c r="X38" i="10"/>
  <c r="AM37" i="10"/>
  <c r="AL37" i="10"/>
  <c r="AK37" i="10"/>
  <c r="AJ37" i="10"/>
  <c r="AM36" i="10"/>
  <c r="AL36" i="10"/>
  <c r="AK36" i="10"/>
  <c r="AJ36" i="10"/>
  <c r="AF34" i="10"/>
  <c r="AD34" i="10"/>
  <c r="Z34" i="10"/>
  <c r="X34" i="10"/>
  <c r="V34" i="10"/>
  <c r="AD33" i="10"/>
  <c r="AB33" i="10"/>
  <c r="Z33" i="10"/>
  <c r="X33" i="10"/>
  <c r="V33" i="10"/>
  <c r="T33" i="10"/>
  <c r="S33" i="10"/>
  <c r="R33" i="10"/>
  <c r="Q33" i="10"/>
  <c r="P33" i="10"/>
  <c r="T31" i="10"/>
  <c r="S31" i="10"/>
  <c r="R31" i="10"/>
  <c r="Q31" i="10"/>
  <c r="P31" i="10"/>
  <c r="Q30" i="10"/>
  <c r="P30" i="10"/>
  <c r="Q29" i="10"/>
  <c r="P29" i="10"/>
  <c r="T18" i="10"/>
  <c r="S18" i="10"/>
  <c r="R18" i="10"/>
  <c r="Q18" i="10"/>
  <c r="P18" i="10"/>
  <c r="AM15" i="10"/>
  <c r="AL15" i="10"/>
  <c r="AK15" i="10"/>
  <c r="AJ15" i="10"/>
  <c r="AI15" i="10"/>
  <c r="AH15" i="10"/>
  <c r="AF15" i="10"/>
  <c r="AM14" i="10"/>
  <c r="AL14" i="10"/>
  <c r="AK14" i="10"/>
  <c r="AJ14" i="10"/>
  <c r="AI14" i="10"/>
  <c r="AH14" i="10"/>
  <c r="AF14" i="10"/>
  <c r="AD13" i="10"/>
  <c r="AB13" i="10"/>
  <c r="Z13" i="10"/>
  <c r="X13" i="10"/>
  <c r="V12" i="10"/>
  <c r="V11" i="10"/>
  <c r="V10" i="10"/>
  <c r="V9" i="10"/>
  <c r="V8" i="10"/>
  <c r="AD3" i="10"/>
  <c r="AB3" i="10"/>
  <c r="Z3" i="10"/>
  <c r="AA79" i="9"/>
  <c r="AC78" i="9"/>
  <c r="AA78" i="9"/>
  <c r="Y78" i="9"/>
  <c r="AC77" i="9"/>
  <c r="AA77" i="9"/>
  <c r="Y77" i="9"/>
  <c r="AA76" i="9"/>
  <c r="Y76" i="9"/>
  <c r="AC75" i="9"/>
  <c r="AA75" i="9"/>
  <c r="Y75" i="9"/>
  <c r="AJ74" i="9"/>
  <c r="AH74" i="9"/>
  <c r="AG74" i="9"/>
  <c r="AC74" i="9"/>
  <c r="AA74" i="9"/>
  <c r="Y74" i="9"/>
  <c r="W74" i="9"/>
  <c r="AL73" i="9"/>
  <c r="AK73" i="9"/>
  <c r="AJ73" i="9"/>
  <c r="AI73" i="9"/>
  <c r="AH73" i="9"/>
  <c r="AG73" i="9"/>
  <c r="AE73" i="9"/>
  <c r="AC73" i="9"/>
  <c r="AA73" i="9"/>
  <c r="Y73" i="9"/>
  <c r="W73" i="9"/>
  <c r="AC72" i="9"/>
  <c r="AA72" i="9"/>
  <c r="Y72" i="9"/>
  <c r="W72" i="9"/>
  <c r="AL71" i="9"/>
  <c r="AK71" i="9"/>
  <c r="AJ71" i="9"/>
  <c r="AI71" i="9"/>
  <c r="AH71" i="9"/>
  <c r="AG71" i="9"/>
  <c r="AE71" i="9"/>
  <c r="AC71" i="9"/>
  <c r="AC70" i="9"/>
  <c r="AA70" i="9"/>
  <c r="W70" i="9"/>
  <c r="AG69" i="9"/>
  <c r="AC69" i="9"/>
  <c r="AA69" i="9"/>
  <c r="Y69" i="9"/>
  <c r="W69" i="9"/>
  <c r="AA68" i="9"/>
  <c r="Y68" i="9"/>
  <c r="W68" i="9"/>
  <c r="AC67" i="9"/>
  <c r="AA67" i="9"/>
  <c r="Y67" i="9"/>
  <c r="W67" i="9"/>
  <c r="G67" i="9"/>
  <c r="AC66" i="9"/>
  <c r="AA66" i="9"/>
  <c r="Y66" i="9"/>
  <c r="W66" i="9"/>
  <c r="U66" i="9"/>
  <c r="AA65" i="9"/>
  <c r="Y65" i="9"/>
  <c r="W65" i="9"/>
  <c r="U65" i="9"/>
  <c r="G65" i="9"/>
  <c r="Y64" i="9"/>
  <c r="W64" i="9"/>
  <c r="U64" i="9"/>
  <c r="U63" i="9"/>
  <c r="P62" i="9"/>
  <c r="O62" i="9"/>
  <c r="U61" i="9"/>
  <c r="M61" i="9"/>
  <c r="L61" i="9"/>
  <c r="K61" i="9"/>
  <c r="J61" i="9"/>
  <c r="AJ60" i="9"/>
  <c r="AI60" i="9"/>
  <c r="AH60" i="9"/>
  <c r="AG60" i="9"/>
  <c r="AC60" i="9"/>
  <c r="AA59" i="9"/>
  <c r="Y59" i="9"/>
  <c r="AA58" i="9"/>
  <c r="Y58" i="9"/>
  <c r="L58" i="9"/>
  <c r="K58" i="9"/>
  <c r="J58" i="9"/>
  <c r="I58" i="9"/>
  <c r="L57" i="9"/>
  <c r="K57" i="9"/>
  <c r="J57" i="9"/>
  <c r="I57" i="9"/>
  <c r="G57" i="9"/>
  <c r="L56" i="9"/>
  <c r="K56" i="9"/>
  <c r="J56" i="9"/>
  <c r="I56" i="9"/>
  <c r="G56" i="9"/>
  <c r="G55" i="9"/>
  <c r="M54" i="9"/>
  <c r="L54" i="9"/>
  <c r="K54" i="9"/>
  <c r="J54" i="9"/>
  <c r="I54" i="9"/>
  <c r="G54" i="9"/>
  <c r="Y53" i="9"/>
  <c r="W53" i="9"/>
  <c r="U53" i="9"/>
  <c r="Q53" i="9"/>
  <c r="P53" i="9"/>
  <c r="O53" i="9"/>
  <c r="M53" i="9"/>
  <c r="L53" i="9"/>
  <c r="K53" i="9"/>
  <c r="J53" i="9"/>
  <c r="I53" i="9"/>
  <c r="G53" i="9"/>
  <c r="Y52" i="9"/>
  <c r="W52" i="9"/>
  <c r="U52" i="9"/>
  <c r="P52" i="9"/>
  <c r="O52" i="9"/>
  <c r="M52" i="9"/>
  <c r="L52" i="9"/>
  <c r="K52" i="9"/>
  <c r="J52" i="9"/>
  <c r="I52" i="9"/>
  <c r="G52" i="9"/>
  <c r="Y51" i="9"/>
  <c r="W48" i="9"/>
  <c r="L48" i="9"/>
  <c r="K48" i="9"/>
  <c r="J48" i="9"/>
  <c r="I48" i="9"/>
  <c r="G48" i="9"/>
  <c r="AJ47" i="9"/>
  <c r="AI47" i="9"/>
  <c r="AH47" i="9"/>
  <c r="AG47" i="9"/>
  <c r="AE47" i="9"/>
  <c r="AC47" i="9"/>
  <c r="AA47" i="9"/>
  <c r="Y47" i="9"/>
  <c r="W47" i="9"/>
  <c r="U47" i="9"/>
  <c r="S46" i="9"/>
  <c r="R46" i="9"/>
  <c r="Q46" i="9"/>
  <c r="P46" i="9"/>
  <c r="O46" i="9"/>
  <c r="AL45" i="9"/>
  <c r="AK45" i="9"/>
  <c r="AJ45" i="9"/>
  <c r="AI45" i="9"/>
  <c r="AH45" i="9"/>
  <c r="AG45" i="9"/>
  <c r="AE45" i="9"/>
  <c r="AC45" i="9"/>
  <c r="AA45" i="9"/>
  <c r="Y45" i="9"/>
  <c r="W45" i="9"/>
  <c r="U45" i="9"/>
  <c r="M45" i="9"/>
  <c r="L45" i="9"/>
  <c r="K45" i="9"/>
  <c r="J45" i="9"/>
  <c r="I45" i="9"/>
  <c r="G45" i="9"/>
  <c r="AL44" i="9"/>
  <c r="AK44" i="9"/>
  <c r="AJ44" i="9"/>
  <c r="AI44" i="9"/>
  <c r="AH44" i="9"/>
  <c r="AG44" i="9"/>
  <c r="AE44" i="9"/>
  <c r="AC44" i="9"/>
  <c r="AA44" i="9"/>
  <c r="Y44" i="9"/>
  <c r="W44" i="9"/>
  <c r="U44" i="9"/>
  <c r="S44" i="9"/>
  <c r="R44" i="9"/>
  <c r="Q44" i="9"/>
  <c r="P44" i="9"/>
  <c r="O44" i="9"/>
  <c r="M44" i="9"/>
  <c r="L44" i="9"/>
  <c r="K44" i="9"/>
  <c r="J44" i="9"/>
  <c r="I44" i="9"/>
  <c r="G44" i="9"/>
  <c r="AL43" i="9"/>
  <c r="AK43" i="9"/>
  <c r="AJ43" i="9"/>
  <c r="AI43" i="9"/>
  <c r="AG43" i="9"/>
  <c r="AC43" i="9"/>
  <c r="AA43" i="9"/>
  <c r="Y43" i="9"/>
  <c r="W43" i="9"/>
  <c r="U43" i="9"/>
  <c r="S43" i="9"/>
  <c r="R43" i="9"/>
  <c r="Q43" i="9"/>
  <c r="P43" i="9"/>
  <c r="O43" i="9"/>
  <c r="G43" i="9"/>
  <c r="G42" i="9"/>
  <c r="W41" i="9"/>
  <c r="U41" i="9"/>
  <c r="W39" i="9"/>
  <c r="L39" i="9"/>
  <c r="K39" i="9"/>
  <c r="J39" i="9"/>
  <c r="I39" i="9"/>
  <c r="G39" i="9"/>
  <c r="AL38" i="9"/>
  <c r="AK38" i="9"/>
  <c r="AJ38" i="9"/>
  <c r="AI38" i="9"/>
  <c r="AG38" i="9"/>
  <c r="AE38" i="9"/>
  <c r="AC38" i="9"/>
  <c r="AD38" i="10" s="1"/>
  <c r="AA38" i="9"/>
  <c r="AB38" i="10" s="1"/>
  <c r="Y38" i="9"/>
  <c r="Z38" i="10" s="1"/>
  <c r="U38" i="9"/>
  <c r="V38" i="10" s="1"/>
  <c r="S38" i="9"/>
  <c r="T38" i="10" s="1"/>
  <c r="R38" i="9"/>
  <c r="S38" i="10" s="1"/>
  <c r="Q38" i="9"/>
  <c r="R38" i="10" s="1"/>
  <c r="P38" i="9"/>
  <c r="Q38" i="10" s="1"/>
  <c r="O38" i="9"/>
  <c r="P38" i="10" s="1"/>
  <c r="M38" i="9"/>
  <c r="L38" i="9"/>
  <c r="K38" i="9"/>
  <c r="J38" i="9"/>
  <c r="I38" i="9"/>
  <c r="G38" i="9"/>
  <c r="AL37" i="9"/>
  <c r="AK37" i="9"/>
  <c r="AJ37" i="9"/>
  <c r="AI37" i="9"/>
  <c r="AC37" i="9"/>
  <c r="AD37" i="10" s="1"/>
  <c r="AA37" i="9"/>
  <c r="AB37" i="10" s="1"/>
  <c r="Y37" i="9"/>
  <c r="Z37" i="10" s="1"/>
  <c r="W37" i="9"/>
  <c r="X37" i="10" s="1"/>
  <c r="U37" i="9"/>
  <c r="V37" i="10" s="1"/>
  <c r="S37" i="9"/>
  <c r="T37" i="10" s="1"/>
  <c r="R37" i="9"/>
  <c r="S37" i="10" s="1"/>
  <c r="Q37" i="9"/>
  <c r="R37" i="10" s="1"/>
  <c r="P37" i="9"/>
  <c r="Q37" i="10" s="1"/>
  <c r="O37" i="9"/>
  <c r="P37" i="10" s="1"/>
  <c r="M37" i="9"/>
  <c r="N37" i="10" s="1"/>
  <c r="L37" i="9"/>
  <c r="M37" i="10" s="1"/>
  <c r="K37" i="9"/>
  <c r="L37" i="10" s="1"/>
  <c r="J37" i="9"/>
  <c r="K37" i="10" s="1"/>
  <c r="I37" i="9"/>
  <c r="J37" i="10" s="1"/>
  <c r="G37" i="9"/>
  <c r="H37" i="10" s="1"/>
  <c r="AL36" i="9"/>
  <c r="AK36" i="9"/>
  <c r="AJ36" i="9"/>
  <c r="AI36" i="9"/>
  <c r="AC36" i="9"/>
  <c r="AD36" i="10" s="1"/>
  <c r="AA36" i="9"/>
  <c r="AB36" i="10" s="1"/>
  <c r="Y36" i="9"/>
  <c r="Z36" i="10" s="1"/>
  <c r="W36" i="9"/>
  <c r="X36" i="10" s="1"/>
  <c r="U36" i="9"/>
  <c r="V36" i="10" s="1"/>
  <c r="S36" i="9"/>
  <c r="T36" i="10" s="1"/>
  <c r="R36" i="9"/>
  <c r="S36" i="10" s="1"/>
  <c r="Q36" i="9"/>
  <c r="R36" i="10" s="1"/>
  <c r="P36" i="9"/>
  <c r="Q36" i="10" s="1"/>
  <c r="O36" i="9"/>
  <c r="P36" i="10" s="1"/>
  <c r="M36" i="9"/>
  <c r="N36" i="10" s="1"/>
  <c r="L36" i="9"/>
  <c r="M36" i="10" s="1"/>
  <c r="K36" i="9"/>
  <c r="L36" i="10" s="1"/>
  <c r="G36" i="9"/>
  <c r="H36" i="10" s="1"/>
  <c r="AL35" i="9"/>
  <c r="AK35" i="9"/>
  <c r="AJ35" i="9"/>
  <c r="AI35" i="9"/>
  <c r="AG35" i="9"/>
  <c r="AC35" i="9"/>
  <c r="AA35" i="9"/>
  <c r="Y35" i="9"/>
  <c r="W35" i="9"/>
  <c r="U35" i="9"/>
  <c r="S35" i="9"/>
  <c r="R35" i="9"/>
  <c r="Q35" i="9"/>
  <c r="P35" i="9"/>
  <c r="O35" i="9"/>
  <c r="M35" i="9"/>
  <c r="L35" i="9"/>
  <c r="K35" i="9"/>
  <c r="J35" i="9"/>
  <c r="I35" i="9"/>
  <c r="G35" i="9"/>
  <c r="AE34" i="9"/>
  <c r="AC34" i="9"/>
  <c r="AA34" i="9"/>
  <c r="Y34" i="9"/>
  <c r="W34" i="9"/>
  <c r="U34" i="9"/>
  <c r="S34" i="9"/>
  <c r="R34" i="9"/>
  <c r="Q34" i="9"/>
  <c r="P34" i="9"/>
  <c r="O34" i="9"/>
  <c r="M34" i="9"/>
  <c r="L34" i="9"/>
  <c r="K34" i="9"/>
  <c r="J34" i="9"/>
  <c r="I34" i="9"/>
  <c r="G34" i="9"/>
  <c r="AC33" i="9"/>
  <c r="AA33" i="9"/>
  <c r="Y33" i="9"/>
  <c r="W33" i="9"/>
  <c r="U33" i="9"/>
  <c r="S33" i="9"/>
  <c r="R33" i="9"/>
  <c r="Q33" i="9"/>
  <c r="P33" i="9"/>
  <c r="O33" i="9"/>
  <c r="S31" i="9"/>
  <c r="R31" i="9"/>
  <c r="Q31" i="9"/>
  <c r="P31" i="9"/>
  <c r="O31" i="9"/>
  <c r="P30" i="9"/>
  <c r="O30" i="9"/>
  <c r="P29" i="9"/>
  <c r="O29" i="9"/>
  <c r="S18" i="9"/>
  <c r="R18" i="9"/>
  <c r="Q18" i="9"/>
  <c r="P18" i="9"/>
  <c r="O18" i="9"/>
  <c r="M17" i="9"/>
  <c r="L17" i="9"/>
  <c r="K17" i="9"/>
  <c r="J17" i="9"/>
  <c r="I17" i="9"/>
  <c r="G17" i="9"/>
  <c r="AL15" i="9"/>
  <c r="AK15" i="9"/>
  <c r="AJ15" i="9"/>
  <c r="AI15" i="9"/>
  <c r="AH15" i="9"/>
  <c r="AG15" i="9"/>
  <c r="AE15" i="9"/>
  <c r="AL14" i="9"/>
  <c r="AK14" i="9"/>
  <c r="AJ14" i="9"/>
  <c r="AI14" i="9"/>
  <c r="AH14" i="9"/>
  <c r="AG14" i="9"/>
  <c r="AE14" i="9"/>
  <c r="AC13" i="9"/>
  <c r="AA13" i="9"/>
  <c r="Y13" i="9"/>
  <c r="W13" i="9"/>
  <c r="U12" i="9"/>
  <c r="U11" i="9"/>
  <c r="U10" i="9"/>
  <c r="U9" i="9"/>
  <c r="U8" i="9"/>
  <c r="S6" i="9"/>
  <c r="R6" i="9"/>
  <c r="Q6" i="9"/>
  <c r="P6" i="9"/>
  <c r="O5" i="9"/>
  <c r="M5" i="9"/>
  <c r="L5" i="9"/>
  <c r="K5" i="9"/>
  <c r="J5" i="9"/>
  <c r="I5" i="9"/>
  <c r="G5" i="9"/>
  <c r="M4" i="9"/>
  <c r="L4" i="9"/>
  <c r="K4" i="9"/>
  <c r="J4" i="9"/>
  <c r="I4" i="9"/>
  <c r="G4" i="9"/>
  <c r="AL3" i="9"/>
  <c r="AK3" i="9"/>
  <c r="AJ3" i="9"/>
  <c r="AI3" i="9"/>
  <c r="AG3" i="9"/>
  <c r="AC3" i="9"/>
  <c r="AA3" i="9"/>
  <c r="Y3" i="9"/>
  <c r="W3" i="9"/>
  <c r="U3" i="9"/>
  <c r="S3" i="9"/>
  <c r="R3" i="9"/>
  <c r="Q3" i="9"/>
  <c r="P3" i="9"/>
  <c r="O3" i="9"/>
  <c r="M3" i="9"/>
  <c r="L3" i="9"/>
  <c r="K3" i="9"/>
  <c r="J3" i="9"/>
  <c r="I3" i="9"/>
  <c r="G3" i="9"/>
  <c r="F69" i="8"/>
  <c r="E69" i="9" s="1"/>
  <c r="F68" i="8"/>
  <c r="F58" i="8"/>
  <c r="F54" i="8"/>
  <c r="F54" i="10" s="1"/>
  <c r="F52" i="8"/>
  <c r="G50" i="8"/>
  <c r="G49" i="8"/>
  <c r="G45" i="8"/>
  <c r="G44" i="8"/>
  <c r="G40" i="8"/>
  <c r="F38" i="8"/>
  <c r="E38" i="9" s="1"/>
  <c r="G37" i="8"/>
  <c r="E37" i="9" s="1"/>
  <c r="F37" i="10" s="1"/>
  <c r="G36" i="8"/>
  <c r="E36" i="9" s="1"/>
  <c r="F35" i="8"/>
  <c r="F34" i="8"/>
  <c r="F32" i="8"/>
  <c r="E32" i="9" s="1"/>
  <c r="F30" i="8"/>
  <c r="E30" i="9" s="1"/>
  <c r="G29" i="8"/>
  <c r="D29" i="8"/>
  <c r="C29" i="9" s="1"/>
  <c r="D28" i="8"/>
  <c r="D28" i="10" s="1"/>
  <c r="D27" i="8"/>
  <c r="D27" i="10" s="1"/>
  <c r="D26" i="8"/>
  <c r="D25" i="8"/>
  <c r="C25" i="9" s="1"/>
  <c r="G24" i="8"/>
  <c r="F24" i="10" s="1"/>
  <c r="D24" i="8"/>
  <c r="D24" i="10" s="1"/>
  <c r="F23" i="8"/>
  <c r="D23" i="8"/>
  <c r="C23" i="9" s="1"/>
  <c r="D22" i="8"/>
  <c r="D22" i="10" s="1"/>
  <c r="G21" i="8"/>
  <c r="F21" i="10" s="1"/>
  <c r="D21" i="8"/>
  <c r="G20" i="8"/>
  <c r="E20" i="9" s="1"/>
  <c r="D20" i="8"/>
  <c r="D20" i="10" s="1"/>
  <c r="G19" i="8"/>
  <c r="F19" i="10" s="1"/>
  <c r="D19" i="8"/>
  <c r="D16" i="8"/>
  <c r="G11" i="8"/>
  <c r="F11" i="10" s="1"/>
  <c r="D11" i="8"/>
  <c r="D11" i="10" s="1"/>
  <c r="G10" i="8"/>
  <c r="D10" i="8"/>
  <c r="C10" i="9" s="1"/>
  <c r="G9" i="8"/>
  <c r="F9" i="10" s="1"/>
  <c r="D9" i="8"/>
  <c r="C9" i="9" s="1"/>
  <c r="G8" i="8"/>
  <c r="F8" i="10" s="1"/>
  <c r="D8" i="8"/>
  <c r="D8" i="10" s="1"/>
  <c r="G7" i="8"/>
  <c r="E7" i="9" s="1"/>
  <c r="D7" i="8"/>
  <c r="C7" i="9" s="1"/>
  <c r="F3" i="8"/>
  <c r="F20" i="10" l="1"/>
  <c r="C22" i="9"/>
  <c r="C8" i="9"/>
  <c r="E54" i="9"/>
  <c r="C27" i="9"/>
  <c r="E52" i="9"/>
  <c r="D7" i="10"/>
  <c r="C28" i="9"/>
  <c r="F7" i="10"/>
  <c r="E21" i="9"/>
  <c r="C11" i="9"/>
  <c r="E9" i="9"/>
  <c r="E11" i="9"/>
  <c r="E19" i="9"/>
  <c r="C24" i="9"/>
  <c r="F30" i="10"/>
  <c r="F32" i="10"/>
  <c r="C20" i="9"/>
  <c r="E24" i="9"/>
  <c r="E44" i="9"/>
  <c r="E45" i="9"/>
  <c r="D9" i="10"/>
  <c r="D29" i="10"/>
  <c r="E3" i="9"/>
  <c r="F10" i="10"/>
  <c r="E10" i="9"/>
  <c r="D19" i="10"/>
  <c r="C19" i="9"/>
  <c r="F23" i="10"/>
  <c r="E23" i="9"/>
  <c r="F29" i="10"/>
  <c r="E29" i="9"/>
  <c r="E35" i="9"/>
  <c r="E40" i="9"/>
  <c r="E68" i="9"/>
  <c r="E8" i="9"/>
  <c r="D16" i="10"/>
  <c r="C16" i="9"/>
  <c r="E49" i="9"/>
  <c r="E58" i="9"/>
  <c r="E34" i="9"/>
  <c r="D10" i="10"/>
  <c r="D25" i="10"/>
  <c r="D21" i="10"/>
  <c r="C21" i="9"/>
  <c r="D26" i="10"/>
  <c r="C26" i="9"/>
  <c r="E50" i="9"/>
  <c r="D23" i="10"/>
  <c r="AE44" i="3"/>
  <c r="AA43" i="3"/>
  <c r="Y43" i="3"/>
  <c r="AL42" i="3"/>
  <c r="AK42" i="3"/>
  <c r="AJ42" i="3"/>
  <c r="AI42" i="3"/>
  <c r="AA41" i="3"/>
  <c r="AJ40" i="3"/>
  <c r="AI40" i="3"/>
  <c r="AF40" i="3"/>
  <c r="AE40" i="3"/>
  <c r="AC40" i="3"/>
  <c r="AA40" i="3"/>
  <c r="Y40" i="3"/>
  <c r="J38" i="3"/>
  <c r="I38" i="3"/>
  <c r="G38" i="3"/>
  <c r="AE37" i="3"/>
  <c r="AA37" i="3"/>
  <c r="Y37" i="3"/>
  <c r="X36" i="3"/>
  <c r="V35" i="3"/>
  <c r="T35" i="3"/>
  <c r="S35" i="3"/>
  <c r="Q35" i="3"/>
  <c r="P35" i="3"/>
  <c r="L35" i="3"/>
  <c r="K35" i="3"/>
  <c r="J35" i="3"/>
  <c r="I35" i="3"/>
  <c r="G35" i="3"/>
  <c r="AF34" i="3"/>
  <c r="AA34" i="3"/>
  <c r="Y34" i="3"/>
  <c r="X34" i="3"/>
  <c r="T34" i="3"/>
  <c r="S34" i="3"/>
  <c r="Q34" i="3"/>
  <c r="P34" i="3"/>
  <c r="T33" i="3"/>
  <c r="S33" i="3"/>
  <c r="Q33" i="3"/>
  <c r="P33" i="3"/>
  <c r="O33" i="3"/>
  <c r="T32" i="3"/>
  <c r="S32" i="3"/>
  <c r="Q32" i="3"/>
  <c r="P32" i="3"/>
  <c r="O32" i="3"/>
  <c r="T31" i="3"/>
  <c r="S31" i="3"/>
  <c r="M31" i="3"/>
  <c r="L31" i="3"/>
  <c r="K31" i="3"/>
  <c r="J31" i="3"/>
  <c r="X30" i="3"/>
  <c r="V30" i="3"/>
  <c r="AL28" i="3"/>
  <c r="AK28" i="3"/>
  <c r="AJ28" i="3"/>
  <c r="AI28" i="3"/>
  <c r="AA28" i="3"/>
  <c r="Y28" i="3"/>
  <c r="X28" i="3"/>
  <c r="M28" i="3"/>
  <c r="L28" i="3"/>
  <c r="K28" i="3"/>
  <c r="J28" i="3"/>
  <c r="I28" i="3"/>
  <c r="AH27" i="3"/>
  <c r="AF27" i="3"/>
  <c r="AE27" i="3"/>
  <c r="AC27" i="3"/>
  <c r="AA27" i="3"/>
  <c r="Y27" i="3"/>
  <c r="X27" i="3"/>
  <c r="V26" i="3"/>
  <c r="AL25" i="3"/>
  <c r="AK25" i="3"/>
  <c r="AJ25" i="3"/>
  <c r="AI25" i="3"/>
  <c r="AF25" i="3"/>
  <c r="AE25" i="3"/>
  <c r="L25" i="3"/>
  <c r="K25" i="3"/>
  <c r="J25" i="3"/>
  <c r="I25" i="3"/>
  <c r="G25" i="3"/>
  <c r="AL24" i="3"/>
  <c r="AK24" i="3"/>
  <c r="AJ24" i="3"/>
  <c r="AI24" i="3"/>
  <c r="AF24" i="3"/>
  <c r="AE24" i="3"/>
  <c r="AA24" i="3"/>
  <c r="Y24" i="3"/>
  <c r="X24" i="3"/>
  <c r="M24" i="3"/>
  <c r="L24" i="3"/>
  <c r="K24" i="3"/>
  <c r="J24" i="3"/>
  <c r="I24" i="3"/>
  <c r="G24" i="3"/>
  <c r="M23" i="3"/>
  <c r="L23" i="3"/>
  <c r="K23" i="3"/>
  <c r="J23" i="3"/>
  <c r="I23" i="3"/>
  <c r="G23" i="3"/>
  <c r="Q22" i="3"/>
  <c r="P22" i="3"/>
  <c r="O22" i="3"/>
  <c r="L22" i="3"/>
  <c r="K22" i="3"/>
  <c r="J22" i="3"/>
  <c r="Q21" i="3"/>
  <c r="P21" i="3"/>
  <c r="O21" i="3"/>
  <c r="AL20" i="3"/>
  <c r="AK20" i="3"/>
  <c r="AJ20" i="3"/>
  <c r="AI20" i="3"/>
  <c r="AH20" i="3"/>
  <c r="AF20" i="3"/>
  <c r="AE20" i="3"/>
  <c r="AC20" i="3"/>
  <c r="AA20" i="3"/>
  <c r="Y20" i="3"/>
  <c r="X20" i="3"/>
  <c r="AL19" i="3"/>
  <c r="AK19" i="3"/>
  <c r="AJ19" i="3"/>
  <c r="AI19" i="3"/>
  <c r="AF19" i="3"/>
  <c r="AE19" i="3"/>
  <c r="AC19" i="3"/>
  <c r="AA19" i="3"/>
  <c r="Y19" i="3"/>
  <c r="X19" i="3"/>
  <c r="AL18" i="3"/>
  <c r="AK18" i="3"/>
  <c r="AJ18" i="3"/>
  <c r="AI18" i="3"/>
  <c r="AH18" i="3"/>
  <c r="AF18" i="3"/>
  <c r="AE18" i="3"/>
  <c r="AC18" i="3"/>
  <c r="AA18" i="3"/>
  <c r="Y18" i="3"/>
  <c r="X18" i="3"/>
  <c r="AL17" i="3"/>
  <c r="AK17" i="3"/>
  <c r="AJ17" i="3"/>
  <c r="AI17" i="3"/>
  <c r="AH17" i="3"/>
  <c r="AF17" i="3"/>
  <c r="AE17" i="3"/>
  <c r="AC17" i="3"/>
  <c r="AA17" i="3"/>
  <c r="Y17" i="3"/>
  <c r="X17" i="3"/>
  <c r="AL15" i="3"/>
  <c r="AK15" i="3"/>
  <c r="AF15" i="3"/>
  <c r="AE15" i="3"/>
  <c r="AC15" i="3"/>
  <c r="AA15" i="3"/>
  <c r="Y15" i="3"/>
  <c r="X15" i="3"/>
  <c r="AA14" i="3"/>
  <c r="Y14" i="3"/>
  <c r="Y9" i="3"/>
  <c r="AL8" i="3"/>
  <c r="AK8" i="3"/>
  <c r="AJ8" i="3"/>
  <c r="AI8" i="3"/>
  <c r="AF8" i="3"/>
  <c r="AE8" i="3"/>
  <c r="AA8" i="3"/>
  <c r="Y7" i="3"/>
  <c r="X7" i="3"/>
  <c r="V7" i="3"/>
  <c r="T7" i="3"/>
  <c r="S7" i="3"/>
  <c r="M4" i="3"/>
  <c r="L4" i="3"/>
  <c r="K4" i="3"/>
  <c r="J4" i="3"/>
  <c r="I4" i="3"/>
  <c r="G4" i="3"/>
  <c r="AK8" i="2"/>
  <c r="AK15" i="2"/>
  <c r="AK16" i="2"/>
  <c r="AL16" i="3" s="1"/>
  <c r="AK17" i="2"/>
  <c r="AK18" i="2"/>
  <c r="AK19" i="2"/>
  <c r="AK20" i="2"/>
  <c r="AK24" i="2"/>
  <c r="AK25" i="2"/>
  <c r="AK28" i="2"/>
  <c r="AK39" i="2"/>
  <c r="AL39" i="3" s="1"/>
  <c r="AK42" i="2"/>
  <c r="AJ8" i="2"/>
  <c r="AJ15" i="2"/>
  <c r="AJ16" i="2"/>
  <c r="AK16" i="3" s="1"/>
  <c r="AJ17" i="2"/>
  <c r="AJ18" i="2"/>
  <c r="AJ19" i="2"/>
  <c r="AJ20" i="2"/>
  <c r="AJ24" i="2"/>
  <c r="AJ25" i="2"/>
  <c r="AJ28" i="2"/>
  <c r="AJ39" i="2"/>
  <c r="AK39" i="3" s="1"/>
  <c r="AJ42" i="2"/>
  <c r="AI8" i="2"/>
  <c r="AI16" i="2"/>
  <c r="AJ16" i="3" s="1"/>
  <c r="AI17" i="2"/>
  <c r="AI18" i="2"/>
  <c r="AI19" i="2"/>
  <c r="AI20" i="2"/>
  <c r="AI24" i="2"/>
  <c r="AI25" i="2"/>
  <c r="AI28" i="2"/>
  <c r="AI39" i="2"/>
  <c r="AJ39" i="3" s="1"/>
  <c r="AI40" i="2"/>
  <c r="AI42" i="2"/>
  <c r="AH8" i="2"/>
  <c r="AH16" i="2"/>
  <c r="AI16" i="3" s="1"/>
  <c r="AH17" i="2"/>
  <c r="AH18" i="2"/>
  <c r="AH19" i="2"/>
  <c r="AH20" i="2"/>
  <c r="AH24" i="2"/>
  <c r="AH25" i="2"/>
  <c r="AH28" i="2"/>
  <c r="AH39" i="2"/>
  <c r="AI39" i="3" s="1"/>
  <c r="AH40" i="2"/>
  <c r="AH42" i="2"/>
  <c r="AG17" i="2"/>
  <c r="AG18" i="2"/>
  <c r="AG20" i="2"/>
  <c r="AG27" i="2"/>
  <c r="AE8" i="2"/>
  <c r="AE15" i="2"/>
  <c r="AE16" i="2"/>
  <c r="AF16" i="3" s="1"/>
  <c r="AE17" i="2"/>
  <c r="AE18" i="2"/>
  <c r="AE19" i="2"/>
  <c r="AE20" i="2"/>
  <c r="AE24" i="2"/>
  <c r="AE25" i="2"/>
  <c r="AE27" i="2"/>
  <c r="AE28" i="2"/>
  <c r="AE34" i="2"/>
  <c r="AE39" i="2"/>
  <c r="AF39" i="3" s="1"/>
  <c r="AE40" i="2"/>
  <c r="AD8" i="2"/>
  <c r="AD15" i="2"/>
  <c r="AD16" i="2"/>
  <c r="AE16" i="3" s="1"/>
  <c r="AD17" i="2"/>
  <c r="AD18" i="2"/>
  <c r="AD19" i="2"/>
  <c r="AD20" i="2"/>
  <c r="AD24" i="2"/>
  <c r="AD25" i="2"/>
  <c r="AD27" i="2"/>
  <c r="AD28" i="2"/>
  <c r="AD37" i="2"/>
  <c r="AD39" i="2"/>
  <c r="AE39" i="3" s="1"/>
  <c r="AD40" i="2"/>
  <c r="AD44" i="2"/>
  <c r="AB8" i="2"/>
  <c r="AC8" i="3" s="1"/>
  <c r="AB15" i="2"/>
  <c r="AB16" i="2"/>
  <c r="AC16" i="3" s="1"/>
  <c r="AB17" i="2"/>
  <c r="AB18" i="2"/>
  <c r="AB19" i="2"/>
  <c r="AB20" i="2"/>
  <c r="AB24" i="2"/>
  <c r="AB25" i="2"/>
  <c r="AB27" i="2"/>
  <c r="AB28" i="2"/>
  <c r="AB37" i="2"/>
  <c r="AB39" i="2"/>
  <c r="AC39" i="3" s="1"/>
  <c r="AB40" i="2"/>
  <c r="AB42" i="2"/>
  <c r="Z8" i="2"/>
  <c r="Z14" i="2"/>
  <c r="Z15" i="2"/>
  <c r="Z16" i="2"/>
  <c r="AA16" i="3" s="1"/>
  <c r="Z17" i="2"/>
  <c r="Z18" i="2"/>
  <c r="Z19" i="2"/>
  <c r="Z20" i="2"/>
  <c r="Z24" i="2"/>
  <c r="Z25" i="2"/>
  <c r="Z27" i="2"/>
  <c r="Z28" i="2"/>
  <c r="Z34" i="2"/>
  <c r="Z37" i="2"/>
  <c r="Z39" i="2"/>
  <c r="AA39" i="3" s="1"/>
  <c r="Z40" i="2"/>
  <c r="Z41" i="2"/>
  <c r="Z43" i="2"/>
  <c r="X7" i="2"/>
  <c r="X9" i="2"/>
  <c r="X14" i="2"/>
  <c r="X15" i="2"/>
  <c r="X16" i="2"/>
  <c r="Y16" i="3" s="1"/>
  <c r="X17" i="2"/>
  <c r="X18" i="2"/>
  <c r="X19" i="2"/>
  <c r="X20" i="2"/>
  <c r="X24" i="2"/>
  <c r="X25" i="2"/>
  <c r="X27" i="2"/>
  <c r="X28" i="2"/>
  <c r="X34" i="2"/>
  <c r="X37" i="2"/>
  <c r="X39" i="2"/>
  <c r="Y39" i="3" s="1"/>
  <c r="X40" i="2"/>
  <c r="X41" i="2"/>
  <c r="X43" i="2"/>
  <c r="W7" i="2"/>
  <c r="W15" i="2"/>
  <c r="W16" i="2"/>
  <c r="X16" i="3" s="1"/>
  <c r="W17" i="2"/>
  <c r="W18" i="2"/>
  <c r="W19" i="2"/>
  <c r="W20" i="2"/>
  <c r="W24" i="2"/>
  <c r="W25" i="2"/>
  <c r="W27" i="2"/>
  <c r="W28" i="2"/>
  <c r="W30" i="2"/>
  <c r="W34" i="2"/>
  <c r="W36" i="2"/>
  <c r="U7" i="2"/>
  <c r="U16" i="2"/>
  <c r="V16" i="3" s="1"/>
  <c r="U17" i="2"/>
  <c r="V17" i="3" s="1"/>
  <c r="U18" i="2"/>
  <c r="V18" i="3" s="1"/>
  <c r="U20" i="2"/>
  <c r="V20" i="3" s="1"/>
  <c r="U24" i="2"/>
  <c r="U26" i="2"/>
  <c r="U28" i="2"/>
  <c r="U30" i="2"/>
  <c r="U35" i="2"/>
  <c r="S7" i="2"/>
  <c r="S17" i="2"/>
  <c r="T17" i="3" s="1"/>
  <c r="S18" i="2"/>
  <c r="T18" i="3" s="1"/>
  <c r="S19" i="2"/>
  <c r="T19" i="3" s="1"/>
  <c r="S20" i="2"/>
  <c r="T20" i="3" s="1"/>
  <c r="S31" i="2"/>
  <c r="S32" i="2"/>
  <c r="S33" i="2"/>
  <c r="S34" i="2"/>
  <c r="S35" i="2"/>
  <c r="S3" i="2"/>
  <c r="T3" i="3" s="1"/>
  <c r="R7" i="2"/>
  <c r="R17" i="2"/>
  <c r="S17" i="3" s="1"/>
  <c r="R18" i="2"/>
  <c r="S18" i="3" s="1"/>
  <c r="R19" i="2"/>
  <c r="S19" i="3" s="1"/>
  <c r="R20" i="2"/>
  <c r="S20" i="3" s="1"/>
  <c r="R28" i="2"/>
  <c r="R31" i="2"/>
  <c r="R32" i="2"/>
  <c r="R33" i="2"/>
  <c r="R34" i="2"/>
  <c r="R35" i="2"/>
  <c r="R3" i="2"/>
  <c r="S3" i="3" s="1"/>
  <c r="P7" i="2"/>
  <c r="Q7" i="3" s="1"/>
  <c r="P17" i="2"/>
  <c r="Q17" i="3" s="1"/>
  <c r="P18" i="2"/>
  <c r="Q18" i="3" s="1"/>
  <c r="P19" i="2"/>
  <c r="Q19" i="3" s="1"/>
  <c r="P20" i="2"/>
  <c r="Q20" i="3" s="1"/>
  <c r="P21" i="2"/>
  <c r="P22" i="2"/>
  <c r="P28" i="2"/>
  <c r="P32" i="2"/>
  <c r="P33" i="2"/>
  <c r="P34" i="2"/>
  <c r="P35" i="2"/>
  <c r="P3" i="2"/>
  <c r="Q3" i="3" s="1"/>
  <c r="O7" i="2"/>
  <c r="P7" i="3" s="1"/>
  <c r="O9" i="2"/>
  <c r="O17" i="2"/>
  <c r="P17" i="3" s="1"/>
  <c r="O18" i="2"/>
  <c r="P18" i="3" s="1"/>
  <c r="O19" i="2"/>
  <c r="P19" i="3" s="1"/>
  <c r="O20" i="2"/>
  <c r="P20" i="3" s="1"/>
  <c r="O21" i="2"/>
  <c r="O22" i="2"/>
  <c r="O28" i="2"/>
  <c r="O32" i="2"/>
  <c r="O33" i="2"/>
  <c r="O34" i="2"/>
  <c r="O35" i="2"/>
  <c r="O3" i="2"/>
  <c r="P3" i="3" s="1"/>
  <c r="N7" i="2"/>
  <c r="O7" i="3" s="1"/>
  <c r="N9" i="2"/>
  <c r="N17" i="2"/>
  <c r="O17" i="3" s="1"/>
  <c r="N18" i="2"/>
  <c r="O18" i="3" s="1"/>
  <c r="N19" i="2"/>
  <c r="O19" i="3" s="1"/>
  <c r="N20" i="2"/>
  <c r="O20" i="3" s="1"/>
  <c r="N21" i="2"/>
  <c r="N22" i="2"/>
  <c r="N32" i="2"/>
  <c r="N33" i="2"/>
  <c r="N3" i="2"/>
  <c r="O3" i="3" s="1"/>
  <c r="L4" i="2"/>
  <c r="L5" i="2"/>
  <c r="M5" i="3" s="1"/>
  <c r="L6" i="2"/>
  <c r="M6" i="3" s="1"/>
  <c r="L17" i="2"/>
  <c r="L18" i="2"/>
  <c r="L19" i="2"/>
  <c r="L20" i="2"/>
  <c r="M20" i="3" s="1"/>
  <c r="L23" i="2"/>
  <c r="L24" i="2"/>
  <c r="L28" i="2"/>
  <c r="L29" i="2"/>
  <c r="L31" i="2"/>
  <c r="L3" i="2"/>
  <c r="M3" i="3" s="1"/>
  <c r="K4" i="2"/>
  <c r="K5" i="2"/>
  <c r="L5" i="3" s="1"/>
  <c r="K6" i="2"/>
  <c r="L6" i="3" s="1"/>
  <c r="K17" i="2"/>
  <c r="K18" i="2"/>
  <c r="K19" i="2"/>
  <c r="K20" i="2"/>
  <c r="K22" i="2"/>
  <c r="K23" i="2"/>
  <c r="K24" i="2"/>
  <c r="K25" i="2"/>
  <c r="K28" i="2"/>
  <c r="K29" i="2"/>
  <c r="K31" i="2"/>
  <c r="K35" i="2"/>
  <c r="K3" i="2"/>
  <c r="L3" i="3" s="1"/>
  <c r="J4" i="2"/>
  <c r="J5" i="2"/>
  <c r="K5" i="3" s="1"/>
  <c r="J6" i="2"/>
  <c r="K6" i="3" s="1"/>
  <c r="J17" i="2"/>
  <c r="J18" i="2"/>
  <c r="J19" i="2"/>
  <c r="J20" i="2"/>
  <c r="K20" i="3" s="1"/>
  <c r="J22" i="2"/>
  <c r="J23" i="2"/>
  <c r="J24" i="2"/>
  <c r="J25" i="2"/>
  <c r="J28" i="2"/>
  <c r="J29" i="2"/>
  <c r="J31" i="2"/>
  <c r="J35" i="2"/>
  <c r="J3" i="2"/>
  <c r="K3" i="3" s="1"/>
  <c r="I4" i="2"/>
  <c r="I5" i="2"/>
  <c r="J5" i="3" s="1"/>
  <c r="I6" i="2"/>
  <c r="J6" i="3" s="1"/>
  <c r="I17" i="2"/>
  <c r="I18" i="2"/>
  <c r="I19" i="2"/>
  <c r="I20" i="2"/>
  <c r="J20" i="3" s="1"/>
  <c r="I22" i="2"/>
  <c r="I23" i="2"/>
  <c r="I24" i="2"/>
  <c r="I25" i="2"/>
  <c r="I28" i="2"/>
  <c r="I29" i="2"/>
  <c r="I31" i="2"/>
  <c r="I35" i="2"/>
  <c r="I38" i="2"/>
  <c r="I3" i="2"/>
  <c r="J3" i="3" s="1"/>
  <c r="H4" i="2"/>
  <c r="H5" i="2"/>
  <c r="I5" i="3" s="1"/>
  <c r="H6" i="2"/>
  <c r="I6" i="3" s="1"/>
  <c r="H17" i="2"/>
  <c r="H18" i="2"/>
  <c r="H19" i="2"/>
  <c r="H20" i="2"/>
  <c r="I20" i="3" s="1"/>
  <c r="H23" i="2"/>
  <c r="H24" i="2"/>
  <c r="H25" i="2"/>
  <c r="H28" i="2"/>
  <c r="H29" i="2"/>
  <c r="H35" i="2"/>
  <c r="H38" i="2"/>
  <c r="H3" i="2"/>
  <c r="I3" i="3" s="1"/>
  <c r="F4" i="2"/>
  <c r="F5" i="2"/>
  <c r="G5" i="3" s="1"/>
  <c r="F6" i="2"/>
  <c r="G6" i="3" s="1"/>
  <c r="F17" i="2"/>
  <c r="F18" i="2"/>
  <c r="F19" i="2"/>
  <c r="F20" i="2"/>
  <c r="F23" i="2"/>
  <c r="F24" i="2"/>
  <c r="F25" i="2"/>
  <c r="F35" i="2"/>
  <c r="F38" i="2"/>
  <c r="F39" i="2"/>
  <c r="G39" i="3" s="1"/>
  <c r="F3" i="2"/>
  <c r="G3" i="3" s="1"/>
  <c r="C19" i="2"/>
  <c r="D19" i="3" s="1"/>
  <c r="F7" i="5"/>
  <c r="D7" i="2" s="1"/>
  <c r="E7" i="3" s="1"/>
  <c r="F10" i="5"/>
  <c r="F11" i="5"/>
  <c r="E11" i="3" s="1"/>
  <c r="F12" i="5"/>
  <c r="E12" i="3" s="1"/>
  <c r="F13" i="5"/>
  <c r="E13" i="3" s="1"/>
  <c r="F17" i="5"/>
  <c r="D17" i="2" s="1"/>
  <c r="E17" i="3" s="1"/>
  <c r="F18" i="5"/>
  <c r="D18" i="2" s="1"/>
  <c r="E18" i="3" s="1"/>
  <c r="F19" i="5"/>
  <c r="D19" i="2" s="1"/>
  <c r="E19" i="3" s="1"/>
  <c r="F20" i="5"/>
  <c r="D20" i="2" s="1"/>
  <c r="F23" i="5"/>
  <c r="E23" i="3" s="1"/>
  <c r="F27" i="5"/>
  <c r="E27" i="3" s="1"/>
  <c r="F29" i="5"/>
  <c r="D29" i="2" s="1"/>
  <c r="F34" i="5"/>
  <c r="E34" i="3" s="1"/>
  <c r="F36" i="5"/>
  <c r="F45" i="5"/>
  <c r="F46" i="5"/>
  <c r="D46" i="2" s="1"/>
  <c r="D13" i="2" l="1"/>
  <c r="D34" i="2"/>
  <c r="D45" i="2"/>
  <c r="D27" i="2"/>
  <c r="D11" i="2"/>
  <c r="D36" i="2"/>
  <c r="D23" i="2"/>
  <c r="D10" i="2"/>
  <c r="E29" i="3"/>
  <c r="D12" i="2"/>
</calcChain>
</file>

<file path=xl/comments1.xml><?xml version="1.0" encoding="utf-8"?>
<comments xmlns="http://schemas.openxmlformats.org/spreadsheetml/2006/main">
  <authors>
    <author>Author</author>
  </authors>
  <commentList>
    <comment ref="E7" authorId="0" shapeId="0">
      <text>
        <r>
          <rPr>
            <b/>
            <sz val="9"/>
            <color indexed="81"/>
            <rFont val="Tahoma"/>
            <family val="2"/>
          </rPr>
          <t>Author:</t>
        </r>
        <r>
          <rPr>
            <sz val="9"/>
            <color indexed="81"/>
            <rFont val="Tahoma"/>
            <family val="2"/>
          </rPr>
          <t xml:space="preserve">
Quoted as Yarn for 1884 till 1890 in the reports.</t>
        </r>
      </text>
    </comment>
    <comment ref="O7" authorId="0" shapeId="0">
      <text>
        <r>
          <rPr>
            <b/>
            <sz val="9"/>
            <color indexed="81"/>
            <rFont val="Tahoma"/>
            <family val="2"/>
          </rPr>
          <t>Author:</t>
        </r>
        <r>
          <rPr>
            <sz val="9"/>
            <color indexed="81"/>
            <rFont val="Tahoma"/>
            <family val="2"/>
          </rPr>
          <t xml:space="preserve">
Quoted as Thread, sewing in the reports.</t>
        </r>
      </text>
    </comment>
  </commentList>
</comments>
</file>

<file path=xl/comments2.xml><?xml version="1.0" encoding="utf-8"?>
<comments xmlns="http://schemas.openxmlformats.org/spreadsheetml/2006/main">
  <authors>
    <author>Author</author>
  </authors>
  <commentList>
    <comment ref="AQ13" authorId="0" shapeId="0">
      <text>
        <r>
          <rPr>
            <b/>
            <sz val="9"/>
            <color indexed="81"/>
            <rFont val="Tahoma"/>
            <family val="2"/>
          </rPr>
          <t>Author:</t>
        </r>
        <r>
          <rPr>
            <sz val="9"/>
            <color indexed="81"/>
            <rFont val="Tahoma"/>
            <family val="2"/>
          </rPr>
          <t xml:space="preserve">
Clarification on 1903 quantity and value of cotton and wollen yarn. The 1904 report mentions the value of 44330 for this good (quantity not present). However, the 1903 report mentions quantity of 203000 and value of 88330. Although this value is twice the value of the previous year, it is plausible given that the double increase in quantity can be verified. pp.5-6 of Damascus, 1903 list the cotton and woollen yarn imported. Add info in paragr. 2,3,4,5,6, 7, and next paragr. woollen yarn to obtain about 214,000 bundles. So the quantity and value of 203,00 and 88,330 look justified.</t>
        </r>
      </text>
    </comment>
    <comment ref="AR13" authorId="0" shapeId="0">
      <text>
        <r>
          <rPr>
            <b/>
            <sz val="9"/>
            <color indexed="81"/>
            <rFont val="Tahoma"/>
            <family val="2"/>
          </rPr>
          <t>Author:</t>
        </r>
        <r>
          <rPr>
            <sz val="9"/>
            <color indexed="81"/>
            <rFont val="Tahoma"/>
            <family val="2"/>
          </rPr>
          <t xml:space="preserve">
Clarification on 1903 quantity and value of cotton and wollen yarn. The 1904 report mentions the value of 44330 for this good (quantity not present). However, the 1903 report mentions quantity of 203000 and value of 88330. Although this value is twice the value of the previous year, it is plausible given that the double increase in quantity can be verified. pp.5-6 of Damascus, 1903 list the cotton and woollen yarn imported. Add info in paragr. 2,3,4,5,6, 7, and next paragr. woollen yarn to obtain about 214,000 bundles. So the quantity and value of 203,00 and 88,330 look justified</t>
        </r>
      </text>
    </comment>
    <comment ref="H36" authorId="0" shapeId="0">
      <text>
        <r>
          <rPr>
            <b/>
            <sz val="9"/>
            <color indexed="81"/>
            <rFont val="Tahoma"/>
            <family val="2"/>
          </rPr>
          <t>Author:</t>
        </r>
        <r>
          <rPr>
            <sz val="9"/>
            <color indexed="81"/>
            <rFont val="Tahoma"/>
            <family val="2"/>
          </rPr>
          <t xml:space="preserve">
Units of sacks equals unit of bags for rice, because in 1888 and 1890 reports, in between which the unit transition occurs, import quantities for rice in 1888 are the same.</t>
        </r>
      </text>
    </comment>
  </commentList>
</comments>
</file>

<file path=xl/comments3.xml><?xml version="1.0" encoding="utf-8"?>
<comments xmlns="http://schemas.openxmlformats.org/spreadsheetml/2006/main">
  <authors>
    <author>Author</author>
  </authors>
  <commentList>
    <comment ref="B36" authorId="0" shapeId="0">
      <text>
        <r>
          <rPr>
            <b/>
            <sz val="9"/>
            <color indexed="81"/>
            <rFont val="Tahoma"/>
            <family val="2"/>
          </rPr>
          <t>Author:</t>
        </r>
        <r>
          <rPr>
            <sz val="9"/>
            <color indexed="81"/>
            <rFont val="Tahoma"/>
            <family val="2"/>
          </rPr>
          <t xml:space="preserve">
1 bag = 168 lbs.
</t>
        </r>
      </text>
    </comment>
    <comment ref="B37" authorId="0" shapeId="0">
      <text>
        <r>
          <rPr>
            <b/>
            <sz val="9"/>
            <color indexed="81"/>
            <rFont val="Tahoma"/>
            <family val="2"/>
          </rPr>
          <t>Author:</t>
        </r>
        <r>
          <rPr>
            <sz val="9"/>
            <color indexed="81"/>
            <rFont val="Tahoma"/>
            <family val="2"/>
          </rPr>
          <t xml:space="preserve">
1 bag = 168 lbs.
</t>
        </r>
      </text>
    </comment>
    <comment ref="B38" authorId="0" shapeId="0">
      <text>
        <r>
          <rPr>
            <b/>
            <sz val="9"/>
            <color indexed="81"/>
            <rFont val="Tahoma"/>
            <family val="2"/>
          </rPr>
          <t>Author:</t>
        </r>
        <r>
          <rPr>
            <sz val="9"/>
            <color indexed="81"/>
            <rFont val="Tahoma"/>
            <family val="2"/>
          </rPr>
          <t xml:space="preserve">
1 ton = 20 cwts.
</t>
        </r>
      </text>
    </comment>
    <comment ref="F38" authorId="0" shapeId="0">
      <text>
        <r>
          <rPr>
            <b/>
            <sz val="9"/>
            <color indexed="81"/>
            <rFont val="Tahoma"/>
            <family val="2"/>
          </rPr>
          <t>Author:</t>
        </r>
        <r>
          <rPr>
            <sz val="9"/>
            <color indexed="81"/>
            <rFont val="Tahoma"/>
            <family val="2"/>
          </rPr>
          <t xml:space="preserve">
Adjusted to use 1 cwt = 20 rotols approximation.</t>
        </r>
      </text>
    </comment>
    <comment ref="D155" authorId="0" shapeId="0">
      <text>
        <r>
          <rPr>
            <b/>
            <sz val="9"/>
            <color indexed="81"/>
            <rFont val="Tahoma"/>
            <family val="2"/>
          </rPr>
          <t>Author:</t>
        </r>
        <r>
          <rPr>
            <sz val="9"/>
            <color indexed="81"/>
            <rFont val="Tahoma"/>
            <family val="2"/>
          </rPr>
          <t xml:space="preserve">
Sourced from 1912-13 where both units and equivalent cwts. are listed.</t>
        </r>
      </text>
    </comment>
    <comment ref="D156" authorId="0" shapeId="0">
      <text>
        <r>
          <rPr>
            <b/>
            <sz val="9"/>
            <color indexed="81"/>
            <rFont val="Tahoma"/>
            <family val="2"/>
          </rPr>
          <t>Author:</t>
        </r>
        <r>
          <rPr>
            <sz val="9"/>
            <color indexed="81"/>
            <rFont val="Tahoma"/>
            <family val="2"/>
          </rPr>
          <t xml:space="preserve">
Sourced from 1912-13 where both units and equivalent cwts. are listed.</t>
        </r>
      </text>
    </comment>
    <comment ref="D157" authorId="0" shapeId="0">
      <text>
        <r>
          <rPr>
            <b/>
            <sz val="9"/>
            <color indexed="81"/>
            <rFont val="Tahoma"/>
            <family val="2"/>
          </rPr>
          <t>Author:</t>
        </r>
        <r>
          <rPr>
            <sz val="9"/>
            <color indexed="81"/>
            <rFont val="Tahoma"/>
            <family val="2"/>
          </rPr>
          <t xml:space="preserve">
Sourced from 1912-13 where both units and equivalent cwts. are listed.</t>
        </r>
      </text>
    </comment>
    <comment ref="D158" authorId="0" shapeId="0">
      <text>
        <r>
          <rPr>
            <b/>
            <sz val="9"/>
            <color indexed="81"/>
            <rFont val="Tahoma"/>
            <family val="2"/>
          </rPr>
          <t>Author:</t>
        </r>
        <r>
          <rPr>
            <sz val="9"/>
            <color indexed="81"/>
            <rFont val="Tahoma"/>
            <family val="2"/>
          </rPr>
          <t xml:space="preserve">
Sourced from 1912-13 where both units and equivalent cwts. are listed.</t>
        </r>
      </text>
    </comment>
  </commentList>
</comments>
</file>

<file path=xl/comments4.xml><?xml version="1.0" encoding="utf-8"?>
<comments xmlns="http://schemas.openxmlformats.org/spreadsheetml/2006/main">
  <authors>
    <author>Author</author>
  </authors>
  <commentList>
    <comment ref="V9" authorId="0" shapeId="0">
      <text>
        <r>
          <rPr>
            <b/>
            <sz val="9"/>
            <color indexed="81"/>
            <rFont val="Tahoma"/>
            <family val="2"/>
          </rPr>
          <t>Author:</t>
        </r>
        <r>
          <rPr>
            <sz val="9"/>
            <color indexed="81"/>
            <rFont val="Tahoma"/>
            <family val="2"/>
          </rPr>
          <t xml:space="preserve">
This is suspected to be a typo as all later reports have values of silk and cotton fabrics in the range of 110,000-153,000. Do not include later data, because either units or both units and quantities are missing.</t>
        </r>
      </text>
    </comment>
    <comment ref="W9" authorId="0" shapeId="0">
      <text>
        <r>
          <rPr>
            <b/>
            <sz val="9"/>
            <color indexed="81"/>
            <rFont val="Tahoma"/>
            <family val="2"/>
          </rPr>
          <t>Author:</t>
        </r>
        <r>
          <rPr>
            <sz val="9"/>
            <color indexed="81"/>
            <rFont val="Tahoma"/>
            <family val="2"/>
          </rPr>
          <t xml:space="preserve">
This is suspected to be a typo as all later reports have values of silk and cotton fabrics in the range of 110,000-153,000. Do not include later data, because either units or both units and quantities are missing.</t>
        </r>
      </text>
    </comment>
    <comment ref="X9" authorId="0" shapeId="0">
      <text>
        <r>
          <rPr>
            <b/>
            <sz val="9"/>
            <color indexed="81"/>
            <rFont val="Tahoma"/>
            <family val="2"/>
          </rPr>
          <t>Author:</t>
        </r>
        <r>
          <rPr>
            <sz val="9"/>
            <color indexed="81"/>
            <rFont val="Tahoma"/>
            <family val="2"/>
          </rPr>
          <t xml:space="preserve">
This is suspected to be a typo as all later reports have values of silk and cotton fabrics in the range of 110,000-153,000. Do not include later data, because either units or both units and quantities are missing.</t>
        </r>
      </text>
    </comment>
    <comment ref="Y9" authorId="0" shapeId="0">
      <text>
        <r>
          <rPr>
            <b/>
            <sz val="9"/>
            <color indexed="81"/>
            <rFont val="Tahoma"/>
            <family val="2"/>
          </rPr>
          <t>Author:</t>
        </r>
        <r>
          <rPr>
            <sz val="9"/>
            <color indexed="81"/>
            <rFont val="Tahoma"/>
            <family val="2"/>
          </rPr>
          <t xml:space="preserve">
This is suspected to be a typo as all later reports have values of silk and cotton fabrics in the range of 110,000-153,000. Do not include later data, because either units or both units and quantities are missing.</t>
        </r>
      </text>
    </comment>
  </commentList>
</comments>
</file>

<file path=xl/comments5.xml><?xml version="1.0" encoding="utf-8"?>
<comments xmlns="http://schemas.openxmlformats.org/spreadsheetml/2006/main">
  <authors>
    <author>Author</author>
  </authors>
  <commentList>
    <comment ref="A3" authorId="0" shapeId="0">
      <text>
        <r>
          <rPr>
            <b/>
            <sz val="9"/>
            <color indexed="81"/>
            <rFont val="Tahoma"/>
            <family val="2"/>
          </rPr>
          <t>Author:</t>
        </r>
        <r>
          <rPr>
            <sz val="9"/>
            <color indexed="81"/>
            <rFont val="Tahoma"/>
            <family val="2"/>
          </rPr>
          <t xml:space="preserve">
1 bag = 280 lbs. and 1 ton = 2240 lbs.
</t>
        </r>
      </text>
    </comment>
    <comment ref="A5" authorId="0" shapeId="0">
      <text>
        <r>
          <rPr>
            <b/>
            <sz val="9"/>
            <color indexed="81"/>
            <rFont val="Tahoma"/>
            <family val="2"/>
          </rPr>
          <t>Author:</t>
        </r>
        <r>
          <rPr>
            <sz val="9"/>
            <color indexed="81"/>
            <rFont val="Tahoma"/>
            <family val="2"/>
          </rPr>
          <t xml:space="preserve">
1 bale = 336 lbs. and 1 ton = 2240 lbs.
</t>
        </r>
      </text>
    </comment>
    <comment ref="A6" authorId="0" shapeId="0">
      <text>
        <r>
          <rPr>
            <b/>
            <sz val="9"/>
            <color indexed="81"/>
            <rFont val="Tahoma"/>
            <family val="2"/>
          </rPr>
          <t>Author:</t>
        </r>
        <r>
          <rPr>
            <sz val="9"/>
            <color indexed="81"/>
            <rFont val="Tahoma"/>
            <family val="2"/>
          </rPr>
          <t xml:space="preserve">
1 bale = 336 lbs. and 1 ton = 2240 lbs.
</t>
        </r>
      </text>
    </comment>
    <comment ref="A7" authorId="0" shapeId="0">
      <text>
        <r>
          <rPr>
            <b/>
            <sz val="9"/>
            <color indexed="81"/>
            <rFont val="Tahoma"/>
            <family val="2"/>
          </rPr>
          <t>Author:</t>
        </r>
        <r>
          <rPr>
            <sz val="9"/>
            <color indexed="81"/>
            <rFont val="Tahoma"/>
            <family val="2"/>
          </rPr>
          <t xml:space="preserve">
1 bale = 336 lbs. and 1 ton = 2240 lbs.
</t>
        </r>
      </text>
    </comment>
    <comment ref="A8" authorId="0" shapeId="0">
      <text>
        <r>
          <rPr>
            <b/>
            <sz val="9"/>
            <color indexed="81"/>
            <rFont val="Tahoma"/>
            <family val="2"/>
          </rPr>
          <t>Author:</t>
        </r>
        <r>
          <rPr>
            <sz val="9"/>
            <color indexed="81"/>
            <rFont val="Tahoma"/>
            <family val="2"/>
          </rPr>
          <t xml:space="preserve">
1 bale = 336 lbs. and 1 ton = 2240 lbs.
</t>
        </r>
      </text>
    </comment>
    <comment ref="A16" authorId="0" shapeId="0">
      <text>
        <r>
          <rPr>
            <b/>
            <sz val="9"/>
            <color indexed="81"/>
            <rFont val="Tahoma"/>
            <family val="2"/>
          </rPr>
          <t>Author:</t>
        </r>
        <r>
          <rPr>
            <sz val="9"/>
            <color indexed="81"/>
            <rFont val="Tahoma"/>
            <family val="2"/>
          </rPr>
          <t xml:space="preserve">
1 unit = 50 lbs.</t>
        </r>
      </text>
    </comment>
    <comment ref="V16" authorId="0" shapeId="0">
      <text>
        <r>
          <rPr>
            <b/>
            <sz val="9"/>
            <color indexed="81"/>
            <rFont val="Tahoma"/>
            <family val="2"/>
          </rPr>
          <t>Author:</t>
        </r>
        <r>
          <rPr>
            <sz val="9"/>
            <color indexed="81"/>
            <rFont val="Tahoma"/>
            <family val="2"/>
          </rPr>
          <t xml:space="preserve">
1 bushel = 400 lbs.
</t>
        </r>
      </text>
    </comment>
    <comment ref="A20" authorId="0" shapeId="0">
      <text>
        <r>
          <rPr>
            <b/>
            <sz val="9"/>
            <color indexed="81"/>
            <rFont val="Tahoma"/>
            <family val="2"/>
          </rPr>
          <t>Author:</t>
        </r>
        <r>
          <rPr>
            <sz val="9"/>
            <color indexed="81"/>
            <rFont val="Tahoma"/>
            <family val="2"/>
          </rPr>
          <t xml:space="preserve">
1 bag = 175 lbs.</t>
        </r>
      </text>
    </comment>
    <comment ref="B39" authorId="0" shapeId="0">
      <text>
        <r>
          <rPr>
            <b/>
            <sz val="9"/>
            <color indexed="81"/>
            <rFont val="Tahoma"/>
            <family val="2"/>
          </rPr>
          <t>Author:</t>
        </r>
        <r>
          <rPr>
            <sz val="9"/>
            <color indexed="81"/>
            <rFont val="Tahoma"/>
            <family val="2"/>
          </rPr>
          <t xml:space="preserve">
1 kile = 25 kgs,
1 bushel = 62 lbs.</t>
        </r>
      </text>
    </comment>
    <comment ref="D120" authorId="0" shapeId="0">
      <text>
        <r>
          <rPr>
            <b/>
            <sz val="9"/>
            <color indexed="81"/>
            <rFont val="Tahoma"/>
            <family val="2"/>
          </rPr>
          <t>Author:</t>
        </r>
        <r>
          <rPr>
            <sz val="9"/>
            <color indexed="81"/>
            <rFont val="Tahoma"/>
            <family val="2"/>
          </rPr>
          <t xml:space="preserve">
Sourced from 1912-13 where both units and equivalent cwts. are listed.</t>
        </r>
      </text>
    </comment>
    <comment ref="D121" authorId="0" shapeId="0">
      <text>
        <r>
          <rPr>
            <b/>
            <sz val="9"/>
            <color indexed="81"/>
            <rFont val="Tahoma"/>
            <family val="2"/>
          </rPr>
          <t>Author:</t>
        </r>
        <r>
          <rPr>
            <sz val="9"/>
            <color indexed="81"/>
            <rFont val="Tahoma"/>
            <family val="2"/>
          </rPr>
          <t xml:space="preserve">
Sourced from 1912-13 where both units and equivalent cwts. are listed.</t>
        </r>
      </text>
    </comment>
    <comment ref="D122" authorId="0" shapeId="0">
      <text>
        <r>
          <rPr>
            <b/>
            <sz val="9"/>
            <color indexed="81"/>
            <rFont val="Tahoma"/>
            <family val="2"/>
          </rPr>
          <t>Author:</t>
        </r>
        <r>
          <rPr>
            <sz val="9"/>
            <color indexed="81"/>
            <rFont val="Tahoma"/>
            <family val="2"/>
          </rPr>
          <t xml:space="preserve">
Sourced from 1912-13 where both units and equivalent cwts. are listed.</t>
        </r>
      </text>
    </comment>
    <comment ref="D123" authorId="0" shapeId="0">
      <text>
        <r>
          <rPr>
            <b/>
            <sz val="9"/>
            <color indexed="81"/>
            <rFont val="Tahoma"/>
            <family val="2"/>
          </rPr>
          <t>Author:</t>
        </r>
        <r>
          <rPr>
            <sz val="9"/>
            <color indexed="81"/>
            <rFont val="Tahoma"/>
            <family val="2"/>
          </rPr>
          <t xml:space="preserve">
Sourced from 1912-13 where both units and equivalent cwts. are listed.</t>
        </r>
      </text>
    </comment>
  </commentList>
</comments>
</file>

<file path=xl/sharedStrings.xml><?xml version="1.0" encoding="utf-8"?>
<sst xmlns="http://schemas.openxmlformats.org/spreadsheetml/2006/main" count="4945" uniqueCount="329">
  <si>
    <t>Units</t>
  </si>
  <si>
    <t>sacks</t>
  </si>
  <si>
    <t>cwts</t>
  </si>
  <si>
    <t>bales</t>
  </si>
  <si>
    <t>cantars</t>
  </si>
  <si>
    <t>tons</t>
  </si>
  <si>
    <t>pieces</t>
  </si>
  <si>
    <t>quarters</t>
  </si>
  <si>
    <t>bushels</t>
  </si>
  <si>
    <t>cases</t>
  </si>
  <si>
    <t>number</t>
  </si>
  <si>
    <t>bundles</t>
  </si>
  <si>
    <t>coils</t>
  </si>
  <si>
    <t>kiles</t>
  </si>
  <si>
    <t>kilo</t>
  </si>
  <si>
    <t>lbs</t>
  </si>
  <si>
    <t>gross</t>
  </si>
  <si>
    <t>metre</t>
  </si>
  <si>
    <t>dozen</t>
  </si>
  <si>
    <t>pieces of 50 yards</t>
  </si>
  <si>
    <t>dozens</t>
  </si>
  <si>
    <t>boxes</t>
  </si>
  <si>
    <t>rotols</t>
  </si>
  <si>
    <t>bags</t>
  </si>
  <si>
    <t>barrels</t>
  </si>
  <si>
    <t>pieces, bars, etc.</t>
  </si>
  <si>
    <t>packages</t>
  </si>
  <si>
    <t>tin</t>
  </si>
  <si>
    <t>gallons</t>
  </si>
  <si>
    <t>raw total</t>
  </si>
  <si>
    <t>total, net value of Homs cotton yarn</t>
  </si>
  <si>
    <t>Middle East, Imports and Exports, 1824-1913</t>
  </si>
  <si>
    <t>This spreadsheet was put together by Robert Allen in April, 2018.</t>
  </si>
  <si>
    <r>
      <t xml:space="preserve">Prices and values are in </t>
    </r>
    <r>
      <rPr>
        <b/>
        <i/>
        <sz val="10"/>
        <rFont val="Arial"/>
        <family val="2"/>
      </rPr>
      <t>pounds sterling</t>
    </r>
    <r>
      <rPr>
        <sz val="10"/>
        <rFont val="Arial"/>
        <family val="2"/>
      </rPr>
      <t>.</t>
    </r>
  </si>
  <si>
    <t>There are important issues regarding the accuracy of the returns in view of their provencance and the incentives to underreport values and evade taxation.</t>
  </si>
  <si>
    <t>Some errors were detected in the process and corrected. Please note that observations not recorded for some of the years listed above were not available in the source reports.</t>
  </si>
  <si>
    <t>Sheets:</t>
  </si>
  <si>
    <t>- reduces the adjusted data on imports to prices in single series for each commodity.</t>
  </si>
  <si>
    <t>- reduces the adjusted data on exports to prices in single series for each commodity.</t>
  </si>
  <si>
    <t>Imports - Data (Raw)</t>
  </si>
  <si>
    <t>- contains the raw units for commodities and currencies of prices, quantities and values of imports taken from the sources described below..</t>
  </si>
  <si>
    <t>Exports - Data (Raw)</t>
  </si>
  <si>
    <t>- contains the raw units for commodities and currencies of prices, quantities and values of exports taken from the sources described below..</t>
  </si>
  <si>
    <t>Imports - Data (Adjusted)</t>
  </si>
  <si>
    <t>- contains the adjusted units for commodities and currencies of prices, quantities and values of imports taken from the sources described below..</t>
  </si>
  <si>
    <t>Exports - Data (Adjusted)</t>
  </si>
  <si>
    <t>- contains the adjusted units for commodities and currencies of prices, quantities and values of exports taken from the sources described below..</t>
  </si>
  <si>
    <t>Color Legend</t>
  </si>
  <si>
    <t>- mentions reason for colors of highlighted cells.</t>
  </si>
  <si>
    <t>Sources:</t>
  </si>
  <si>
    <t>Reports of British consuls published in: the British House of Commons papers in the diplomatic &amp; consular reports on trade and finance.</t>
  </si>
  <si>
    <t>Robert White Stevens, On the Stowage of Ships and their Cargoes, London, Longmans, Green, &amp; Co., 7th edition, 1894.</t>
  </si>
  <si>
    <t xml:space="preserve"> </t>
  </si>
  <si>
    <t>Prices and Wages in London &amp; Southern England, 1259-1914</t>
  </si>
  <si>
    <t>A1) Original Prices</t>
  </si>
  <si>
    <t>Source</t>
  </si>
  <si>
    <t>Currency/units</t>
  </si>
  <si>
    <t>Comment</t>
  </si>
  <si>
    <t>Good</t>
  </si>
  <si>
    <t>Coffee</t>
  </si>
  <si>
    <t>Indigo</t>
  </si>
  <si>
    <t>Barley</t>
  </si>
  <si>
    <t>Rice</t>
  </si>
  <si>
    <t>Hardware</t>
  </si>
  <si>
    <t>Matches</t>
  </si>
  <si>
    <t>Copper</t>
  </si>
  <si>
    <t>Tin</t>
  </si>
  <si>
    <t>Iron</t>
  </si>
  <si>
    <t>Brass</t>
  </si>
  <si>
    <t>Flour</t>
  </si>
  <si>
    <t>Ghee</t>
  </si>
  <si>
    <t>Salt</t>
  </si>
  <si>
    <t>Spices</t>
  </si>
  <si>
    <t>Sugar</t>
  </si>
  <si>
    <t>Tea</t>
  </si>
  <si>
    <t>Year</t>
  </si>
  <si>
    <t xml:space="preserve">Damascus - Prices (Imports) </t>
  </si>
  <si>
    <t xml:space="preserve">Damascus - Prices (Exports) </t>
  </si>
  <si>
    <t>Change in unit of quantity</t>
  </si>
  <si>
    <t>From previous year's report, primarily for quantities</t>
  </si>
  <si>
    <t>Suspected data entries or invalid / unavailable conversion units</t>
  </si>
  <si>
    <t>Yarn</t>
  </si>
  <si>
    <t>Cloth</t>
  </si>
  <si>
    <t>Shirtings, stiff</t>
  </si>
  <si>
    <t>Shirtings, soft</t>
  </si>
  <si>
    <t>Cambrics, coloured</t>
  </si>
  <si>
    <t>Cloth, coloured</t>
  </si>
  <si>
    <t>Cambrics, white</t>
  </si>
  <si>
    <t>Sullocks</t>
  </si>
  <si>
    <t>Velveteens</t>
  </si>
  <si>
    <t>Shawls</t>
  </si>
  <si>
    <t>Prints</t>
  </si>
  <si>
    <t>Fezzes</t>
  </si>
  <si>
    <t>Petroleum</t>
  </si>
  <si>
    <t>Pepper</t>
  </si>
  <si>
    <t>Pepper and pimento</t>
  </si>
  <si>
    <t>Cheese</t>
  </si>
  <si>
    <t>Copper and brass</t>
  </si>
  <si>
    <t>Tin plates</t>
  </si>
  <si>
    <t>Tin and pewter</t>
  </si>
  <si>
    <t>Leather</t>
  </si>
  <si>
    <t>Glassware</t>
  </si>
  <si>
    <t>Marble</t>
  </si>
  <si>
    <t>Zinc</t>
  </si>
  <si>
    <t>Lead</t>
  </si>
  <si>
    <t>Drugs</t>
  </si>
  <si>
    <t>Skins</t>
  </si>
  <si>
    <t>Paper</t>
  </si>
  <si>
    <t>Sacks</t>
  </si>
  <si>
    <t>Candles</t>
  </si>
  <si>
    <t>Nails</t>
  </si>
  <si>
    <t>Cochineal</t>
  </si>
  <si>
    <t>Silver</t>
  </si>
  <si>
    <t>Alcohol</t>
  </si>
  <si>
    <t>Coal</t>
  </si>
  <si>
    <t>Sacking</t>
  </si>
  <si>
    <t/>
  </si>
  <si>
    <t>Kilo</t>
  </si>
  <si>
    <t>Bales</t>
  </si>
  <si>
    <t>Bundles</t>
  </si>
  <si>
    <t>Lbs</t>
  </si>
  <si>
    <t>Gross</t>
  </si>
  <si>
    <t>Pieces</t>
  </si>
  <si>
    <t>Dozen</t>
  </si>
  <si>
    <t>Pieces of 50 yards</t>
  </si>
  <si>
    <t>Metre</t>
  </si>
  <si>
    <t>Cases</t>
  </si>
  <si>
    <t>Rotols</t>
  </si>
  <si>
    <t>Barrels</t>
  </si>
  <si>
    <t>Cwts</t>
  </si>
  <si>
    <t>Cantars</t>
  </si>
  <si>
    <t>Tons</t>
  </si>
  <si>
    <t>Boxes</t>
  </si>
  <si>
    <t>Number</t>
  </si>
  <si>
    <t>Gallons</t>
  </si>
  <si>
    <t>Wool</t>
  </si>
  <si>
    <t>Keffiehs</t>
  </si>
  <si>
    <t>Walnuts</t>
  </si>
  <si>
    <t>Raisins</t>
  </si>
  <si>
    <t>Curtains and divans</t>
  </si>
  <si>
    <t>Brass and inlaid work</t>
  </si>
  <si>
    <t>Nuts</t>
  </si>
  <si>
    <t>Starch</t>
  </si>
  <si>
    <t>Aniseed</t>
  </si>
  <si>
    <t>Liquorice root</t>
  </si>
  <si>
    <t>Rags</t>
  </si>
  <si>
    <t>Rags and bones</t>
  </si>
  <si>
    <t>Grain</t>
  </si>
  <si>
    <t>Biscuits</t>
  </si>
  <si>
    <t>Fruits</t>
  </si>
  <si>
    <t>Guts</t>
  </si>
  <si>
    <t>Ropes</t>
  </si>
  <si>
    <t>Rope and cord</t>
  </si>
  <si>
    <t>Hemp, rope and cord</t>
  </si>
  <si>
    <t>Chemicals</t>
  </si>
  <si>
    <t>Chickpeas</t>
  </si>
  <si>
    <t>Semn</t>
  </si>
  <si>
    <t>Pistachio nuts</t>
  </si>
  <si>
    <t>Wheat and barley</t>
  </si>
  <si>
    <t>Glue</t>
  </si>
  <si>
    <t>Quarters</t>
  </si>
  <si>
    <t>Bushels</t>
  </si>
  <si>
    <t>Kiles</t>
  </si>
  <si>
    <t>Cloth, T-</t>
  </si>
  <si>
    <t>Cloth, Grey and T-</t>
  </si>
  <si>
    <t>Muslin, white</t>
  </si>
  <si>
    <t>Silk and muslin, manufactured</t>
  </si>
  <si>
    <t>Silk, embroidered</t>
  </si>
  <si>
    <t>Tin, in bars</t>
  </si>
  <si>
    <t>Tin, in plates</t>
  </si>
  <si>
    <t>Timbac (Persian)</t>
  </si>
  <si>
    <t>Glass, panes</t>
  </si>
  <si>
    <t>Lead and zinc</t>
  </si>
  <si>
    <t>Lead, zind and tin</t>
  </si>
  <si>
    <t>Cotton, raw</t>
  </si>
  <si>
    <t>Spices and pepper</t>
  </si>
  <si>
    <t>Indigo, artificial</t>
  </si>
  <si>
    <t>Cochineal, substitute</t>
  </si>
  <si>
    <t>Total (from regions)</t>
  </si>
  <si>
    <t>Native, manufactured</t>
  </si>
  <si>
    <t>Wool, washed</t>
  </si>
  <si>
    <t>Wool, unwashed</t>
  </si>
  <si>
    <t>Wool, raw</t>
  </si>
  <si>
    <t>Fabrics, silk and cotton</t>
  </si>
  <si>
    <t>Silk, stuffs</t>
  </si>
  <si>
    <t>Cotton, stuffs</t>
  </si>
  <si>
    <t>Shirtings, cotton native</t>
  </si>
  <si>
    <t>Fabrics, pure cotton</t>
  </si>
  <si>
    <t>Apricot, paste</t>
  </si>
  <si>
    <t>Apricots, dried</t>
  </si>
  <si>
    <t>Apricot, kernels</t>
  </si>
  <si>
    <t>Skins, lamb</t>
  </si>
  <si>
    <t>Wheat (Haman)</t>
  </si>
  <si>
    <t>Copper, old</t>
  </si>
  <si>
    <t>Articles</t>
  </si>
  <si>
    <t>Damascus, 1880</t>
  </si>
  <si>
    <t>Damascus, 1882</t>
  </si>
  <si>
    <t>Damascus, 1884</t>
  </si>
  <si>
    <t>Damascus, 1885</t>
  </si>
  <si>
    <t>Damascus, 1886</t>
  </si>
  <si>
    <t>Damascus, 1887</t>
  </si>
  <si>
    <t>Damascus, 1888</t>
  </si>
  <si>
    <t>Damascus, 1889</t>
  </si>
  <si>
    <t>Damascus, 1890</t>
  </si>
  <si>
    <t>Damascus, 1891</t>
  </si>
  <si>
    <t>Damascus, 1892</t>
  </si>
  <si>
    <t>Damascus, 1893</t>
  </si>
  <si>
    <t>Damascus, 1894</t>
  </si>
  <si>
    <t>Damascus, 1898</t>
  </si>
  <si>
    <t>Damascus, 1901</t>
  </si>
  <si>
    <t>Damascus, 1902</t>
  </si>
  <si>
    <t>Damascus, 1903</t>
  </si>
  <si>
    <t>Damascus, 1904</t>
  </si>
  <si>
    <t>Damascus, 1905</t>
  </si>
  <si>
    <t>Damascus, 1906</t>
  </si>
  <si>
    <t>Damascus, 1907</t>
  </si>
  <si>
    <t>Damascus, 1908</t>
  </si>
  <si>
    <t>Damascus, 1909</t>
  </si>
  <si>
    <t>Damascus, 1910</t>
  </si>
  <si>
    <t>Damascus, 1911</t>
  </si>
  <si>
    <t>Quantity</t>
  </si>
  <si>
    <t>Value (Sterling)</t>
  </si>
  <si>
    <t>Price (Sterling)</t>
  </si>
  <si>
    <t>Price (Units)</t>
  </si>
  <si>
    <t>£/Tons</t>
  </si>
  <si>
    <t>£/Number</t>
  </si>
  <si>
    <t>£/Cwts</t>
  </si>
  <si>
    <t>£/Lbs</t>
  </si>
  <si>
    <t>£/Gross</t>
  </si>
  <si>
    <t>£/Dozen</t>
  </si>
  <si>
    <t>£/Metre</t>
  </si>
  <si>
    <t>£/Bale</t>
  </si>
  <si>
    <t>£/Bundle</t>
  </si>
  <si>
    <t>£/Piece</t>
  </si>
  <si>
    <t>£/Piece of 50 yards</t>
  </si>
  <si>
    <t>£/Case</t>
  </si>
  <si>
    <t>£/Ton</t>
  </si>
  <si>
    <t>£/Barrel</t>
  </si>
  <si>
    <t>£/Cwt</t>
  </si>
  <si>
    <t>£/Cantar</t>
  </si>
  <si>
    <t>£/Box</t>
  </si>
  <si>
    <t>£/Sack</t>
  </si>
  <si>
    <t>£/Gallon</t>
  </si>
  <si>
    <t>£/Bushel</t>
  </si>
  <si>
    <t>Silk, raw</t>
  </si>
  <si>
    <t>Units of conversion</t>
  </si>
  <si>
    <t>Oil</t>
  </si>
  <si>
    <t>box</t>
  </si>
  <si>
    <t>lbs.</t>
  </si>
  <si>
    <t>man</t>
  </si>
  <si>
    <t>cwt</t>
  </si>
  <si>
    <t>box, bale, halfload</t>
  </si>
  <si>
    <t>load</t>
  </si>
  <si>
    <t>cwts.</t>
  </si>
  <si>
    <t>ton</t>
  </si>
  <si>
    <t>Arms and ammunition</t>
  </si>
  <si>
    <t>case</t>
  </si>
  <si>
    <t>Almonds</t>
  </si>
  <si>
    <t>bag</t>
  </si>
  <si>
    <t>Wheat</t>
  </si>
  <si>
    <t>Date</t>
  </si>
  <si>
    <t>Opium</t>
  </si>
  <si>
    <t>bahr</t>
  </si>
  <si>
    <t>Carpets</t>
  </si>
  <si>
    <t>bale</t>
  </si>
  <si>
    <t>Cotton</t>
  </si>
  <si>
    <t>Box/Dubba/Tin</t>
  </si>
  <si>
    <t>gallon</t>
  </si>
  <si>
    <t>Oil of all kinds</t>
  </si>
  <si>
    <t>Box/Dubba</t>
  </si>
  <si>
    <t>Gunpowder</t>
  </si>
  <si>
    <t>Maund</t>
  </si>
  <si>
    <t>Grain, Flour</t>
  </si>
  <si>
    <t>Oil seeds</t>
  </si>
  <si>
    <t>Wine</t>
  </si>
  <si>
    <t>Case/Cask</t>
  </si>
  <si>
    <t>Case</t>
  </si>
  <si>
    <t>Twist and yarn</t>
  </si>
  <si>
    <t>Bale</t>
  </si>
  <si>
    <t>Package</t>
  </si>
  <si>
    <t>Gum</t>
  </si>
  <si>
    <t>Bundle</t>
  </si>
  <si>
    <t>bundle</t>
  </si>
  <si>
    <t>chest</t>
  </si>
  <si>
    <t>Seeds</t>
  </si>
  <si>
    <t>Silk (all relevant)</t>
  </si>
  <si>
    <t>Silk, goods</t>
  </si>
  <si>
    <t>package</t>
  </si>
  <si>
    <t>Tobacco</t>
  </si>
  <si>
    <t>Glass and wares</t>
  </si>
  <si>
    <t>Cotton, piece-goods</t>
  </si>
  <si>
    <r>
      <rPr>
        <sz val="11"/>
        <rFont val="Calibri"/>
        <family val="2"/>
        <scheme val="minor"/>
      </rPr>
      <t xml:space="preserve">Kerosene oil </t>
    </r>
  </si>
  <si>
    <t>drum / tin</t>
  </si>
  <si>
    <t>Wool. cloth</t>
  </si>
  <si>
    <t>cwt.</t>
  </si>
  <si>
    <t>piece</t>
  </si>
  <si>
    <t>Thread, cotton</t>
  </si>
  <si>
    <t>rotol</t>
  </si>
  <si>
    <t>cantar</t>
  </si>
  <si>
    <t>barrel</t>
  </si>
  <si>
    <t>bag/sack</t>
  </si>
  <si>
    <t>Cwts.</t>
  </si>
  <si>
    <t>Piece</t>
  </si>
  <si>
    <t>£/Bag</t>
  </si>
  <si>
    <t>Bags</t>
  </si>
  <si>
    <t>kile</t>
  </si>
  <si>
    <t>Place of Origin</t>
  </si>
  <si>
    <t>Timbac</t>
  </si>
  <si>
    <t>Persia</t>
  </si>
  <si>
    <t>£/Package</t>
  </si>
  <si>
    <t>kilos</t>
  </si>
  <si>
    <t>£/Coil</t>
  </si>
  <si>
    <r>
      <t xml:space="preserve">This spreadsheet lists the </t>
    </r>
    <r>
      <rPr>
        <b/>
        <i/>
        <sz val="10"/>
        <rFont val="Arial"/>
        <family val="2"/>
      </rPr>
      <t>prices, quantities</t>
    </r>
    <r>
      <rPr>
        <sz val="10"/>
        <rFont val="Arial"/>
        <family val="2"/>
      </rPr>
      <t xml:space="preserve"> and </t>
    </r>
    <r>
      <rPr>
        <b/>
        <i/>
        <sz val="10"/>
        <rFont val="Arial"/>
        <family val="2"/>
      </rPr>
      <t>values</t>
    </r>
    <r>
      <rPr>
        <sz val="10"/>
        <rFont val="Arial"/>
        <family val="2"/>
      </rPr>
      <t xml:space="preserve"> of </t>
    </r>
    <r>
      <rPr>
        <b/>
        <i/>
        <sz val="10"/>
        <rFont val="Arial"/>
        <family val="2"/>
      </rPr>
      <t xml:space="preserve">imports </t>
    </r>
    <r>
      <rPr>
        <sz val="10"/>
        <rFont val="Arial"/>
        <family val="2"/>
      </rPr>
      <t xml:space="preserve">and </t>
    </r>
    <r>
      <rPr>
        <b/>
        <i/>
        <sz val="10"/>
        <rFont val="Arial"/>
        <family val="2"/>
      </rPr>
      <t xml:space="preserve">exports </t>
    </r>
    <r>
      <rPr>
        <sz val="10"/>
        <rFont val="Arial"/>
        <family val="2"/>
      </rPr>
      <t>in the city of</t>
    </r>
    <r>
      <rPr>
        <b/>
        <i/>
        <sz val="10"/>
        <rFont val="Arial"/>
        <family val="2"/>
      </rPr>
      <t xml:space="preserve"> Damascus </t>
    </r>
    <r>
      <rPr>
        <sz val="10"/>
        <rFont val="Arial"/>
        <family val="2"/>
      </rPr>
      <t>from</t>
    </r>
    <r>
      <rPr>
        <b/>
        <i/>
        <sz val="10"/>
        <rFont val="Arial"/>
        <family val="2"/>
      </rPr>
      <t xml:space="preserve"> 1880 to 1911</t>
    </r>
    <r>
      <rPr>
        <sz val="10"/>
        <rFont val="Arial"/>
        <family val="2"/>
      </rPr>
      <t>.  The data were compiled by British consuls.</t>
    </r>
  </si>
  <si>
    <t>£/Cwts.</t>
  </si>
  <si>
    <t>Cotton, goods</t>
  </si>
  <si>
    <t>Cotton, yarns</t>
  </si>
  <si>
    <t>Cotton, yarns, white</t>
  </si>
  <si>
    <t>Cotton, yarns, colored</t>
  </si>
  <si>
    <t>Cotton, yarns, red</t>
  </si>
  <si>
    <t>Cotton, yarns, dark red</t>
  </si>
  <si>
    <t xml:space="preserve">Cotton, yarns, dark red </t>
  </si>
  <si>
    <t>Cotton and wool, yarns</t>
  </si>
  <si>
    <t>Wool, yarns</t>
  </si>
  <si>
    <t>Cotton, yarns, diamond glace</t>
  </si>
  <si>
    <t>Yarns, sewing</t>
  </si>
  <si>
    <t>Yarns, grey</t>
  </si>
  <si>
    <t>Wool, goods</t>
  </si>
  <si>
    <t>Tobacco, Tumbeki</t>
  </si>
  <si>
    <t>half load</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</si>
</sst>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0.0000"/>
    <numFmt numFmtId="165" formatCode="_(* #,##0_);_(* \(#,##0\);_(* &quot;-&quot;??_);_(@_)"/>
    <numFmt numFmtId="166" formatCode="_ * #,##0_ ;_ * \-#,##0_ ;_ * &quot;-&quot;_ ;_ @_ "/>
    <numFmt numFmtId="167" formatCode="0.00000000"/>
    <numFmt numFmtId="173" formatCode="0.000"/>
  </numFmts>
  <fonts count="23" x14ac:knownFonts="1">
    <font>
      <sz val="11"/>
      <color theme="1"/>
      <name val="Calibri"/>
      <family val="2"/>
      <scheme val="minor"/>
    </font>
    <font>
      <sz val="11"/>
      <color theme="1"/>
      <name val="Calibri"/>
      <family val="2"/>
      <scheme val="minor"/>
    </font>
    <font>
      <sz val="11"/>
      <name val="Calibri"/>
      <family val="2"/>
      <scheme val="minor"/>
    </font>
    <font>
      <sz val="10"/>
      <name val="Arial"/>
      <family val="2"/>
    </font>
    <font>
      <b/>
      <i/>
      <sz val="10"/>
      <name val="Arial"/>
      <family val="2"/>
    </font>
    <font>
      <i/>
      <sz val="10"/>
      <name val="Arial"/>
      <family val="2"/>
    </font>
    <font>
      <sz val="10"/>
      <name val="Courier"/>
    </font>
    <font>
      <b/>
      <u/>
      <sz val="10"/>
      <color indexed="9"/>
      <name val="Arial"/>
      <family val="2"/>
    </font>
    <font>
      <sz val="10"/>
      <color indexed="9"/>
      <name val="Courier"/>
    </font>
    <font>
      <b/>
      <u/>
      <sz val="8"/>
      <name val="Arial"/>
      <family val="2"/>
    </font>
    <font>
      <sz val="8"/>
      <color indexed="9"/>
      <name val="Arial"/>
      <family val="2"/>
    </font>
    <font>
      <i/>
      <sz val="8"/>
      <color indexed="9"/>
      <name val="Arial"/>
      <family val="2"/>
    </font>
    <font>
      <i/>
      <sz val="8"/>
      <name val="Arial"/>
      <family val="2"/>
    </font>
    <font>
      <sz val="8"/>
      <name val="Arial"/>
      <family val="2"/>
    </font>
    <font>
      <sz val="12"/>
      <color theme="1"/>
      <name val="Calibri"/>
      <family val="2"/>
      <scheme val="minor"/>
    </font>
    <font>
      <i/>
      <sz val="11"/>
      <color theme="1"/>
      <name val="Calibri"/>
      <family val="2"/>
      <scheme val="minor"/>
    </font>
    <font>
      <sz val="9"/>
      <color indexed="81"/>
      <name val="Tahoma"/>
      <family val="2"/>
    </font>
    <font>
      <b/>
      <sz val="9"/>
      <color indexed="81"/>
      <name val="Tahoma"/>
      <family val="2"/>
    </font>
    <font>
      <sz val="11"/>
      <color rgb="FF454545"/>
      <name val="Calibri"/>
      <family val="2"/>
      <scheme val="minor"/>
    </font>
    <font>
      <b/>
      <sz val="11"/>
      <color theme="1"/>
      <name val="Calibri"/>
      <family val="2"/>
      <scheme val="minor"/>
    </font>
    <font>
      <b/>
      <sz val="11"/>
      <color rgb="FF454545"/>
      <name val="Calibri"/>
      <family val="2"/>
      <scheme val="minor"/>
    </font>
    <font>
      <i/>
      <sz val="11"/>
      <color rgb="FF000000"/>
      <name val="Calibri"/>
      <family val="2"/>
      <scheme val="minor"/>
    </font>
    <font>
      <sz val="11.5"/>
      <name val="Times New Roman"/>
      <family val="1"/>
    </font>
  </fonts>
  <fills count="6">
    <fill>
      <patternFill patternType="none"/>
    </fill>
    <fill>
      <patternFill patternType="gray125"/>
    </fill>
    <fill>
      <patternFill patternType="solid">
        <fgColor rgb="FFFFFF00"/>
        <bgColor indexed="64"/>
      </patternFill>
    </fill>
    <fill>
      <patternFill patternType="solid">
        <fgColor theme="6"/>
        <bgColor indexed="64"/>
      </patternFill>
    </fill>
    <fill>
      <patternFill patternType="solid">
        <fgColor theme="8"/>
        <bgColor indexed="64"/>
      </patternFill>
    </fill>
    <fill>
      <patternFill patternType="solid">
        <fgColor indexed="58"/>
      </patternFill>
    </fill>
  </fills>
  <borders count="1">
    <border>
      <left/>
      <right/>
      <top/>
      <bottom/>
      <diagonal/>
    </border>
  </borders>
  <cellStyleXfs count="6">
    <xf numFmtId="0" fontId="0" fillId="0" borderId="0"/>
    <xf numFmtId="0" fontId="3" fillId="0" borderId="0">
      <alignment vertical="top"/>
    </xf>
    <xf numFmtId="0" fontId="6" fillId="0" borderId="0">
      <alignment vertical="top"/>
    </xf>
    <xf numFmtId="0" fontId="14" fillId="0" borderId="0"/>
    <xf numFmtId="0" fontId="1" fillId="0" borderId="0"/>
    <xf numFmtId="43" fontId="1" fillId="0" borderId="0" applyFont="0" applyFill="0" applyBorder="0" applyAlignment="0" applyProtection="0"/>
  </cellStyleXfs>
  <cellXfs count="87">
    <xf numFmtId="0" fontId="0" fillId="0" borderId="0" xfId="0"/>
    <xf numFmtId="0" fontId="0" fillId="2" borderId="0" xfId="0" applyFill="1"/>
    <xf numFmtId="0" fontId="0" fillId="3" borderId="0" xfId="0" applyFill="1"/>
    <xf numFmtId="0" fontId="0" fillId="4" borderId="0" xfId="0" applyFill="1"/>
    <xf numFmtId="0" fontId="0" fillId="0" borderId="0" xfId="0" applyFill="1"/>
    <xf numFmtId="2" fontId="0" fillId="0" borderId="0" xfId="0" applyNumberFormat="1" applyFill="1"/>
    <xf numFmtId="2" fontId="0" fillId="0" borderId="0" xfId="0" applyNumberFormat="1"/>
    <xf numFmtId="0" fontId="3" fillId="0" borderId="0" xfId="1" applyFont="1" applyAlignment="1"/>
    <xf numFmtId="0" fontId="3" fillId="0" borderId="0" xfId="1" applyAlignment="1"/>
    <xf numFmtId="0" fontId="3" fillId="0" borderId="0" xfId="1" applyFont="1" applyBorder="1" applyAlignment="1"/>
    <xf numFmtId="0" fontId="3" fillId="0" borderId="0" xfId="1" applyBorder="1" applyAlignment="1"/>
    <xf numFmtId="0" fontId="5" fillId="0" borderId="0" xfId="1" applyFont="1" applyAlignment="1"/>
    <xf numFmtId="0" fontId="3" fillId="0" borderId="0" xfId="1" quotePrefix="1" applyFont="1" applyAlignment="1"/>
    <xf numFmtId="0" fontId="3" fillId="0" borderId="0" xfId="1" applyFont="1" applyAlignment="1">
      <alignment horizontal="left"/>
    </xf>
    <xf numFmtId="0" fontId="7" fillId="0" borderId="0" xfId="2" applyFont="1" applyBorder="1" applyAlignment="1">
      <alignment horizontal="left" vertical="center"/>
    </xf>
    <xf numFmtId="0" fontId="6" fillId="0" borderId="0" xfId="2" applyAlignment="1"/>
    <xf numFmtId="0" fontId="8" fillId="0" borderId="0" xfId="2" applyFont="1" applyAlignment="1"/>
    <xf numFmtId="0" fontId="9" fillId="0" borderId="0" xfId="2" applyFont="1" applyFill="1" applyBorder="1" applyAlignment="1">
      <alignment horizontal="left" vertical="center"/>
    </xf>
    <xf numFmtId="0" fontId="10" fillId="0" borderId="0" xfId="2" applyFont="1" applyBorder="1" applyAlignment="1">
      <alignment horizontal="right"/>
    </xf>
    <xf numFmtId="0" fontId="11" fillId="5" borderId="0" xfId="2" applyFont="1" applyFill="1" applyBorder="1" applyAlignment="1">
      <alignment horizontal="left"/>
    </xf>
    <xf numFmtId="0" fontId="10" fillId="5" borderId="0" xfId="2" applyFont="1" applyFill="1" applyBorder="1" applyAlignment="1">
      <alignment horizontal="center"/>
    </xf>
    <xf numFmtId="0" fontId="11" fillId="5" borderId="0" xfId="2" applyFont="1" applyFill="1" applyBorder="1" applyAlignment="1">
      <alignment horizontal="left" wrapText="1"/>
    </xf>
    <xf numFmtId="0" fontId="11" fillId="0" borderId="0" xfId="2" applyFont="1" applyBorder="1" applyAlignment="1">
      <alignment horizontal="right" vertical="center" wrapText="1"/>
    </xf>
    <xf numFmtId="0" fontId="11" fillId="5" borderId="0" xfId="2" applyFont="1" applyFill="1" applyBorder="1" applyAlignment="1">
      <alignment horizontal="left" vertical="center" wrapText="1"/>
    </xf>
    <xf numFmtId="0" fontId="11" fillId="0" borderId="0" xfId="2" applyFont="1" applyAlignment="1">
      <alignment vertical="center" wrapText="1"/>
    </xf>
    <xf numFmtId="0" fontId="11" fillId="5" borderId="0" xfId="2" applyFont="1" applyFill="1" applyBorder="1" applyAlignment="1">
      <alignment horizontal="right"/>
    </xf>
    <xf numFmtId="0" fontId="12" fillId="0" borderId="0" xfId="2" applyFont="1" applyBorder="1" applyAlignment="1">
      <alignment horizontal="right"/>
    </xf>
    <xf numFmtId="0" fontId="13" fillId="0" borderId="0" xfId="2" applyFont="1" applyBorder="1" applyAlignment="1">
      <alignment horizontal="center"/>
    </xf>
    <xf numFmtId="0" fontId="10" fillId="5" borderId="0" xfId="2" applyFont="1" applyFill="1" applyBorder="1" applyAlignment="1" applyProtection="1">
      <alignment horizontal="right"/>
    </xf>
    <xf numFmtId="164" fontId="13" fillId="0" borderId="0" xfId="2" applyNumberFormat="1" applyFont="1" applyBorder="1" applyAlignment="1" applyProtection="1">
      <alignment horizontal="center"/>
    </xf>
    <xf numFmtId="164" fontId="6" fillId="0" borderId="0" xfId="2" applyNumberFormat="1" applyAlignment="1"/>
    <xf numFmtId="0" fontId="11" fillId="0" borderId="0" xfId="2" applyFont="1" applyBorder="1" applyAlignment="1">
      <alignment horizontal="right"/>
    </xf>
    <xf numFmtId="0" fontId="11" fillId="0" borderId="0" xfId="2" applyFont="1" applyAlignment="1"/>
    <xf numFmtId="0" fontId="14" fillId="3" borderId="0" xfId="3" applyFill="1"/>
    <xf numFmtId="0" fontId="15" fillId="0" borderId="0" xfId="4" applyFont="1"/>
    <xf numFmtId="0" fontId="14" fillId="0" borderId="0" xfId="3"/>
    <xf numFmtId="0" fontId="14" fillId="4" borderId="0" xfId="3" applyFill="1"/>
    <xf numFmtId="0" fontId="14" fillId="2" borderId="0" xfId="3" applyFill="1"/>
    <xf numFmtId="0" fontId="15" fillId="0" borderId="0" xfId="0" applyFont="1"/>
    <xf numFmtId="0" fontId="0" fillId="0" borderId="0" xfId="0" applyFont="1"/>
    <xf numFmtId="0" fontId="18" fillId="0" borderId="0" xfId="0" applyFont="1"/>
    <xf numFmtId="0" fontId="19" fillId="0" borderId="0" xfId="0" applyFont="1"/>
    <xf numFmtId="0" fontId="20" fillId="0" borderId="0" xfId="0" applyFont="1"/>
    <xf numFmtId="0" fontId="0" fillId="0" borderId="0" xfId="0" applyAlignment="1">
      <alignment horizontal="center"/>
    </xf>
    <xf numFmtId="165" fontId="21" fillId="0" borderId="0" xfId="5" applyNumberFormat="1" applyFont="1" applyFill="1" applyAlignment="1">
      <alignment horizontal="left"/>
    </xf>
    <xf numFmtId="0" fontId="22" fillId="0" borderId="0" xfId="0" applyFont="1" applyBorder="1" applyAlignment="1">
      <alignment horizontal="left" vertical="top"/>
    </xf>
    <xf numFmtId="0" fontId="0" fillId="0" borderId="0" xfId="0" applyFont="1" applyFill="1"/>
    <xf numFmtId="1" fontId="22" fillId="0" borderId="0" xfId="0" applyNumberFormat="1" applyFont="1" applyBorder="1" applyAlignment="1">
      <alignment horizontal="left" vertical="top"/>
    </xf>
    <xf numFmtId="0" fontId="0" fillId="0" borderId="0" xfId="0" applyFill="1" applyAlignment="1">
      <alignment horizontal="left"/>
    </xf>
    <xf numFmtId="0" fontId="15" fillId="0" borderId="0" xfId="0" applyFont="1" applyFill="1"/>
    <xf numFmtId="165" fontId="2" fillId="0" borderId="0" xfId="5" applyNumberFormat="1" applyFont="1" applyBorder="1" applyAlignment="1">
      <alignment horizontal="left" vertical="center" wrapText="1"/>
    </xf>
    <xf numFmtId="0" fontId="14" fillId="0" borderId="0" xfId="0" applyFont="1" applyAlignment="1"/>
    <xf numFmtId="2" fontId="0" fillId="0" borderId="0" xfId="0" applyNumberFormat="1" applyFill="1" applyAlignment="1">
      <alignment horizontal="right" vertical="center"/>
    </xf>
    <xf numFmtId="0" fontId="0" fillId="0" borderId="0" xfId="0" applyFill="1" applyBorder="1"/>
    <xf numFmtId="164" fontId="0" fillId="0" borderId="0" xfId="0" applyNumberFormat="1"/>
    <xf numFmtId="164" fontId="0" fillId="0" borderId="0" xfId="0" applyNumberFormat="1" applyFill="1"/>
    <xf numFmtId="0" fontId="0" fillId="0" borderId="0" xfId="0" applyFont="1" applyFill="1" applyBorder="1"/>
    <xf numFmtId="0" fontId="0" fillId="0" borderId="0" xfId="0" applyFill="1" applyAlignment="1">
      <alignment vertical="center"/>
    </xf>
    <xf numFmtId="3" fontId="0" fillId="0" borderId="0" xfId="0" applyNumberFormat="1" applyFill="1"/>
    <xf numFmtId="4" fontId="0" fillId="0" borderId="0" xfId="0" applyNumberFormat="1" applyFill="1"/>
    <xf numFmtId="0" fontId="1" fillId="0" borderId="0" xfId="0" applyFont="1" applyFill="1"/>
    <xf numFmtId="164" fontId="1" fillId="0" borderId="0" xfId="0" applyNumberFormat="1" applyFont="1" applyBorder="1"/>
    <xf numFmtId="166" fontId="1" fillId="0" borderId="0" xfId="0" applyNumberFormat="1" applyFont="1" applyBorder="1" applyAlignment="1">
      <alignment horizontal="left"/>
    </xf>
    <xf numFmtId="166" fontId="1" fillId="0" borderId="0" xfId="0" applyNumberFormat="1" applyFont="1" applyBorder="1"/>
    <xf numFmtId="0" fontId="1" fillId="0" borderId="0" xfId="0" applyFont="1" applyBorder="1" applyAlignment="1">
      <alignment horizontal="left"/>
    </xf>
    <xf numFmtId="0" fontId="1" fillId="0" borderId="0" xfId="0" applyFont="1" applyBorder="1"/>
    <xf numFmtId="0" fontId="15" fillId="0" borderId="0" xfId="0" applyFont="1" applyFill="1" applyAlignment="1">
      <alignment horizontal="left"/>
    </xf>
    <xf numFmtId="167" fontId="0" fillId="0" borderId="0" xfId="0" applyNumberFormat="1"/>
    <xf numFmtId="2" fontId="0" fillId="0" borderId="0" xfId="0" applyNumberFormat="1" applyFill="1" applyAlignment="1">
      <alignment horizontal="right"/>
    </xf>
    <xf numFmtId="0" fontId="0" fillId="0" borderId="0" xfId="0" applyFill="1" applyAlignment="1">
      <alignment horizontal="right"/>
    </xf>
    <xf numFmtId="0" fontId="10" fillId="0" borderId="0" xfId="2" applyFont="1" applyBorder="1" applyAlignment="1">
      <alignment horizontal="left"/>
    </xf>
    <xf numFmtId="0" fontId="10" fillId="5" borderId="0" xfId="2" applyFont="1" applyFill="1" applyBorder="1" applyAlignment="1">
      <alignment horizontal="left"/>
    </xf>
    <xf numFmtId="0" fontId="8" fillId="0" borderId="0" xfId="2" applyFont="1" applyAlignment="1">
      <alignment horizontal="left"/>
    </xf>
    <xf numFmtId="0" fontId="0" fillId="0" borderId="0" xfId="0" applyFill="1" applyAlignment="1">
      <alignment horizontal="center"/>
    </xf>
    <xf numFmtId="0" fontId="18" fillId="0" borderId="0" xfId="0" applyFont="1" applyFill="1"/>
    <xf numFmtId="0" fontId="20" fillId="0" borderId="0" xfId="0" applyFont="1" applyFill="1"/>
    <xf numFmtId="0" fontId="3" fillId="0" borderId="0" xfId="1" applyFont="1" applyAlignment="1">
      <alignment horizontal="left" vertical="top" wrapText="1"/>
    </xf>
    <xf numFmtId="0" fontId="3" fillId="0" borderId="0" xfId="1" applyFont="1" applyAlignment="1">
      <alignment horizontal="left"/>
    </xf>
    <xf numFmtId="0" fontId="0" fillId="0" borderId="0" xfId="0" applyAlignment="1">
      <alignment horizontal="center"/>
    </xf>
    <xf numFmtId="0" fontId="0" fillId="0" borderId="0" xfId="0" applyFill="1" applyAlignment="1">
      <alignment horizontal="left" vertical="center"/>
    </xf>
    <xf numFmtId="0" fontId="0" fillId="0" borderId="0" xfId="0" applyFill="1" applyAlignment="1">
      <alignment horizontal="right" vertical="center"/>
    </xf>
    <xf numFmtId="0" fontId="15" fillId="0" borderId="0" xfId="0" applyFont="1" applyFill="1" applyAlignment="1">
      <alignment horizontal="left" vertical="center" wrapText="1"/>
    </xf>
    <xf numFmtId="2" fontId="0" fillId="0" borderId="0" xfId="0" applyNumberFormat="1" applyFill="1" applyAlignment="1">
      <alignment horizontal="right" vertical="center"/>
    </xf>
    <xf numFmtId="0" fontId="15" fillId="0" borderId="0" xfId="0" applyFont="1" applyFill="1" applyAlignment="1">
      <alignment horizontal="left" vertical="center"/>
    </xf>
    <xf numFmtId="0" fontId="0" fillId="0" borderId="0" xfId="0" applyFont="1" applyFill="1" applyAlignment="1">
      <alignment horizontal="right" vertical="center"/>
    </xf>
    <xf numFmtId="0" fontId="0" fillId="0" borderId="0" xfId="0" applyFont="1" applyFill="1" applyAlignment="1">
      <alignment horizontal="left" vertical="center"/>
    </xf>
    <xf numFmtId="173" fontId="0" fillId="0" borderId="0" xfId="0" applyNumberFormat="1"/>
  </cellXfs>
  <cellStyles count="6">
    <cellStyle name="Comma" xfId="5" builtinId="3"/>
    <cellStyle name="Normal" xfId="0" builtinId="0"/>
    <cellStyle name="Normal 2" xfId="3"/>
    <cellStyle name="Normal 2 2" xfId="4"/>
    <cellStyle name="Normal 3" xfId="2"/>
    <cellStyle name="Normal 4"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2"/>
  <sheetViews>
    <sheetView tabSelected="1" workbookViewId="0">
      <selection activeCell="AJ35" sqref="AJ35"/>
    </sheetView>
  </sheetViews>
  <sheetFormatPr defaultRowHeight="13.2" x14ac:dyDescent="0.25"/>
  <cols>
    <col min="1" max="2" width="8.88671875" style="8"/>
    <col min="3" max="3" width="11.77734375" style="8" customWidth="1"/>
    <col min="4" max="16384" width="8.88671875" style="8"/>
  </cols>
  <sheetData>
    <row r="1" spans="1:4" x14ac:dyDescent="0.25">
      <c r="A1" s="7" t="s">
        <v>31</v>
      </c>
    </row>
    <row r="2" spans="1:4" x14ac:dyDescent="0.25">
      <c r="A2" s="7" t="s">
        <v>32</v>
      </c>
    </row>
    <row r="4" spans="1:4" x14ac:dyDescent="0.25">
      <c r="A4" s="7" t="s">
        <v>312</v>
      </c>
    </row>
    <row r="5" spans="1:4" x14ac:dyDescent="0.25">
      <c r="A5" s="7" t="s">
        <v>33</v>
      </c>
    </row>
    <row r="6" spans="1:4" s="10" customFormat="1" x14ac:dyDescent="0.25">
      <c r="A6" s="9"/>
    </row>
    <row r="7" spans="1:4" x14ac:dyDescent="0.25">
      <c r="A7" s="7" t="s">
        <v>34</v>
      </c>
    </row>
    <row r="8" spans="1:4" x14ac:dyDescent="0.25">
      <c r="A8" s="7" t="s">
        <v>35</v>
      </c>
    </row>
    <row r="9" spans="1:4" x14ac:dyDescent="0.25">
      <c r="A9" s="7"/>
    </row>
    <row r="10" spans="1:4" x14ac:dyDescent="0.25">
      <c r="A10" s="11" t="s">
        <v>36</v>
      </c>
    </row>
    <row r="11" spans="1:4" x14ac:dyDescent="0.25">
      <c r="A11" s="77" t="s">
        <v>76</v>
      </c>
      <c r="B11" s="77"/>
      <c r="C11" s="77"/>
      <c r="D11" s="12" t="s">
        <v>37</v>
      </c>
    </row>
    <row r="12" spans="1:4" x14ac:dyDescent="0.25">
      <c r="A12" s="77" t="s">
        <v>77</v>
      </c>
      <c r="B12" s="77"/>
      <c r="C12" s="77"/>
      <c r="D12" s="12" t="s">
        <v>38</v>
      </c>
    </row>
    <row r="13" spans="1:4" x14ac:dyDescent="0.25">
      <c r="A13" s="77" t="s">
        <v>39</v>
      </c>
      <c r="B13" s="77"/>
      <c r="C13" s="77"/>
      <c r="D13" s="12" t="s">
        <v>40</v>
      </c>
    </row>
    <row r="14" spans="1:4" x14ac:dyDescent="0.25">
      <c r="A14" s="77" t="s">
        <v>41</v>
      </c>
      <c r="B14" s="77"/>
      <c r="C14" s="77"/>
      <c r="D14" s="12" t="s">
        <v>42</v>
      </c>
    </row>
    <row r="15" spans="1:4" x14ac:dyDescent="0.25">
      <c r="A15" s="77" t="s">
        <v>43</v>
      </c>
      <c r="B15" s="77"/>
      <c r="C15" s="77"/>
      <c r="D15" s="12" t="s">
        <v>44</v>
      </c>
    </row>
    <row r="16" spans="1:4" x14ac:dyDescent="0.25">
      <c r="A16" s="77" t="s">
        <v>45</v>
      </c>
      <c r="B16" s="77"/>
      <c r="C16" s="77"/>
      <c r="D16" s="12" t="s">
        <v>46</v>
      </c>
    </row>
    <row r="17" spans="1:16" x14ac:dyDescent="0.25">
      <c r="A17" s="13" t="s">
        <v>47</v>
      </c>
      <c r="B17" s="13"/>
      <c r="C17" s="13"/>
      <c r="D17" s="12" t="s">
        <v>48</v>
      </c>
    </row>
    <row r="19" spans="1:16" x14ac:dyDescent="0.25">
      <c r="A19" s="11" t="s">
        <v>49</v>
      </c>
    </row>
    <row r="20" spans="1:16" x14ac:dyDescent="0.25">
      <c r="A20" s="76" t="s">
        <v>50</v>
      </c>
      <c r="B20" s="76"/>
      <c r="C20" s="76"/>
      <c r="D20" s="76"/>
      <c r="E20" s="76"/>
      <c r="F20" s="76"/>
      <c r="G20" s="76"/>
      <c r="H20" s="76"/>
      <c r="I20" s="76"/>
      <c r="J20" s="76"/>
      <c r="K20" s="76"/>
      <c r="L20" s="76"/>
      <c r="M20" s="76"/>
      <c r="N20" s="76"/>
      <c r="O20" s="76"/>
      <c r="P20" s="76"/>
    </row>
    <row r="21" spans="1:16" x14ac:dyDescent="0.25">
      <c r="A21" s="8" t="s">
        <v>51</v>
      </c>
    </row>
    <row r="22" spans="1:16" x14ac:dyDescent="0.25">
      <c r="C22" s="7" t="s">
        <v>52</v>
      </c>
    </row>
  </sheetData>
  <mergeCells count="7">
    <mergeCell ref="A20:P20"/>
    <mergeCell ref="A11:C11"/>
    <mergeCell ref="A12:C12"/>
    <mergeCell ref="A13:C13"/>
    <mergeCell ref="A14:C14"/>
    <mergeCell ref="A15:C15"/>
    <mergeCell ref="A16:C16"/>
  </mergeCells>
  <pageMargins left="0.75" right="0.75" top="1" bottom="1" header="0.5" footer="0.5"/>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0"/>
  <sheetViews>
    <sheetView workbookViewId="0">
      <selection activeCell="B4" sqref="B4"/>
    </sheetView>
  </sheetViews>
  <sheetFormatPr defaultRowHeight="15.6" x14ac:dyDescent="0.3"/>
  <cols>
    <col min="1" max="16384" width="8.88671875" style="35"/>
  </cols>
  <sheetData>
    <row r="2" spans="1:6" x14ac:dyDescent="0.3">
      <c r="A2" s="33"/>
      <c r="B2" s="34" t="s">
        <v>78</v>
      </c>
      <c r="C2" s="34"/>
      <c r="D2" s="34"/>
      <c r="E2" s="34"/>
      <c r="F2" s="34"/>
    </row>
    <row r="3" spans="1:6" x14ac:dyDescent="0.3">
      <c r="B3" s="34"/>
      <c r="C3" s="34"/>
      <c r="D3" s="34"/>
      <c r="E3" s="34"/>
      <c r="F3" s="34"/>
    </row>
    <row r="4" spans="1:6" x14ac:dyDescent="0.3">
      <c r="A4" s="36"/>
      <c r="B4" s="34" t="s">
        <v>79</v>
      </c>
      <c r="C4" s="34"/>
      <c r="D4" s="34"/>
      <c r="E4" s="34"/>
      <c r="F4" s="34"/>
    </row>
    <row r="5" spans="1:6" x14ac:dyDescent="0.3">
      <c r="B5" s="34"/>
      <c r="C5" s="34"/>
      <c r="D5" s="34"/>
      <c r="E5" s="34"/>
      <c r="F5" s="34"/>
    </row>
    <row r="6" spans="1:6" x14ac:dyDescent="0.3">
      <c r="A6" s="37"/>
      <c r="B6" s="38" t="s">
        <v>80</v>
      </c>
      <c r="C6" s="34"/>
      <c r="D6" s="34"/>
      <c r="E6" s="34"/>
      <c r="F6" s="34"/>
    </row>
    <row r="7" spans="1:6" x14ac:dyDescent="0.3">
      <c r="B7" s="34"/>
      <c r="C7" s="34"/>
      <c r="D7" s="34"/>
      <c r="E7" s="34"/>
      <c r="F7" s="34"/>
    </row>
    <row r="10" spans="1:6" customFormat="1" 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P34"/>
  <sheetViews>
    <sheetView zoomScaleNormal="100" workbookViewId="0">
      <pane xSplit="2" ySplit="8" topLeftCell="C9" activePane="bottomRight" state="frozenSplit"/>
      <selection activeCell="AJ35" sqref="AJ35"/>
      <selection pane="topRight" activeCell="AJ35" sqref="AJ35"/>
      <selection pane="bottomLeft" activeCell="AJ35" sqref="AJ35"/>
      <selection pane="bottomRight" activeCell="CK18" sqref="CK18"/>
    </sheetView>
  </sheetViews>
  <sheetFormatPr defaultColWidth="9.6640625" defaultRowHeight="12" x14ac:dyDescent="0.2"/>
  <cols>
    <col min="1" max="1" width="6.44140625" style="16" customWidth="1"/>
    <col min="2" max="2" width="13.88671875" style="15" customWidth="1"/>
    <col min="3" max="3" width="8.88671875" style="15" customWidth="1"/>
    <col min="4" max="4" width="15.109375" style="15" bestFit="1" customWidth="1"/>
    <col min="5" max="6" width="8.88671875" style="15" customWidth="1"/>
    <col min="7" max="7" width="10.109375" style="15" bestFit="1" customWidth="1"/>
    <col min="8" max="8" width="11.6640625" style="15" bestFit="1" customWidth="1"/>
    <col min="9" max="9" width="12.6640625" style="15" bestFit="1" customWidth="1"/>
    <col min="10" max="10" width="8.88671875" style="15" customWidth="1"/>
    <col min="11" max="11" width="10.109375" style="15" customWidth="1"/>
    <col min="12" max="17" width="8.88671875" style="15" customWidth="1"/>
    <col min="18" max="18" width="10.109375" style="15" bestFit="1" customWidth="1"/>
    <col min="19" max="25" width="8.88671875" style="15" customWidth="1"/>
    <col min="26" max="26" width="11.6640625" style="15" customWidth="1"/>
    <col min="27" max="32" width="8.88671875" style="15" customWidth="1"/>
    <col min="33" max="33" width="13.88671875" style="15" bestFit="1" customWidth="1"/>
    <col min="34" max="34" width="11.21875" style="15" bestFit="1" customWidth="1"/>
    <col min="35" max="42" width="8.88671875" style="15" customWidth="1"/>
    <col min="43" max="43" width="10.5546875" style="15" bestFit="1" customWidth="1"/>
    <col min="44" max="76" width="8.88671875" style="15" customWidth="1"/>
    <col min="77" max="77" width="10.21875" style="15" bestFit="1" customWidth="1"/>
    <col min="78" max="92" width="8.88671875" style="15" customWidth="1"/>
    <col min="93" max="93" width="10.77734375" style="15" bestFit="1" customWidth="1"/>
    <col min="94" max="94" width="8.33203125" style="15" bestFit="1" customWidth="1"/>
    <col min="95" max="95" width="8.88671875" style="15" customWidth="1"/>
    <col min="96" max="96" width="10.21875" style="15" bestFit="1" customWidth="1"/>
    <col min="97" max="103" width="9" style="15" customWidth="1"/>
    <col min="104" max="104" width="10" style="15" bestFit="1" customWidth="1"/>
    <col min="105" max="105" width="9" style="15" customWidth="1"/>
    <col min="106" max="106" width="11.44140625" style="15" customWidth="1"/>
    <col min="107" max="107" width="10.88671875" style="15" customWidth="1"/>
    <col min="108" max="112" width="9" style="15" customWidth="1"/>
    <col min="113" max="113" width="10.5546875" style="15" customWidth="1"/>
    <col min="114" max="133" width="9" style="15" customWidth="1"/>
    <col min="134" max="134" width="11.6640625" style="15" bestFit="1" customWidth="1"/>
    <col min="135" max="219" width="9.6640625" style="15"/>
    <col min="220" max="220" width="6.44140625" style="15" customWidth="1"/>
    <col min="221" max="221" width="13.88671875" style="15" customWidth="1"/>
    <col min="222" max="222" width="14.33203125" style="15" customWidth="1"/>
    <col min="223" max="239" width="9.6640625" style="15"/>
    <col min="240" max="240" width="12" style="15" customWidth="1"/>
    <col min="241" max="241" width="12.77734375" style="15" customWidth="1"/>
    <col min="242" max="242" width="11.109375" style="15" customWidth="1"/>
    <col min="243" max="243" width="12" style="15" customWidth="1"/>
    <col min="244" max="244" width="9.6640625" style="15"/>
    <col min="245" max="245" width="15.33203125" style="15" customWidth="1"/>
    <col min="246" max="246" width="15.21875" style="15" customWidth="1"/>
    <col min="247" max="247" width="21.44140625" style="15" customWidth="1"/>
    <col min="248" max="263" width="9.6640625" style="15"/>
    <col min="264" max="265" width="13.44140625" style="15" customWidth="1"/>
    <col min="266" max="266" width="9.6640625" style="15"/>
    <col min="267" max="267" width="13.88671875" style="15" customWidth="1"/>
    <col min="268" max="268" width="10.6640625" style="15" customWidth="1"/>
    <col min="269" max="269" width="17.33203125" style="15" customWidth="1"/>
    <col min="270" max="271" width="12.6640625" style="15" customWidth="1"/>
    <col min="272" max="272" width="11.21875" style="15" customWidth="1"/>
    <col min="273" max="273" width="18.33203125" style="15" customWidth="1"/>
    <col min="274" max="274" width="12.88671875" style="15" customWidth="1"/>
    <col min="275" max="276" width="13.21875" style="15" customWidth="1"/>
    <col min="277" max="277" width="10.88671875" style="15" customWidth="1"/>
    <col min="278" max="278" width="11.109375" style="15" customWidth="1"/>
    <col min="279" max="279" width="15.21875" style="15" customWidth="1"/>
    <col min="280" max="280" width="9.6640625" style="15"/>
    <col min="281" max="281" width="11" style="15" customWidth="1"/>
    <col min="282" max="282" width="10.77734375" style="15" customWidth="1"/>
    <col min="283" max="283" width="11.44140625" style="15" customWidth="1"/>
    <col min="284" max="284" width="4" style="15" customWidth="1"/>
    <col min="285" max="475" width="9.6640625" style="15"/>
    <col min="476" max="476" width="6.44140625" style="15" customWidth="1"/>
    <col min="477" max="477" width="13.88671875" style="15" customWidth="1"/>
    <col min="478" max="478" width="14.33203125" style="15" customWidth="1"/>
    <col min="479" max="495" width="9.6640625" style="15"/>
    <col min="496" max="496" width="12" style="15" customWidth="1"/>
    <col min="497" max="497" width="12.77734375" style="15" customWidth="1"/>
    <col min="498" max="498" width="11.109375" style="15" customWidth="1"/>
    <col min="499" max="499" width="12" style="15" customWidth="1"/>
    <col min="500" max="500" width="9.6640625" style="15"/>
    <col min="501" max="501" width="15.33203125" style="15" customWidth="1"/>
    <col min="502" max="502" width="15.21875" style="15" customWidth="1"/>
    <col min="503" max="503" width="21.44140625" style="15" customWidth="1"/>
    <col min="504" max="519" width="9.6640625" style="15"/>
    <col min="520" max="521" width="13.44140625" style="15" customWidth="1"/>
    <col min="522" max="522" width="9.6640625" style="15"/>
    <col min="523" max="523" width="13.88671875" style="15" customWidth="1"/>
    <col min="524" max="524" width="10.6640625" style="15" customWidth="1"/>
    <col min="525" max="525" width="17.33203125" style="15" customWidth="1"/>
    <col min="526" max="527" width="12.6640625" style="15" customWidth="1"/>
    <col min="528" max="528" width="11.21875" style="15" customWidth="1"/>
    <col min="529" max="529" width="18.33203125" style="15" customWidth="1"/>
    <col min="530" max="530" width="12.88671875" style="15" customWidth="1"/>
    <col min="531" max="532" width="13.21875" style="15" customWidth="1"/>
    <col min="533" max="533" width="10.88671875" style="15" customWidth="1"/>
    <col min="534" max="534" width="11.109375" style="15" customWidth="1"/>
    <col min="535" max="535" width="15.21875" style="15" customWidth="1"/>
    <col min="536" max="536" width="9.6640625" style="15"/>
    <col min="537" max="537" width="11" style="15" customWidth="1"/>
    <col min="538" max="538" width="10.77734375" style="15" customWidth="1"/>
    <col min="539" max="539" width="11.44140625" style="15" customWidth="1"/>
    <col min="540" max="540" width="4" style="15" customWidth="1"/>
    <col min="541" max="731" width="9.6640625" style="15"/>
    <col min="732" max="732" width="6.44140625" style="15" customWidth="1"/>
    <col min="733" max="733" width="13.88671875" style="15" customWidth="1"/>
    <col min="734" max="734" width="14.33203125" style="15" customWidth="1"/>
    <col min="735" max="751" width="9.6640625" style="15"/>
    <col min="752" max="752" width="12" style="15" customWidth="1"/>
    <col min="753" max="753" width="12.77734375" style="15" customWidth="1"/>
    <col min="754" max="754" width="11.109375" style="15" customWidth="1"/>
    <col min="755" max="755" width="12" style="15" customWidth="1"/>
    <col min="756" max="756" width="9.6640625" style="15"/>
    <col min="757" max="757" width="15.33203125" style="15" customWidth="1"/>
    <col min="758" max="758" width="15.21875" style="15" customWidth="1"/>
    <col min="759" max="759" width="21.44140625" style="15" customWidth="1"/>
    <col min="760" max="775" width="9.6640625" style="15"/>
    <col min="776" max="777" width="13.44140625" style="15" customWidth="1"/>
    <col min="778" max="778" width="9.6640625" style="15"/>
    <col min="779" max="779" width="13.88671875" style="15" customWidth="1"/>
    <col min="780" max="780" width="10.6640625" style="15" customWidth="1"/>
    <col min="781" max="781" width="17.33203125" style="15" customWidth="1"/>
    <col min="782" max="783" width="12.6640625" style="15" customWidth="1"/>
    <col min="784" max="784" width="11.21875" style="15" customWidth="1"/>
    <col min="785" max="785" width="18.33203125" style="15" customWidth="1"/>
    <col min="786" max="786" width="12.88671875" style="15" customWidth="1"/>
    <col min="787" max="788" width="13.21875" style="15" customWidth="1"/>
    <col min="789" max="789" width="10.88671875" style="15" customWidth="1"/>
    <col min="790" max="790" width="11.109375" style="15" customWidth="1"/>
    <col min="791" max="791" width="15.21875" style="15" customWidth="1"/>
    <col min="792" max="792" width="9.6640625" style="15"/>
    <col min="793" max="793" width="11" style="15" customWidth="1"/>
    <col min="794" max="794" width="10.77734375" style="15" customWidth="1"/>
    <col min="795" max="795" width="11.44140625" style="15" customWidth="1"/>
    <col min="796" max="796" width="4" style="15" customWidth="1"/>
    <col min="797" max="987" width="9.6640625" style="15"/>
    <col min="988" max="988" width="6.44140625" style="15" customWidth="1"/>
    <col min="989" max="989" width="13.88671875" style="15" customWidth="1"/>
    <col min="990" max="990" width="14.33203125" style="15" customWidth="1"/>
    <col min="991" max="1007" width="9.6640625" style="15"/>
    <col min="1008" max="1008" width="12" style="15" customWidth="1"/>
    <col min="1009" max="1009" width="12.77734375" style="15" customWidth="1"/>
    <col min="1010" max="1010" width="11.109375" style="15" customWidth="1"/>
    <col min="1011" max="1011" width="12" style="15" customWidth="1"/>
    <col min="1012" max="1012" width="9.6640625" style="15"/>
    <col min="1013" max="1013" width="15.33203125" style="15" customWidth="1"/>
    <col min="1014" max="1014" width="15.21875" style="15" customWidth="1"/>
    <col min="1015" max="1015" width="21.44140625" style="15" customWidth="1"/>
    <col min="1016" max="1031" width="9.6640625" style="15"/>
    <col min="1032" max="1033" width="13.44140625" style="15" customWidth="1"/>
    <col min="1034" max="1034" width="9.6640625" style="15"/>
    <col min="1035" max="1035" width="13.88671875" style="15" customWidth="1"/>
    <col min="1036" max="1036" width="10.6640625" style="15" customWidth="1"/>
    <col min="1037" max="1037" width="17.33203125" style="15" customWidth="1"/>
    <col min="1038" max="1039" width="12.6640625" style="15" customWidth="1"/>
    <col min="1040" max="1040" width="11.21875" style="15" customWidth="1"/>
    <col min="1041" max="1041" width="18.33203125" style="15" customWidth="1"/>
    <col min="1042" max="1042" width="12.88671875" style="15" customWidth="1"/>
    <col min="1043" max="1044" width="13.21875" style="15" customWidth="1"/>
    <col min="1045" max="1045" width="10.88671875" style="15" customWidth="1"/>
    <col min="1046" max="1046" width="11.109375" style="15" customWidth="1"/>
    <col min="1047" max="1047" width="15.21875" style="15" customWidth="1"/>
    <col min="1048" max="1048" width="9.6640625" style="15"/>
    <col min="1049" max="1049" width="11" style="15" customWidth="1"/>
    <col min="1050" max="1050" width="10.77734375" style="15" customWidth="1"/>
    <col min="1051" max="1051" width="11.44140625" style="15" customWidth="1"/>
    <col min="1052" max="1052" width="4" style="15" customWidth="1"/>
    <col min="1053" max="1243" width="9.6640625" style="15"/>
    <col min="1244" max="1244" width="6.44140625" style="15" customWidth="1"/>
    <col min="1245" max="1245" width="13.88671875" style="15" customWidth="1"/>
    <col min="1246" max="1246" width="14.33203125" style="15" customWidth="1"/>
    <col min="1247" max="1263" width="9.6640625" style="15"/>
    <col min="1264" max="1264" width="12" style="15" customWidth="1"/>
    <col min="1265" max="1265" width="12.77734375" style="15" customWidth="1"/>
    <col min="1266" max="1266" width="11.109375" style="15" customWidth="1"/>
    <col min="1267" max="1267" width="12" style="15" customWidth="1"/>
    <col min="1268" max="1268" width="9.6640625" style="15"/>
    <col min="1269" max="1269" width="15.33203125" style="15" customWidth="1"/>
    <col min="1270" max="1270" width="15.21875" style="15" customWidth="1"/>
    <col min="1271" max="1271" width="21.44140625" style="15" customWidth="1"/>
    <col min="1272" max="1287" width="9.6640625" style="15"/>
    <col min="1288" max="1289" width="13.44140625" style="15" customWidth="1"/>
    <col min="1290" max="1290" width="9.6640625" style="15"/>
    <col min="1291" max="1291" width="13.88671875" style="15" customWidth="1"/>
    <col min="1292" max="1292" width="10.6640625" style="15" customWidth="1"/>
    <col min="1293" max="1293" width="17.33203125" style="15" customWidth="1"/>
    <col min="1294" max="1295" width="12.6640625" style="15" customWidth="1"/>
    <col min="1296" max="1296" width="11.21875" style="15" customWidth="1"/>
    <col min="1297" max="1297" width="18.33203125" style="15" customWidth="1"/>
    <col min="1298" max="1298" width="12.88671875" style="15" customWidth="1"/>
    <col min="1299" max="1300" width="13.21875" style="15" customWidth="1"/>
    <col min="1301" max="1301" width="10.88671875" style="15" customWidth="1"/>
    <col min="1302" max="1302" width="11.109375" style="15" customWidth="1"/>
    <col min="1303" max="1303" width="15.21875" style="15" customWidth="1"/>
    <col min="1304" max="1304" width="9.6640625" style="15"/>
    <col min="1305" max="1305" width="11" style="15" customWidth="1"/>
    <col min="1306" max="1306" width="10.77734375" style="15" customWidth="1"/>
    <col min="1307" max="1307" width="11.44140625" style="15" customWidth="1"/>
    <col min="1308" max="1308" width="4" style="15" customWidth="1"/>
    <col min="1309" max="1499" width="9.6640625" style="15"/>
    <col min="1500" max="1500" width="6.44140625" style="15" customWidth="1"/>
    <col min="1501" max="1501" width="13.88671875" style="15" customWidth="1"/>
    <col min="1502" max="1502" width="14.33203125" style="15" customWidth="1"/>
    <col min="1503" max="1519" width="9.6640625" style="15"/>
    <col min="1520" max="1520" width="12" style="15" customWidth="1"/>
    <col min="1521" max="1521" width="12.77734375" style="15" customWidth="1"/>
    <col min="1522" max="1522" width="11.109375" style="15" customWidth="1"/>
    <col min="1523" max="1523" width="12" style="15" customWidth="1"/>
    <col min="1524" max="1524" width="9.6640625" style="15"/>
    <col min="1525" max="1525" width="15.33203125" style="15" customWidth="1"/>
    <col min="1526" max="1526" width="15.21875" style="15" customWidth="1"/>
    <col min="1527" max="1527" width="21.44140625" style="15" customWidth="1"/>
    <col min="1528" max="1543" width="9.6640625" style="15"/>
    <col min="1544" max="1545" width="13.44140625" style="15" customWidth="1"/>
    <col min="1546" max="1546" width="9.6640625" style="15"/>
    <col min="1547" max="1547" width="13.88671875" style="15" customWidth="1"/>
    <col min="1548" max="1548" width="10.6640625" style="15" customWidth="1"/>
    <col min="1549" max="1549" width="17.33203125" style="15" customWidth="1"/>
    <col min="1550" max="1551" width="12.6640625" style="15" customWidth="1"/>
    <col min="1552" max="1552" width="11.21875" style="15" customWidth="1"/>
    <col min="1553" max="1553" width="18.33203125" style="15" customWidth="1"/>
    <col min="1554" max="1554" width="12.88671875" style="15" customWidth="1"/>
    <col min="1555" max="1556" width="13.21875" style="15" customWidth="1"/>
    <col min="1557" max="1557" width="10.88671875" style="15" customWidth="1"/>
    <col min="1558" max="1558" width="11.109375" style="15" customWidth="1"/>
    <col min="1559" max="1559" width="15.21875" style="15" customWidth="1"/>
    <col min="1560" max="1560" width="9.6640625" style="15"/>
    <col min="1561" max="1561" width="11" style="15" customWidth="1"/>
    <col min="1562" max="1562" width="10.77734375" style="15" customWidth="1"/>
    <col min="1563" max="1563" width="11.44140625" style="15" customWidth="1"/>
    <col min="1564" max="1564" width="4" style="15" customWidth="1"/>
    <col min="1565" max="1755" width="9.6640625" style="15"/>
    <col min="1756" max="1756" width="6.44140625" style="15" customWidth="1"/>
    <col min="1757" max="1757" width="13.88671875" style="15" customWidth="1"/>
    <col min="1758" max="1758" width="14.33203125" style="15" customWidth="1"/>
    <col min="1759" max="1775" width="9.6640625" style="15"/>
    <col min="1776" max="1776" width="12" style="15" customWidth="1"/>
    <col min="1777" max="1777" width="12.77734375" style="15" customWidth="1"/>
    <col min="1778" max="1778" width="11.109375" style="15" customWidth="1"/>
    <col min="1779" max="1779" width="12" style="15" customWidth="1"/>
    <col min="1780" max="1780" width="9.6640625" style="15"/>
    <col min="1781" max="1781" width="15.33203125" style="15" customWidth="1"/>
    <col min="1782" max="1782" width="15.21875" style="15" customWidth="1"/>
    <col min="1783" max="1783" width="21.44140625" style="15" customWidth="1"/>
    <col min="1784" max="1799" width="9.6640625" style="15"/>
    <col min="1800" max="1801" width="13.44140625" style="15" customWidth="1"/>
    <col min="1802" max="1802" width="9.6640625" style="15"/>
    <col min="1803" max="1803" width="13.88671875" style="15" customWidth="1"/>
    <col min="1804" max="1804" width="10.6640625" style="15" customWidth="1"/>
    <col min="1805" max="1805" width="17.33203125" style="15" customWidth="1"/>
    <col min="1806" max="1807" width="12.6640625" style="15" customWidth="1"/>
    <col min="1808" max="1808" width="11.21875" style="15" customWidth="1"/>
    <col min="1809" max="1809" width="18.33203125" style="15" customWidth="1"/>
    <col min="1810" max="1810" width="12.88671875" style="15" customWidth="1"/>
    <col min="1811" max="1812" width="13.21875" style="15" customWidth="1"/>
    <col min="1813" max="1813" width="10.88671875" style="15" customWidth="1"/>
    <col min="1814" max="1814" width="11.109375" style="15" customWidth="1"/>
    <col min="1815" max="1815" width="15.21875" style="15" customWidth="1"/>
    <col min="1816" max="1816" width="9.6640625" style="15"/>
    <col min="1817" max="1817" width="11" style="15" customWidth="1"/>
    <col min="1818" max="1818" width="10.77734375" style="15" customWidth="1"/>
    <col min="1819" max="1819" width="11.44140625" style="15" customWidth="1"/>
    <col min="1820" max="1820" width="4" style="15" customWidth="1"/>
    <col min="1821" max="2011" width="9.6640625" style="15"/>
    <col min="2012" max="2012" width="6.44140625" style="15" customWidth="1"/>
    <col min="2013" max="2013" width="13.88671875" style="15" customWidth="1"/>
    <col min="2014" max="2014" width="14.33203125" style="15" customWidth="1"/>
    <col min="2015" max="2031" width="9.6640625" style="15"/>
    <col min="2032" max="2032" width="12" style="15" customWidth="1"/>
    <col min="2033" max="2033" width="12.77734375" style="15" customWidth="1"/>
    <col min="2034" max="2034" width="11.109375" style="15" customWidth="1"/>
    <col min="2035" max="2035" width="12" style="15" customWidth="1"/>
    <col min="2036" max="2036" width="9.6640625" style="15"/>
    <col min="2037" max="2037" width="15.33203125" style="15" customWidth="1"/>
    <col min="2038" max="2038" width="15.21875" style="15" customWidth="1"/>
    <col min="2039" max="2039" width="21.44140625" style="15" customWidth="1"/>
    <col min="2040" max="2055" width="9.6640625" style="15"/>
    <col min="2056" max="2057" width="13.44140625" style="15" customWidth="1"/>
    <col min="2058" max="2058" width="9.6640625" style="15"/>
    <col min="2059" max="2059" width="13.88671875" style="15" customWidth="1"/>
    <col min="2060" max="2060" width="10.6640625" style="15" customWidth="1"/>
    <col min="2061" max="2061" width="17.33203125" style="15" customWidth="1"/>
    <col min="2062" max="2063" width="12.6640625" style="15" customWidth="1"/>
    <col min="2064" max="2064" width="11.21875" style="15" customWidth="1"/>
    <col min="2065" max="2065" width="18.33203125" style="15" customWidth="1"/>
    <col min="2066" max="2066" width="12.88671875" style="15" customWidth="1"/>
    <col min="2067" max="2068" width="13.21875" style="15" customWidth="1"/>
    <col min="2069" max="2069" width="10.88671875" style="15" customWidth="1"/>
    <col min="2070" max="2070" width="11.109375" style="15" customWidth="1"/>
    <col min="2071" max="2071" width="15.21875" style="15" customWidth="1"/>
    <col min="2072" max="2072" width="9.6640625" style="15"/>
    <col min="2073" max="2073" width="11" style="15" customWidth="1"/>
    <col min="2074" max="2074" width="10.77734375" style="15" customWidth="1"/>
    <col min="2075" max="2075" width="11.44140625" style="15" customWidth="1"/>
    <col min="2076" max="2076" width="4" style="15" customWidth="1"/>
    <col min="2077" max="2267" width="9.6640625" style="15"/>
    <col min="2268" max="2268" width="6.44140625" style="15" customWidth="1"/>
    <col min="2269" max="2269" width="13.88671875" style="15" customWidth="1"/>
    <col min="2270" max="2270" width="14.33203125" style="15" customWidth="1"/>
    <col min="2271" max="2287" width="9.6640625" style="15"/>
    <col min="2288" max="2288" width="12" style="15" customWidth="1"/>
    <col min="2289" max="2289" width="12.77734375" style="15" customWidth="1"/>
    <col min="2290" max="2290" width="11.109375" style="15" customWidth="1"/>
    <col min="2291" max="2291" width="12" style="15" customWidth="1"/>
    <col min="2292" max="2292" width="9.6640625" style="15"/>
    <col min="2293" max="2293" width="15.33203125" style="15" customWidth="1"/>
    <col min="2294" max="2294" width="15.21875" style="15" customWidth="1"/>
    <col min="2295" max="2295" width="21.44140625" style="15" customWidth="1"/>
    <col min="2296" max="2311" width="9.6640625" style="15"/>
    <col min="2312" max="2313" width="13.44140625" style="15" customWidth="1"/>
    <col min="2314" max="2314" width="9.6640625" style="15"/>
    <col min="2315" max="2315" width="13.88671875" style="15" customWidth="1"/>
    <col min="2316" max="2316" width="10.6640625" style="15" customWidth="1"/>
    <col min="2317" max="2317" width="17.33203125" style="15" customWidth="1"/>
    <col min="2318" max="2319" width="12.6640625" style="15" customWidth="1"/>
    <col min="2320" max="2320" width="11.21875" style="15" customWidth="1"/>
    <col min="2321" max="2321" width="18.33203125" style="15" customWidth="1"/>
    <col min="2322" max="2322" width="12.88671875" style="15" customWidth="1"/>
    <col min="2323" max="2324" width="13.21875" style="15" customWidth="1"/>
    <col min="2325" max="2325" width="10.88671875" style="15" customWidth="1"/>
    <col min="2326" max="2326" width="11.109375" style="15" customWidth="1"/>
    <col min="2327" max="2327" width="15.21875" style="15" customWidth="1"/>
    <col min="2328" max="2328" width="9.6640625" style="15"/>
    <col min="2329" max="2329" width="11" style="15" customWidth="1"/>
    <col min="2330" max="2330" width="10.77734375" style="15" customWidth="1"/>
    <col min="2331" max="2331" width="11.44140625" style="15" customWidth="1"/>
    <col min="2332" max="2332" width="4" style="15" customWidth="1"/>
    <col min="2333" max="2523" width="9.6640625" style="15"/>
    <col min="2524" max="2524" width="6.44140625" style="15" customWidth="1"/>
    <col min="2525" max="2525" width="13.88671875" style="15" customWidth="1"/>
    <col min="2526" max="2526" width="14.33203125" style="15" customWidth="1"/>
    <col min="2527" max="2543" width="9.6640625" style="15"/>
    <col min="2544" max="2544" width="12" style="15" customWidth="1"/>
    <col min="2545" max="2545" width="12.77734375" style="15" customWidth="1"/>
    <col min="2546" max="2546" width="11.109375" style="15" customWidth="1"/>
    <col min="2547" max="2547" width="12" style="15" customWidth="1"/>
    <col min="2548" max="2548" width="9.6640625" style="15"/>
    <col min="2549" max="2549" width="15.33203125" style="15" customWidth="1"/>
    <col min="2550" max="2550" width="15.21875" style="15" customWidth="1"/>
    <col min="2551" max="2551" width="21.44140625" style="15" customWidth="1"/>
    <col min="2552" max="2567" width="9.6640625" style="15"/>
    <col min="2568" max="2569" width="13.44140625" style="15" customWidth="1"/>
    <col min="2570" max="2570" width="9.6640625" style="15"/>
    <col min="2571" max="2571" width="13.88671875" style="15" customWidth="1"/>
    <col min="2572" max="2572" width="10.6640625" style="15" customWidth="1"/>
    <col min="2573" max="2573" width="17.33203125" style="15" customWidth="1"/>
    <col min="2574" max="2575" width="12.6640625" style="15" customWidth="1"/>
    <col min="2576" max="2576" width="11.21875" style="15" customWidth="1"/>
    <col min="2577" max="2577" width="18.33203125" style="15" customWidth="1"/>
    <col min="2578" max="2578" width="12.88671875" style="15" customWidth="1"/>
    <col min="2579" max="2580" width="13.21875" style="15" customWidth="1"/>
    <col min="2581" max="2581" width="10.88671875" style="15" customWidth="1"/>
    <col min="2582" max="2582" width="11.109375" style="15" customWidth="1"/>
    <col min="2583" max="2583" width="15.21875" style="15" customWidth="1"/>
    <col min="2584" max="2584" width="9.6640625" style="15"/>
    <col min="2585" max="2585" width="11" style="15" customWidth="1"/>
    <col min="2586" max="2586" width="10.77734375" style="15" customWidth="1"/>
    <col min="2587" max="2587" width="11.44140625" style="15" customWidth="1"/>
    <col min="2588" max="2588" width="4" style="15" customWidth="1"/>
    <col min="2589" max="2779" width="9.6640625" style="15"/>
    <col min="2780" max="2780" width="6.44140625" style="15" customWidth="1"/>
    <col min="2781" max="2781" width="13.88671875" style="15" customWidth="1"/>
    <col min="2782" max="2782" width="14.33203125" style="15" customWidth="1"/>
    <col min="2783" max="2799" width="9.6640625" style="15"/>
    <col min="2800" max="2800" width="12" style="15" customWidth="1"/>
    <col min="2801" max="2801" width="12.77734375" style="15" customWidth="1"/>
    <col min="2802" max="2802" width="11.109375" style="15" customWidth="1"/>
    <col min="2803" max="2803" width="12" style="15" customWidth="1"/>
    <col min="2804" max="2804" width="9.6640625" style="15"/>
    <col min="2805" max="2805" width="15.33203125" style="15" customWidth="1"/>
    <col min="2806" max="2806" width="15.21875" style="15" customWidth="1"/>
    <col min="2807" max="2807" width="21.44140625" style="15" customWidth="1"/>
    <col min="2808" max="2823" width="9.6640625" style="15"/>
    <col min="2824" max="2825" width="13.44140625" style="15" customWidth="1"/>
    <col min="2826" max="2826" width="9.6640625" style="15"/>
    <col min="2827" max="2827" width="13.88671875" style="15" customWidth="1"/>
    <col min="2828" max="2828" width="10.6640625" style="15" customWidth="1"/>
    <col min="2829" max="2829" width="17.33203125" style="15" customWidth="1"/>
    <col min="2830" max="2831" width="12.6640625" style="15" customWidth="1"/>
    <col min="2832" max="2832" width="11.21875" style="15" customWidth="1"/>
    <col min="2833" max="2833" width="18.33203125" style="15" customWidth="1"/>
    <col min="2834" max="2834" width="12.88671875" style="15" customWidth="1"/>
    <col min="2835" max="2836" width="13.21875" style="15" customWidth="1"/>
    <col min="2837" max="2837" width="10.88671875" style="15" customWidth="1"/>
    <col min="2838" max="2838" width="11.109375" style="15" customWidth="1"/>
    <col min="2839" max="2839" width="15.21875" style="15" customWidth="1"/>
    <col min="2840" max="2840" width="9.6640625" style="15"/>
    <col min="2841" max="2841" width="11" style="15" customWidth="1"/>
    <col min="2842" max="2842" width="10.77734375" style="15" customWidth="1"/>
    <col min="2843" max="2843" width="11.44140625" style="15" customWidth="1"/>
    <col min="2844" max="2844" width="4" style="15" customWidth="1"/>
    <col min="2845" max="3035" width="9.6640625" style="15"/>
    <col min="3036" max="3036" width="6.44140625" style="15" customWidth="1"/>
    <col min="3037" max="3037" width="13.88671875" style="15" customWidth="1"/>
    <col min="3038" max="3038" width="14.33203125" style="15" customWidth="1"/>
    <col min="3039" max="3055" width="9.6640625" style="15"/>
    <col min="3056" max="3056" width="12" style="15" customWidth="1"/>
    <col min="3057" max="3057" width="12.77734375" style="15" customWidth="1"/>
    <col min="3058" max="3058" width="11.109375" style="15" customWidth="1"/>
    <col min="3059" max="3059" width="12" style="15" customWidth="1"/>
    <col min="3060" max="3060" width="9.6640625" style="15"/>
    <col min="3061" max="3061" width="15.33203125" style="15" customWidth="1"/>
    <col min="3062" max="3062" width="15.21875" style="15" customWidth="1"/>
    <col min="3063" max="3063" width="21.44140625" style="15" customWidth="1"/>
    <col min="3064" max="3079" width="9.6640625" style="15"/>
    <col min="3080" max="3081" width="13.44140625" style="15" customWidth="1"/>
    <col min="3082" max="3082" width="9.6640625" style="15"/>
    <col min="3083" max="3083" width="13.88671875" style="15" customWidth="1"/>
    <col min="3084" max="3084" width="10.6640625" style="15" customWidth="1"/>
    <col min="3085" max="3085" width="17.33203125" style="15" customWidth="1"/>
    <col min="3086" max="3087" width="12.6640625" style="15" customWidth="1"/>
    <col min="3088" max="3088" width="11.21875" style="15" customWidth="1"/>
    <col min="3089" max="3089" width="18.33203125" style="15" customWidth="1"/>
    <col min="3090" max="3090" width="12.88671875" style="15" customWidth="1"/>
    <col min="3091" max="3092" width="13.21875" style="15" customWidth="1"/>
    <col min="3093" max="3093" width="10.88671875" style="15" customWidth="1"/>
    <col min="3094" max="3094" width="11.109375" style="15" customWidth="1"/>
    <col min="3095" max="3095" width="15.21875" style="15" customWidth="1"/>
    <col min="3096" max="3096" width="9.6640625" style="15"/>
    <col min="3097" max="3097" width="11" style="15" customWidth="1"/>
    <col min="3098" max="3098" width="10.77734375" style="15" customWidth="1"/>
    <col min="3099" max="3099" width="11.44140625" style="15" customWidth="1"/>
    <col min="3100" max="3100" width="4" style="15" customWidth="1"/>
    <col min="3101" max="3291" width="9.6640625" style="15"/>
    <col min="3292" max="3292" width="6.44140625" style="15" customWidth="1"/>
    <col min="3293" max="3293" width="13.88671875" style="15" customWidth="1"/>
    <col min="3294" max="3294" width="14.33203125" style="15" customWidth="1"/>
    <col min="3295" max="3311" width="9.6640625" style="15"/>
    <col min="3312" max="3312" width="12" style="15" customWidth="1"/>
    <col min="3313" max="3313" width="12.77734375" style="15" customWidth="1"/>
    <col min="3314" max="3314" width="11.109375" style="15" customWidth="1"/>
    <col min="3315" max="3315" width="12" style="15" customWidth="1"/>
    <col min="3316" max="3316" width="9.6640625" style="15"/>
    <col min="3317" max="3317" width="15.33203125" style="15" customWidth="1"/>
    <col min="3318" max="3318" width="15.21875" style="15" customWidth="1"/>
    <col min="3319" max="3319" width="21.44140625" style="15" customWidth="1"/>
    <col min="3320" max="3335" width="9.6640625" style="15"/>
    <col min="3336" max="3337" width="13.44140625" style="15" customWidth="1"/>
    <col min="3338" max="3338" width="9.6640625" style="15"/>
    <col min="3339" max="3339" width="13.88671875" style="15" customWidth="1"/>
    <col min="3340" max="3340" width="10.6640625" style="15" customWidth="1"/>
    <col min="3341" max="3341" width="17.33203125" style="15" customWidth="1"/>
    <col min="3342" max="3343" width="12.6640625" style="15" customWidth="1"/>
    <col min="3344" max="3344" width="11.21875" style="15" customWidth="1"/>
    <col min="3345" max="3345" width="18.33203125" style="15" customWidth="1"/>
    <col min="3346" max="3346" width="12.88671875" style="15" customWidth="1"/>
    <col min="3347" max="3348" width="13.21875" style="15" customWidth="1"/>
    <col min="3349" max="3349" width="10.88671875" style="15" customWidth="1"/>
    <col min="3350" max="3350" width="11.109375" style="15" customWidth="1"/>
    <col min="3351" max="3351" width="15.21875" style="15" customWidth="1"/>
    <col min="3352" max="3352" width="9.6640625" style="15"/>
    <col min="3353" max="3353" width="11" style="15" customWidth="1"/>
    <col min="3354" max="3354" width="10.77734375" style="15" customWidth="1"/>
    <col min="3355" max="3355" width="11.44140625" style="15" customWidth="1"/>
    <col min="3356" max="3356" width="4" style="15" customWidth="1"/>
    <col min="3357" max="3547" width="9.6640625" style="15"/>
    <col min="3548" max="3548" width="6.44140625" style="15" customWidth="1"/>
    <col min="3549" max="3549" width="13.88671875" style="15" customWidth="1"/>
    <col min="3550" max="3550" width="14.33203125" style="15" customWidth="1"/>
    <col min="3551" max="3567" width="9.6640625" style="15"/>
    <col min="3568" max="3568" width="12" style="15" customWidth="1"/>
    <col min="3569" max="3569" width="12.77734375" style="15" customWidth="1"/>
    <col min="3570" max="3570" width="11.109375" style="15" customWidth="1"/>
    <col min="3571" max="3571" width="12" style="15" customWidth="1"/>
    <col min="3572" max="3572" width="9.6640625" style="15"/>
    <col min="3573" max="3573" width="15.33203125" style="15" customWidth="1"/>
    <col min="3574" max="3574" width="15.21875" style="15" customWidth="1"/>
    <col min="3575" max="3575" width="21.44140625" style="15" customWidth="1"/>
    <col min="3576" max="3591" width="9.6640625" style="15"/>
    <col min="3592" max="3593" width="13.44140625" style="15" customWidth="1"/>
    <col min="3594" max="3594" width="9.6640625" style="15"/>
    <col min="3595" max="3595" width="13.88671875" style="15" customWidth="1"/>
    <col min="3596" max="3596" width="10.6640625" style="15" customWidth="1"/>
    <col min="3597" max="3597" width="17.33203125" style="15" customWidth="1"/>
    <col min="3598" max="3599" width="12.6640625" style="15" customWidth="1"/>
    <col min="3600" max="3600" width="11.21875" style="15" customWidth="1"/>
    <col min="3601" max="3601" width="18.33203125" style="15" customWidth="1"/>
    <col min="3602" max="3602" width="12.88671875" style="15" customWidth="1"/>
    <col min="3603" max="3604" width="13.21875" style="15" customWidth="1"/>
    <col min="3605" max="3605" width="10.88671875" style="15" customWidth="1"/>
    <col min="3606" max="3606" width="11.109375" style="15" customWidth="1"/>
    <col min="3607" max="3607" width="15.21875" style="15" customWidth="1"/>
    <col min="3608" max="3608" width="9.6640625" style="15"/>
    <col min="3609" max="3609" width="11" style="15" customWidth="1"/>
    <col min="3610" max="3610" width="10.77734375" style="15" customWidth="1"/>
    <col min="3611" max="3611" width="11.44140625" style="15" customWidth="1"/>
    <col min="3612" max="3612" width="4" style="15" customWidth="1"/>
    <col min="3613" max="3803" width="9.6640625" style="15"/>
    <col min="3804" max="3804" width="6.44140625" style="15" customWidth="1"/>
    <col min="3805" max="3805" width="13.88671875" style="15" customWidth="1"/>
    <col min="3806" max="3806" width="14.33203125" style="15" customWidth="1"/>
    <col min="3807" max="3823" width="9.6640625" style="15"/>
    <col min="3824" max="3824" width="12" style="15" customWidth="1"/>
    <col min="3825" max="3825" width="12.77734375" style="15" customWidth="1"/>
    <col min="3826" max="3826" width="11.109375" style="15" customWidth="1"/>
    <col min="3827" max="3827" width="12" style="15" customWidth="1"/>
    <col min="3828" max="3828" width="9.6640625" style="15"/>
    <col min="3829" max="3829" width="15.33203125" style="15" customWidth="1"/>
    <col min="3830" max="3830" width="15.21875" style="15" customWidth="1"/>
    <col min="3831" max="3831" width="21.44140625" style="15" customWidth="1"/>
    <col min="3832" max="3847" width="9.6640625" style="15"/>
    <col min="3848" max="3849" width="13.44140625" style="15" customWidth="1"/>
    <col min="3850" max="3850" width="9.6640625" style="15"/>
    <col min="3851" max="3851" width="13.88671875" style="15" customWidth="1"/>
    <col min="3852" max="3852" width="10.6640625" style="15" customWidth="1"/>
    <col min="3853" max="3853" width="17.33203125" style="15" customWidth="1"/>
    <col min="3854" max="3855" width="12.6640625" style="15" customWidth="1"/>
    <col min="3856" max="3856" width="11.21875" style="15" customWidth="1"/>
    <col min="3857" max="3857" width="18.33203125" style="15" customWidth="1"/>
    <col min="3858" max="3858" width="12.88671875" style="15" customWidth="1"/>
    <col min="3859" max="3860" width="13.21875" style="15" customWidth="1"/>
    <col min="3861" max="3861" width="10.88671875" style="15" customWidth="1"/>
    <col min="3862" max="3862" width="11.109375" style="15" customWidth="1"/>
    <col min="3863" max="3863" width="15.21875" style="15" customWidth="1"/>
    <col min="3864" max="3864" width="9.6640625" style="15"/>
    <col min="3865" max="3865" width="11" style="15" customWidth="1"/>
    <col min="3866" max="3866" width="10.77734375" style="15" customWidth="1"/>
    <col min="3867" max="3867" width="11.44140625" style="15" customWidth="1"/>
    <col min="3868" max="3868" width="4" style="15" customWidth="1"/>
    <col min="3869" max="4059" width="9.6640625" style="15"/>
    <col min="4060" max="4060" width="6.44140625" style="15" customWidth="1"/>
    <col min="4061" max="4061" width="13.88671875" style="15" customWidth="1"/>
    <col min="4062" max="4062" width="14.33203125" style="15" customWidth="1"/>
    <col min="4063" max="4079" width="9.6640625" style="15"/>
    <col min="4080" max="4080" width="12" style="15" customWidth="1"/>
    <col min="4081" max="4081" width="12.77734375" style="15" customWidth="1"/>
    <col min="4082" max="4082" width="11.109375" style="15" customWidth="1"/>
    <col min="4083" max="4083" width="12" style="15" customWidth="1"/>
    <col min="4084" max="4084" width="9.6640625" style="15"/>
    <col min="4085" max="4085" width="15.33203125" style="15" customWidth="1"/>
    <col min="4086" max="4086" width="15.21875" style="15" customWidth="1"/>
    <col min="4087" max="4087" width="21.44140625" style="15" customWidth="1"/>
    <col min="4088" max="4103" width="9.6640625" style="15"/>
    <col min="4104" max="4105" width="13.44140625" style="15" customWidth="1"/>
    <col min="4106" max="4106" width="9.6640625" style="15"/>
    <col min="4107" max="4107" width="13.88671875" style="15" customWidth="1"/>
    <col min="4108" max="4108" width="10.6640625" style="15" customWidth="1"/>
    <col min="4109" max="4109" width="17.33203125" style="15" customWidth="1"/>
    <col min="4110" max="4111" width="12.6640625" style="15" customWidth="1"/>
    <col min="4112" max="4112" width="11.21875" style="15" customWidth="1"/>
    <col min="4113" max="4113" width="18.33203125" style="15" customWidth="1"/>
    <col min="4114" max="4114" width="12.88671875" style="15" customWidth="1"/>
    <col min="4115" max="4116" width="13.21875" style="15" customWidth="1"/>
    <col min="4117" max="4117" width="10.88671875" style="15" customWidth="1"/>
    <col min="4118" max="4118" width="11.109375" style="15" customWidth="1"/>
    <col min="4119" max="4119" width="15.21875" style="15" customWidth="1"/>
    <col min="4120" max="4120" width="9.6640625" style="15"/>
    <col min="4121" max="4121" width="11" style="15" customWidth="1"/>
    <col min="4122" max="4122" width="10.77734375" style="15" customWidth="1"/>
    <col min="4123" max="4123" width="11.44140625" style="15" customWidth="1"/>
    <col min="4124" max="4124" width="4" style="15" customWidth="1"/>
    <col min="4125" max="4315" width="9.6640625" style="15"/>
    <col min="4316" max="4316" width="6.44140625" style="15" customWidth="1"/>
    <col min="4317" max="4317" width="13.88671875" style="15" customWidth="1"/>
    <col min="4318" max="4318" width="14.33203125" style="15" customWidth="1"/>
    <col min="4319" max="4335" width="9.6640625" style="15"/>
    <col min="4336" max="4336" width="12" style="15" customWidth="1"/>
    <col min="4337" max="4337" width="12.77734375" style="15" customWidth="1"/>
    <col min="4338" max="4338" width="11.109375" style="15" customWidth="1"/>
    <col min="4339" max="4339" width="12" style="15" customWidth="1"/>
    <col min="4340" max="4340" width="9.6640625" style="15"/>
    <col min="4341" max="4341" width="15.33203125" style="15" customWidth="1"/>
    <col min="4342" max="4342" width="15.21875" style="15" customWidth="1"/>
    <col min="4343" max="4343" width="21.44140625" style="15" customWidth="1"/>
    <col min="4344" max="4359" width="9.6640625" style="15"/>
    <col min="4360" max="4361" width="13.44140625" style="15" customWidth="1"/>
    <col min="4362" max="4362" width="9.6640625" style="15"/>
    <col min="4363" max="4363" width="13.88671875" style="15" customWidth="1"/>
    <col min="4364" max="4364" width="10.6640625" style="15" customWidth="1"/>
    <col min="4365" max="4365" width="17.33203125" style="15" customWidth="1"/>
    <col min="4366" max="4367" width="12.6640625" style="15" customWidth="1"/>
    <col min="4368" max="4368" width="11.21875" style="15" customWidth="1"/>
    <col min="4369" max="4369" width="18.33203125" style="15" customWidth="1"/>
    <col min="4370" max="4370" width="12.88671875" style="15" customWidth="1"/>
    <col min="4371" max="4372" width="13.21875" style="15" customWidth="1"/>
    <col min="4373" max="4373" width="10.88671875" style="15" customWidth="1"/>
    <col min="4374" max="4374" width="11.109375" style="15" customWidth="1"/>
    <col min="4375" max="4375" width="15.21875" style="15" customWidth="1"/>
    <col min="4376" max="4376" width="9.6640625" style="15"/>
    <col min="4377" max="4377" width="11" style="15" customWidth="1"/>
    <col min="4378" max="4378" width="10.77734375" style="15" customWidth="1"/>
    <col min="4379" max="4379" width="11.44140625" style="15" customWidth="1"/>
    <col min="4380" max="4380" width="4" style="15" customWidth="1"/>
    <col min="4381" max="4571" width="9.6640625" style="15"/>
    <col min="4572" max="4572" width="6.44140625" style="15" customWidth="1"/>
    <col min="4573" max="4573" width="13.88671875" style="15" customWidth="1"/>
    <col min="4574" max="4574" width="14.33203125" style="15" customWidth="1"/>
    <col min="4575" max="4591" width="9.6640625" style="15"/>
    <col min="4592" max="4592" width="12" style="15" customWidth="1"/>
    <col min="4593" max="4593" width="12.77734375" style="15" customWidth="1"/>
    <col min="4594" max="4594" width="11.109375" style="15" customWidth="1"/>
    <col min="4595" max="4595" width="12" style="15" customWidth="1"/>
    <col min="4596" max="4596" width="9.6640625" style="15"/>
    <col min="4597" max="4597" width="15.33203125" style="15" customWidth="1"/>
    <col min="4598" max="4598" width="15.21875" style="15" customWidth="1"/>
    <col min="4599" max="4599" width="21.44140625" style="15" customWidth="1"/>
    <col min="4600" max="4615" width="9.6640625" style="15"/>
    <col min="4616" max="4617" width="13.44140625" style="15" customWidth="1"/>
    <col min="4618" max="4618" width="9.6640625" style="15"/>
    <col min="4619" max="4619" width="13.88671875" style="15" customWidth="1"/>
    <col min="4620" max="4620" width="10.6640625" style="15" customWidth="1"/>
    <col min="4621" max="4621" width="17.33203125" style="15" customWidth="1"/>
    <col min="4622" max="4623" width="12.6640625" style="15" customWidth="1"/>
    <col min="4624" max="4624" width="11.21875" style="15" customWidth="1"/>
    <col min="4625" max="4625" width="18.33203125" style="15" customWidth="1"/>
    <col min="4626" max="4626" width="12.88671875" style="15" customWidth="1"/>
    <col min="4627" max="4628" width="13.21875" style="15" customWidth="1"/>
    <col min="4629" max="4629" width="10.88671875" style="15" customWidth="1"/>
    <col min="4630" max="4630" width="11.109375" style="15" customWidth="1"/>
    <col min="4631" max="4631" width="15.21875" style="15" customWidth="1"/>
    <col min="4632" max="4632" width="9.6640625" style="15"/>
    <col min="4633" max="4633" width="11" style="15" customWidth="1"/>
    <col min="4634" max="4634" width="10.77734375" style="15" customWidth="1"/>
    <col min="4635" max="4635" width="11.44140625" style="15" customWidth="1"/>
    <col min="4636" max="4636" width="4" style="15" customWidth="1"/>
    <col min="4637" max="4827" width="9.6640625" style="15"/>
    <col min="4828" max="4828" width="6.44140625" style="15" customWidth="1"/>
    <col min="4829" max="4829" width="13.88671875" style="15" customWidth="1"/>
    <col min="4830" max="4830" width="14.33203125" style="15" customWidth="1"/>
    <col min="4831" max="4847" width="9.6640625" style="15"/>
    <col min="4848" max="4848" width="12" style="15" customWidth="1"/>
    <col min="4849" max="4849" width="12.77734375" style="15" customWidth="1"/>
    <col min="4850" max="4850" width="11.109375" style="15" customWidth="1"/>
    <col min="4851" max="4851" width="12" style="15" customWidth="1"/>
    <col min="4852" max="4852" width="9.6640625" style="15"/>
    <col min="4853" max="4853" width="15.33203125" style="15" customWidth="1"/>
    <col min="4854" max="4854" width="15.21875" style="15" customWidth="1"/>
    <col min="4855" max="4855" width="21.44140625" style="15" customWidth="1"/>
    <col min="4856" max="4871" width="9.6640625" style="15"/>
    <col min="4872" max="4873" width="13.44140625" style="15" customWidth="1"/>
    <col min="4874" max="4874" width="9.6640625" style="15"/>
    <col min="4875" max="4875" width="13.88671875" style="15" customWidth="1"/>
    <col min="4876" max="4876" width="10.6640625" style="15" customWidth="1"/>
    <col min="4877" max="4877" width="17.33203125" style="15" customWidth="1"/>
    <col min="4878" max="4879" width="12.6640625" style="15" customWidth="1"/>
    <col min="4880" max="4880" width="11.21875" style="15" customWidth="1"/>
    <col min="4881" max="4881" width="18.33203125" style="15" customWidth="1"/>
    <col min="4882" max="4882" width="12.88671875" style="15" customWidth="1"/>
    <col min="4883" max="4884" width="13.21875" style="15" customWidth="1"/>
    <col min="4885" max="4885" width="10.88671875" style="15" customWidth="1"/>
    <col min="4886" max="4886" width="11.109375" style="15" customWidth="1"/>
    <col min="4887" max="4887" width="15.21875" style="15" customWidth="1"/>
    <col min="4888" max="4888" width="9.6640625" style="15"/>
    <col min="4889" max="4889" width="11" style="15" customWidth="1"/>
    <col min="4890" max="4890" width="10.77734375" style="15" customWidth="1"/>
    <col min="4891" max="4891" width="11.44140625" style="15" customWidth="1"/>
    <col min="4892" max="4892" width="4" style="15" customWidth="1"/>
    <col min="4893" max="5083" width="9.6640625" style="15"/>
    <col min="5084" max="5084" width="6.44140625" style="15" customWidth="1"/>
    <col min="5085" max="5085" width="13.88671875" style="15" customWidth="1"/>
    <col min="5086" max="5086" width="14.33203125" style="15" customWidth="1"/>
    <col min="5087" max="5103" width="9.6640625" style="15"/>
    <col min="5104" max="5104" width="12" style="15" customWidth="1"/>
    <col min="5105" max="5105" width="12.77734375" style="15" customWidth="1"/>
    <col min="5106" max="5106" width="11.109375" style="15" customWidth="1"/>
    <col min="5107" max="5107" width="12" style="15" customWidth="1"/>
    <col min="5108" max="5108" width="9.6640625" style="15"/>
    <col min="5109" max="5109" width="15.33203125" style="15" customWidth="1"/>
    <col min="5110" max="5110" width="15.21875" style="15" customWidth="1"/>
    <col min="5111" max="5111" width="21.44140625" style="15" customWidth="1"/>
    <col min="5112" max="5127" width="9.6640625" style="15"/>
    <col min="5128" max="5129" width="13.44140625" style="15" customWidth="1"/>
    <col min="5130" max="5130" width="9.6640625" style="15"/>
    <col min="5131" max="5131" width="13.88671875" style="15" customWidth="1"/>
    <col min="5132" max="5132" width="10.6640625" style="15" customWidth="1"/>
    <col min="5133" max="5133" width="17.33203125" style="15" customWidth="1"/>
    <col min="5134" max="5135" width="12.6640625" style="15" customWidth="1"/>
    <col min="5136" max="5136" width="11.21875" style="15" customWidth="1"/>
    <col min="5137" max="5137" width="18.33203125" style="15" customWidth="1"/>
    <col min="5138" max="5138" width="12.88671875" style="15" customWidth="1"/>
    <col min="5139" max="5140" width="13.21875" style="15" customWidth="1"/>
    <col min="5141" max="5141" width="10.88671875" style="15" customWidth="1"/>
    <col min="5142" max="5142" width="11.109375" style="15" customWidth="1"/>
    <col min="5143" max="5143" width="15.21875" style="15" customWidth="1"/>
    <col min="5144" max="5144" width="9.6640625" style="15"/>
    <col min="5145" max="5145" width="11" style="15" customWidth="1"/>
    <col min="5146" max="5146" width="10.77734375" style="15" customWidth="1"/>
    <col min="5147" max="5147" width="11.44140625" style="15" customWidth="1"/>
    <col min="5148" max="5148" width="4" style="15" customWidth="1"/>
    <col min="5149" max="5339" width="9.6640625" style="15"/>
    <col min="5340" max="5340" width="6.44140625" style="15" customWidth="1"/>
    <col min="5341" max="5341" width="13.88671875" style="15" customWidth="1"/>
    <col min="5342" max="5342" width="14.33203125" style="15" customWidth="1"/>
    <col min="5343" max="5359" width="9.6640625" style="15"/>
    <col min="5360" max="5360" width="12" style="15" customWidth="1"/>
    <col min="5361" max="5361" width="12.77734375" style="15" customWidth="1"/>
    <col min="5362" max="5362" width="11.109375" style="15" customWidth="1"/>
    <col min="5363" max="5363" width="12" style="15" customWidth="1"/>
    <col min="5364" max="5364" width="9.6640625" style="15"/>
    <col min="5365" max="5365" width="15.33203125" style="15" customWidth="1"/>
    <col min="5366" max="5366" width="15.21875" style="15" customWidth="1"/>
    <col min="5367" max="5367" width="21.44140625" style="15" customWidth="1"/>
    <col min="5368" max="5383" width="9.6640625" style="15"/>
    <col min="5384" max="5385" width="13.44140625" style="15" customWidth="1"/>
    <col min="5386" max="5386" width="9.6640625" style="15"/>
    <col min="5387" max="5387" width="13.88671875" style="15" customWidth="1"/>
    <col min="5388" max="5388" width="10.6640625" style="15" customWidth="1"/>
    <col min="5389" max="5389" width="17.33203125" style="15" customWidth="1"/>
    <col min="5390" max="5391" width="12.6640625" style="15" customWidth="1"/>
    <col min="5392" max="5392" width="11.21875" style="15" customWidth="1"/>
    <col min="5393" max="5393" width="18.33203125" style="15" customWidth="1"/>
    <col min="5394" max="5394" width="12.88671875" style="15" customWidth="1"/>
    <col min="5395" max="5396" width="13.21875" style="15" customWidth="1"/>
    <col min="5397" max="5397" width="10.88671875" style="15" customWidth="1"/>
    <col min="5398" max="5398" width="11.109375" style="15" customWidth="1"/>
    <col min="5399" max="5399" width="15.21875" style="15" customWidth="1"/>
    <col min="5400" max="5400" width="9.6640625" style="15"/>
    <col min="5401" max="5401" width="11" style="15" customWidth="1"/>
    <col min="5402" max="5402" width="10.77734375" style="15" customWidth="1"/>
    <col min="5403" max="5403" width="11.44140625" style="15" customWidth="1"/>
    <col min="5404" max="5404" width="4" style="15" customWidth="1"/>
    <col min="5405" max="5595" width="9.6640625" style="15"/>
    <col min="5596" max="5596" width="6.44140625" style="15" customWidth="1"/>
    <col min="5597" max="5597" width="13.88671875" style="15" customWidth="1"/>
    <col min="5598" max="5598" width="14.33203125" style="15" customWidth="1"/>
    <col min="5599" max="5615" width="9.6640625" style="15"/>
    <col min="5616" max="5616" width="12" style="15" customWidth="1"/>
    <col min="5617" max="5617" width="12.77734375" style="15" customWidth="1"/>
    <col min="5618" max="5618" width="11.109375" style="15" customWidth="1"/>
    <col min="5619" max="5619" width="12" style="15" customWidth="1"/>
    <col min="5620" max="5620" width="9.6640625" style="15"/>
    <col min="5621" max="5621" width="15.33203125" style="15" customWidth="1"/>
    <col min="5622" max="5622" width="15.21875" style="15" customWidth="1"/>
    <col min="5623" max="5623" width="21.44140625" style="15" customWidth="1"/>
    <col min="5624" max="5639" width="9.6640625" style="15"/>
    <col min="5640" max="5641" width="13.44140625" style="15" customWidth="1"/>
    <col min="5642" max="5642" width="9.6640625" style="15"/>
    <col min="5643" max="5643" width="13.88671875" style="15" customWidth="1"/>
    <col min="5644" max="5644" width="10.6640625" style="15" customWidth="1"/>
    <col min="5645" max="5645" width="17.33203125" style="15" customWidth="1"/>
    <col min="5646" max="5647" width="12.6640625" style="15" customWidth="1"/>
    <col min="5648" max="5648" width="11.21875" style="15" customWidth="1"/>
    <col min="5649" max="5649" width="18.33203125" style="15" customWidth="1"/>
    <col min="5650" max="5650" width="12.88671875" style="15" customWidth="1"/>
    <col min="5651" max="5652" width="13.21875" style="15" customWidth="1"/>
    <col min="5653" max="5653" width="10.88671875" style="15" customWidth="1"/>
    <col min="5654" max="5654" width="11.109375" style="15" customWidth="1"/>
    <col min="5655" max="5655" width="15.21875" style="15" customWidth="1"/>
    <col min="5656" max="5656" width="9.6640625" style="15"/>
    <col min="5657" max="5657" width="11" style="15" customWidth="1"/>
    <col min="5658" max="5658" width="10.77734375" style="15" customWidth="1"/>
    <col min="5659" max="5659" width="11.44140625" style="15" customWidth="1"/>
    <col min="5660" max="5660" width="4" style="15" customWidth="1"/>
    <col min="5661" max="5851" width="9.6640625" style="15"/>
    <col min="5852" max="5852" width="6.44140625" style="15" customWidth="1"/>
    <col min="5853" max="5853" width="13.88671875" style="15" customWidth="1"/>
    <col min="5854" max="5854" width="14.33203125" style="15" customWidth="1"/>
    <col min="5855" max="5871" width="9.6640625" style="15"/>
    <col min="5872" max="5872" width="12" style="15" customWidth="1"/>
    <col min="5873" max="5873" width="12.77734375" style="15" customWidth="1"/>
    <col min="5874" max="5874" width="11.109375" style="15" customWidth="1"/>
    <col min="5875" max="5875" width="12" style="15" customWidth="1"/>
    <col min="5876" max="5876" width="9.6640625" style="15"/>
    <col min="5877" max="5877" width="15.33203125" style="15" customWidth="1"/>
    <col min="5878" max="5878" width="15.21875" style="15" customWidth="1"/>
    <col min="5879" max="5879" width="21.44140625" style="15" customWidth="1"/>
    <col min="5880" max="5895" width="9.6640625" style="15"/>
    <col min="5896" max="5897" width="13.44140625" style="15" customWidth="1"/>
    <col min="5898" max="5898" width="9.6640625" style="15"/>
    <col min="5899" max="5899" width="13.88671875" style="15" customWidth="1"/>
    <col min="5900" max="5900" width="10.6640625" style="15" customWidth="1"/>
    <col min="5901" max="5901" width="17.33203125" style="15" customWidth="1"/>
    <col min="5902" max="5903" width="12.6640625" style="15" customWidth="1"/>
    <col min="5904" max="5904" width="11.21875" style="15" customWidth="1"/>
    <col min="5905" max="5905" width="18.33203125" style="15" customWidth="1"/>
    <col min="5906" max="5906" width="12.88671875" style="15" customWidth="1"/>
    <col min="5907" max="5908" width="13.21875" style="15" customWidth="1"/>
    <col min="5909" max="5909" width="10.88671875" style="15" customWidth="1"/>
    <col min="5910" max="5910" width="11.109375" style="15" customWidth="1"/>
    <col min="5911" max="5911" width="15.21875" style="15" customWidth="1"/>
    <col min="5912" max="5912" width="9.6640625" style="15"/>
    <col min="5913" max="5913" width="11" style="15" customWidth="1"/>
    <col min="5914" max="5914" width="10.77734375" style="15" customWidth="1"/>
    <col min="5915" max="5915" width="11.44140625" style="15" customWidth="1"/>
    <col min="5916" max="5916" width="4" style="15" customWidth="1"/>
    <col min="5917" max="6107" width="9.6640625" style="15"/>
    <col min="6108" max="6108" width="6.44140625" style="15" customWidth="1"/>
    <col min="6109" max="6109" width="13.88671875" style="15" customWidth="1"/>
    <col min="6110" max="6110" width="14.33203125" style="15" customWidth="1"/>
    <col min="6111" max="6127" width="9.6640625" style="15"/>
    <col min="6128" max="6128" width="12" style="15" customWidth="1"/>
    <col min="6129" max="6129" width="12.77734375" style="15" customWidth="1"/>
    <col min="6130" max="6130" width="11.109375" style="15" customWidth="1"/>
    <col min="6131" max="6131" width="12" style="15" customWidth="1"/>
    <col min="6132" max="6132" width="9.6640625" style="15"/>
    <col min="6133" max="6133" width="15.33203125" style="15" customWidth="1"/>
    <col min="6134" max="6134" width="15.21875" style="15" customWidth="1"/>
    <col min="6135" max="6135" width="21.44140625" style="15" customWidth="1"/>
    <col min="6136" max="6151" width="9.6640625" style="15"/>
    <col min="6152" max="6153" width="13.44140625" style="15" customWidth="1"/>
    <col min="6154" max="6154" width="9.6640625" style="15"/>
    <col min="6155" max="6155" width="13.88671875" style="15" customWidth="1"/>
    <col min="6156" max="6156" width="10.6640625" style="15" customWidth="1"/>
    <col min="6157" max="6157" width="17.33203125" style="15" customWidth="1"/>
    <col min="6158" max="6159" width="12.6640625" style="15" customWidth="1"/>
    <col min="6160" max="6160" width="11.21875" style="15" customWidth="1"/>
    <col min="6161" max="6161" width="18.33203125" style="15" customWidth="1"/>
    <col min="6162" max="6162" width="12.88671875" style="15" customWidth="1"/>
    <col min="6163" max="6164" width="13.21875" style="15" customWidth="1"/>
    <col min="6165" max="6165" width="10.88671875" style="15" customWidth="1"/>
    <col min="6166" max="6166" width="11.109375" style="15" customWidth="1"/>
    <col min="6167" max="6167" width="15.21875" style="15" customWidth="1"/>
    <col min="6168" max="6168" width="9.6640625" style="15"/>
    <col min="6169" max="6169" width="11" style="15" customWidth="1"/>
    <col min="6170" max="6170" width="10.77734375" style="15" customWidth="1"/>
    <col min="6171" max="6171" width="11.44140625" style="15" customWidth="1"/>
    <col min="6172" max="6172" width="4" style="15" customWidth="1"/>
    <col min="6173" max="6363" width="9.6640625" style="15"/>
    <col min="6364" max="6364" width="6.44140625" style="15" customWidth="1"/>
    <col min="6365" max="6365" width="13.88671875" style="15" customWidth="1"/>
    <col min="6366" max="6366" width="14.33203125" style="15" customWidth="1"/>
    <col min="6367" max="6383" width="9.6640625" style="15"/>
    <col min="6384" max="6384" width="12" style="15" customWidth="1"/>
    <col min="6385" max="6385" width="12.77734375" style="15" customWidth="1"/>
    <col min="6386" max="6386" width="11.109375" style="15" customWidth="1"/>
    <col min="6387" max="6387" width="12" style="15" customWidth="1"/>
    <col min="6388" max="6388" width="9.6640625" style="15"/>
    <col min="6389" max="6389" width="15.33203125" style="15" customWidth="1"/>
    <col min="6390" max="6390" width="15.21875" style="15" customWidth="1"/>
    <col min="6391" max="6391" width="21.44140625" style="15" customWidth="1"/>
    <col min="6392" max="6407" width="9.6640625" style="15"/>
    <col min="6408" max="6409" width="13.44140625" style="15" customWidth="1"/>
    <col min="6410" max="6410" width="9.6640625" style="15"/>
    <col min="6411" max="6411" width="13.88671875" style="15" customWidth="1"/>
    <col min="6412" max="6412" width="10.6640625" style="15" customWidth="1"/>
    <col min="6413" max="6413" width="17.33203125" style="15" customWidth="1"/>
    <col min="6414" max="6415" width="12.6640625" style="15" customWidth="1"/>
    <col min="6416" max="6416" width="11.21875" style="15" customWidth="1"/>
    <col min="6417" max="6417" width="18.33203125" style="15" customWidth="1"/>
    <col min="6418" max="6418" width="12.88671875" style="15" customWidth="1"/>
    <col min="6419" max="6420" width="13.21875" style="15" customWidth="1"/>
    <col min="6421" max="6421" width="10.88671875" style="15" customWidth="1"/>
    <col min="6422" max="6422" width="11.109375" style="15" customWidth="1"/>
    <col min="6423" max="6423" width="15.21875" style="15" customWidth="1"/>
    <col min="6424" max="6424" width="9.6640625" style="15"/>
    <col min="6425" max="6425" width="11" style="15" customWidth="1"/>
    <col min="6426" max="6426" width="10.77734375" style="15" customWidth="1"/>
    <col min="6427" max="6427" width="11.44140625" style="15" customWidth="1"/>
    <col min="6428" max="6428" width="4" style="15" customWidth="1"/>
    <col min="6429" max="6619" width="9.6640625" style="15"/>
    <col min="6620" max="6620" width="6.44140625" style="15" customWidth="1"/>
    <col min="6621" max="6621" width="13.88671875" style="15" customWidth="1"/>
    <col min="6622" max="6622" width="14.33203125" style="15" customWidth="1"/>
    <col min="6623" max="6639" width="9.6640625" style="15"/>
    <col min="6640" max="6640" width="12" style="15" customWidth="1"/>
    <col min="6641" max="6641" width="12.77734375" style="15" customWidth="1"/>
    <col min="6642" max="6642" width="11.109375" style="15" customWidth="1"/>
    <col min="6643" max="6643" width="12" style="15" customWidth="1"/>
    <col min="6644" max="6644" width="9.6640625" style="15"/>
    <col min="6645" max="6645" width="15.33203125" style="15" customWidth="1"/>
    <col min="6646" max="6646" width="15.21875" style="15" customWidth="1"/>
    <col min="6647" max="6647" width="21.44140625" style="15" customWidth="1"/>
    <col min="6648" max="6663" width="9.6640625" style="15"/>
    <col min="6664" max="6665" width="13.44140625" style="15" customWidth="1"/>
    <col min="6666" max="6666" width="9.6640625" style="15"/>
    <col min="6667" max="6667" width="13.88671875" style="15" customWidth="1"/>
    <col min="6668" max="6668" width="10.6640625" style="15" customWidth="1"/>
    <col min="6669" max="6669" width="17.33203125" style="15" customWidth="1"/>
    <col min="6670" max="6671" width="12.6640625" style="15" customWidth="1"/>
    <col min="6672" max="6672" width="11.21875" style="15" customWidth="1"/>
    <col min="6673" max="6673" width="18.33203125" style="15" customWidth="1"/>
    <col min="6674" max="6674" width="12.88671875" style="15" customWidth="1"/>
    <col min="6675" max="6676" width="13.21875" style="15" customWidth="1"/>
    <col min="6677" max="6677" width="10.88671875" style="15" customWidth="1"/>
    <col min="6678" max="6678" width="11.109375" style="15" customWidth="1"/>
    <col min="6679" max="6679" width="15.21875" style="15" customWidth="1"/>
    <col min="6680" max="6680" width="9.6640625" style="15"/>
    <col min="6681" max="6681" width="11" style="15" customWidth="1"/>
    <col min="6682" max="6682" width="10.77734375" style="15" customWidth="1"/>
    <col min="6683" max="6683" width="11.44140625" style="15" customWidth="1"/>
    <col min="6684" max="6684" width="4" style="15" customWidth="1"/>
    <col min="6685" max="6875" width="9.6640625" style="15"/>
    <col min="6876" max="6876" width="6.44140625" style="15" customWidth="1"/>
    <col min="6877" max="6877" width="13.88671875" style="15" customWidth="1"/>
    <col min="6878" max="6878" width="14.33203125" style="15" customWidth="1"/>
    <col min="6879" max="6895" width="9.6640625" style="15"/>
    <col min="6896" max="6896" width="12" style="15" customWidth="1"/>
    <col min="6897" max="6897" width="12.77734375" style="15" customWidth="1"/>
    <col min="6898" max="6898" width="11.109375" style="15" customWidth="1"/>
    <col min="6899" max="6899" width="12" style="15" customWidth="1"/>
    <col min="6900" max="6900" width="9.6640625" style="15"/>
    <col min="6901" max="6901" width="15.33203125" style="15" customWidth="1"/>
    <col min="6902" max="6902" width="15.21875" style="15" customWidth="1"/>
    <col min="6903" max="6903" width="21.44140625" style="15" customWidth="1"/>
    <col min="6904" max="6919" width="9.6640625" style="15"/>
    <col min="6920" max="6921" width="13.44140625" style="15" customWidth="1"/>
    <col min="6922" max="6922" width="9.6640625" style="15"/>
    <col min="6923" max="6923" width="13.88671875" style="15" customWidth="1"/>
    <col min="6924" max="6924" width="10.6640625" style="15" customWidth="1"/>
    <col min="6925" max="6925" width="17.33203125" style="15" customWidth="1"/>
    <col min="6926" max="6927" width="12.6640625" style="15" customWidth="1"/>
    <col min="6928" max="6928" width="11.21875" style="15" customWidth="1"/>
    <col min="6929" max="6929" width="18.33203125" style="15" customWidth="1"/>
    <col min="6930" max="6930" width="12.88671875" style="15" customWidth="1"/>
    <col min="6931" max="6932" width="13.21875" style="15" customWidth="1"/>
    <col min="6933" max="6933" width="10.88671875" style="15" customWidth="1"/>
    <col min="6934" max="6934" width="11.109375" style="15" customWidth="1"/>
    <col min="6935" max="6935" width="15.21875" style="15" customWidth="1"/>
    <col min="6936" max="6936" width="9.6640625" style="15"/>
    <col min="6937" max="6937" width="11" style="15" customWidth="1"/>
    <col min="6938" max="6938" width="10.77734375" style="15" customWidth="1"/>
    <col min="6939" max="6939" width="11.44140625" style="15" customWidth="1"/>
    <col min="6940" max="6940" width="4" style="15" customWidth="1"/>
    <col min="6941" max="7131" width="9.6640625" style="15"/>
    <col min="7132" max="7132" width="6.44140625" style="15" customWidth="1"/>
    <col min="7133" max="7133" width="13.88671875" style="15" customWidth="1"/>
    <col min="7134" max="7134" width="14.33203125" style="15" customWidth="1"/>
    <col min="7135" max="7151" width="9.6640625" style="15"/>
    <col min="7152" max="7152" width="12" style="15" customWidth="1"/>
    <col min="7153" max="7153" width="12.77734375" style="15" customWidth="1"/>
    <col min="7154" max="7154" width="11.109375" style="15" customWidth="1"/>
    <col min="7155" max="7155" width="12" style="15" customWidth="1"/>
    <col min="7156" max="7156" width="9.6640625" style="15"/>
    <col min="7157" max="7157" width="15.33203125" style="15" customWidth="1"/>
    <col min="7158" max="7158" width="15.21875" style="15" customWidth="1"/>
    <col min="7159" max="7159" width="21.44140625" style="15" customWidth="1"/>
    <col min="7160" max="7175" width="9.6640625" style="15"/>
    <col min="7176" max="7177" width="13.44140625" style="15" customWidth="1"/>
    <col min="7178" max="7178" width="9.6640625" style="15"/>
    <col min="7179" max="7179" width="13.88671875" style="15" customWidth="1"/>
    <col min="7180" max="7180" width="10.6640625" style="15" customWidth="1"/>
    <col min="7181" max="7181" width="17.33203125" style="15" customWidth="1"/>
    <col min="7182" max="7183" width="12.6640625" style="15" customWidth="1"/>
    <col min="7184" max="7184" width="11.21875" style="15" customWidth="1"/>
    <col min="7185" max="7185" width="18.33203125" style="15" customWidth="1"/>
    <col min="7186" max="7186" width="12.88671875" style="15" customWidth="1"/>
    <col min="7187" max="7188" width="13.21875" style="15" customWidth="1"/>
    <col min="7189" max="7189" width="10.88671875" style="15" customWidth="1"/>
    <col min="7190" max="7190" width="11.109375" style="15" customWidth="1"/>
    <col min="7191" max="7191" width="15.21875" style="15" customWidth="1"/>
    <col min="7192" max="7192" width="9.6640625" style="15"/>
    <col min="7193" max="7193" width="11" style="15" customWidth="1"/>
    <col min="7194" max="7194" width="10.77734375" style="15" customWidth="1"/>
    <col min="7195" max="7195" width="11.44140625" style="15" customWidth="1"/>
    <col min="7196" max="7196" width="4" style="15" customWidth="1"/>
    <col min="7197" max="7387" width="9.6640625" style="15"/>
    <col min="7388" max="7388" width="6.44140625" style="15" customWidth="1"/>
    <col min="7389" max="7389" width="13.88671875" style="15" customWidth="1"/>
    <col min="7390" max="7390" width="14.33203125" style="15" customWidth="1"/>
    <col min="7391" max="7407" width="9.6640625" style="15"/>
    <col min="7408" max="7408" width="12" style="15" customWidth="1"/>
    <col min="7409" max="7409" width="12.77734375" style="15" customWidth="1"/>
    <col min="7410" max="7410" width="11.109375" style="15" customWidth="1"/>
    <col min="7411" max="7411" width="12" style="15" customWidth="1"/>
    <col min="7412" max="7412" width="9.6640625" style="15"/>
    <col min="7413" max="7413" width="15.33203125" style="15" customWidth="1"/>
    <col min="7414" max="7414" width="15.21875" style="15" customWidth="1"/>
    <col min="7415" max="7415" width="21.44140625" style="15" customWidth="1"/>
    <col min="7416" max="7431" width="9.6640625" style="15"/>
    <col min="7432" max="7433" width="13.44140625" style="15" customWidth="1"/>
    <col min="7434" max="7434" width="9.6640625" style="15"/>
    <col min="7435" max="7435" width="13.88671875" style="15" customWidth="1"/>
    <col min="7436" max="7436" width="10.6640625" style="15" customWidth="1"/>
    <col min="7437" max="7437" width="17.33203125" style="15" customWidth="1"/>
    <col min="7438" max="7439" width="12.6640625" style="15" customWidth="1"/>
    <col min="7440" max="7440" width="11.21875" style="15" customWidth="1"/>
    <col min="7441" max="7441" width="18.33203125" style="15" customWidth="1"/>
    <col min="7442" max="7442" width="12.88671875" style="15" customWidth="1"/>
    <col min="7443" max="7444" width="13.21875" style="15" customWidth="1"/>
    <col min="7445" max="7445" width="10.88671875" style="15" customWidth="1"/>
    <col min="7446" max="7446" width="11.109375" style="15" customWidth="1"/>
    <col min="7447" max="7447" width="15.21875" style="15" customWidth="1"/>
    <col min="7448" max="7448" width="9.6640625" style="15"/>
    <col min="7449" max="7449" width="11" style="15" customWidth="1"/>
    <col min="7450" max="7450" width="10.77734375" style="15" customWidth="1"/>
    <col min="7451" max="7451" width="11.44140625" style="15" customWidth="1"/>
    <col min="7452" max="7452" width="4" style="15" customWidth="1"/>
    <col min="7453" max="7643" width="9.6640625" style="15"/>
    <col min="7644" max="7644" width="6.44140625" style="15" customWidth="1"/>
    <col min="7645" max="7645" width="13.88671875" style="15" customWidth="1"/>
    <col min="7646" max="7646" width="14.33203125" style="15" customWidth="1"/>
    <col min="7647" max="7663" width="9.6640625" style="15"/>
    <col min="7664" max="7664" width="12" style="15" customWidth="1"/>
    <col min="7665" max="7665" width="12.77734375" style="15" customWidth="1"/>
    <col min="7666" max="7666" width="11.109375" style="15" customWidth="1"/>
    <col min="7667" max="7667" width="12" style="15" customWidth="1"/>
    <col min="7668" max="7668" width="9.6640625" style="15"/>
    <col min="7669" max="7669" width="15.33203125" style="15" customWidth="1"/>
    <col min="7670" max="7670" width="15.21875" style="15" customWidth="1"/>
    <col min="7671" max="7671" width="21.44140625" style="15" customWidth="1"/>
    <col min="7672" max="7687" width="9.6640625" style="15"/>
    <col min="7688" max="7689" width="13.44140625" style="15" customWidth="1"/>
    <col min="7690" max="7690" width="9.6640625" style="15"/>
    <col min="7691" max="7691" width="13.88671875" style="15" customWidth="1"/>
    <col min="7692" max="7692" width="10.6640625" style="15" customWidth="1"/>
    <col min="7693" max="7693" width="17.33203125" style="15" customWidth="1"/>
    <col min="7694" max="7695" width="12.6640625" style="15" customWidth="1"/>
    <col min="7696" max="7696" width="11.21875" style="15" customWidth="1"/>
    <col min="7697" max="7697" width="18.33203125" style="15" customWidth="1"/>
    <col min="7698" max="7698" width="12.88671875" style="15" customWidth="1"/>
    <col min="7699" max="7700" width="13.21875" style="15" customWidth="1"/>
    <col min="7701" max="7701" width="10.88671875" style="15" customWidth="1"/>
    <col min="7702" max="7702" width="11.109375" style="15" customWidth="1"/>
    <col min="7703" max="7703" width="15.21875" style="15" customWidth="1"/>
    <col min="7704" max="7704" width="9.6640625" style="15"/>
    <col min="7705" max="7705" width="11" style="15" customWidth="1"/>
    <col min="7706" max="7706" width="10.77734375" style="15" customWidth="1"/>
    <col min="7707" max="7707" width="11.44140625" style="15" customWidth="1"/>
    <col min="7708" max="7708" width="4" style="15" customWidth="1"/>
    <col min="7709" max="7899" width="9.6640625" style="15"/>
    <col min="7900" max="7900" width="6.44140625" style="15" customWidth="1"/>
    <col min="7901" max="7901" width="13.88671875" style="15" customWidth="1"/>
    <col min="7902" max="7902" width="14.33203125" style="15" customWidth="1"/>
    <col min="7903" max="7919" width="9.6640625" style="15"/>
    <col min="7920" max="7920" width="12" style="15" customWidth="1"/>
    <col min="7921" max="7921" width="12.77734375" style="15" customWidth="1"/>
    <col min="7922" max="7922" width="11.109375" style="15" customWidth="1"/>
    <col min="7923" max="7923" width="12" style="15" customWidth="1"/>
    <col min="7924" max="7924" width="9.6640625" style="15"/>
    <col min="7925" max="7925" width="15.33203125" style="15" customWidth="1"/>
    <col min="7926" max="7926" width="15.21875" style="15" customWidth="1"/>
    <col min="7927" max="7927" width="21.44140625" style="15" customWidth="1"/>
    <col min="7928" max="7943" width="9.6640625" style="15"/>
    <col min="7944" max="7945" width="13.44140625" style="15" customWidth="1"/>
    <col min="7946" max="7946" width="9.6640625" style="15"/>
    <col min="7947" max="7947" width="13.88671875" style="15" customWidth="1"/>
    <col min="7948" max="7948" width="10.6640625" style="15" customWidth="1"/>
    <col min="7949" max="7949" width="17.33203125" style="15" customWidth="1"/>
    <col min="7950" max="7951" width="12.6640625" style="15" customWidth="1"/>
    <col min="7952" max="7952" width="11.21875" style="15" customWidth="1"/>
    <col min="7953" max="7953" width="18.33203125" style="15" customWidth="1"/>
    <col min="7954" max="7954" width="12.88671875" style="15" customWidth="1"/>
    <col min="7955" max="7956" width="13.21875" style="15" customWidth="1"/>
    <col min="7957" max="7957" width="10.88671875" style="15" customWidth="1"/>
    <col min="7958" max="7958" width="11.109375" style="15" customWidth="1"/>
    <col min="7959" max="7959" width="15.21875" style="15" customWidth="1"/>
    <col min="7960" max="7960" width="9.6640625" style="15"/>
    <col min="7961" max="7961" width="11" style="15" customWidth="1"/>
    <col min="7962" max="7962" width="10.77734375" style="15" customWidth="1"/>
    <col min="7963" max="7963" width="11.44140625" style="15" customWidth="1"/>
    <col min="7964" max="7964" width="4" style="15" customWidth="1"/>
    <col min="7965" max="8155" width="9.6640625" style="15"/>
    <col min="8156" max="8156" width="6.44140625" style="15" customWidth="1"/>
    <col min="8157" max="8157" width="13.88671875" style="15" customWidth="1"/>
    <col min="8158" max="8158" width="14.33203125" style="15" customWidth="1"/>
    <col min="8159" max="8175" width="9.6640625" style="15"/>
    <col min="8176" max="8176" width="12" style="15" customWidth="1"/>
    <col min="8177" max="8177" width="12.77734375" style="15" customWidth="1"/>
    <col min="8178" max="8178" width="11.109375" style="15" customWidth="1"/>
    <col min="8179" max="8179" width="12" style="15" customWidth="1"/>
    <col min="8180" max="8180" width="9.6640625" style="15"/>
    <col min="8181" max="8181" width="15.33203125" style="15" customWidth="1"/>
    <col min="8182" max="8182" width="15.21875" style="15" customWidth="1"/>
    <col min="8183" max="8183" width="21.44140625" style="15" customWidth="1"/>
    <col min="8184" max="8199" width="9.6640625" style="15"/>
    <col min="8200" max="8201" width="13.44140625" style="15" customWidth="1"/>
    <col min="8202" max="8202" width="9.6640625" style="15"/>
    <col min="8203" max="8203" width="13.88671875" style="15" customWidth="1"/>
    <col min="8204" max="8204" width="10.6640625" style="15" customWidth="1"/>
    <col min="8205" max="8205" width="17.33203125" style="15" customWidth="1"/>
    <col min="8206" max="8207" width="12.6640625" style="15" customWidth="1"/>
    <col min="8208" max="8208" width="11.21875" style="15" customWidth="1"/>
    <col min="8209" max="8209" width="18.33203125" style="15" customWidth="1"/>
    <col min="8210" max="8210" width="12.88671875" style="15" customWidth="1"/>
    <col min="8211" max="8212" width="13.21875" style="15" customWidth="1"/>
    <col min="8213" max="8213" width="10.88671875" style="15" customWidth="1"/>
    <col min="8214" max="8214" width="11.109375" style="15" customWidth="1"/>
    <col min="8215" max="8215" width="15.21875" style="15" customWidth="1"/>
    <col min="8216" max="8216" width="9.6640625" style="15"/>
    <col min="8217" max="8217" width="11" style="15" customWidth="1"/>
    <col min="8218" max="8218" width="10.77734375" style="15" customWidth="1"/>
    <col min="8219" max="8219" width="11.44140625" style="15" customWidth="1"/>
    <col min="8220" max="8220" width="4" style="15" customWidth="1"/>
    <col min="8221" max="8411" width="9.6640625" style="15"/>
    <col min="8412" max="8412" width="6.44140625" style="15" customWidth="1"/>
    <col min="8413" max="8413" width="13.88671875" style="15" customWidth="1"/>
    <col min="8414" max="8414" width="14.33203125" style="15" customWidth="1"/>
    <col min="8415" max="8431" width="9.6640625" style="15"/>
    <col min="8432" max="8432" width="12" style="15" customWidth="1"/>
    <col min="8433" max="8433" width="12.77734375" style="15" customWidth="1"/>
    <col min="8434" max="8434" width="11.109375" style="15" customWidth="1"/>
    <col min="8435" max="8435" width="12" style="15" customWidth="1"/>
    <col min="8436" max="8436" width="9.6640625" style="15"/>
    <col min="8437" max="8437" width="15.33203125" style="15" customWidth="1"/>
    <col min="8438" max="8438" width="15.21875" style="15" customWidth="1"/>
    <col min="8439" max="8439" width="21.44140625" style="15" customWidth="1"/>
    <col min="8440" max="8455" width="9.6640625" style="15"/>
    <col min="8456" max="8457" width="13.44140625" style="15" customWidth="1"/>
    <col min="8458" max="8458" width="9.6640625" style="15"/>
    <col min="8459" max="8459" width="13.88671875" style="15" customWidth="1"/>
    <col min="8460" max="8460" width="10.6640625" style="15" customWidth="1"/>
    <col min="8461" max="8461" width="17.33203125" style="15" customWidth="1"/>
    <col min="8462" max="8463" width="12.6640625" style="15" customWidth="1"/>
    <col min="8464" max="8464" width="11.21875" style="15" customWidth="1"/>
    <col min="8465" max="8465" width="18.33203125" style="15" customWidth="1"/>
    <col min="8466" max="8466" width="12.88671875" style="15" customWidth="1"/>
    <col min="8467" max="8468" width="13.21875" style="15" customWidth="1"/>
    <col min="8469" max="8469" width="10.88671875" style="15" customWidth="1"/>
    <col min="8470" max="8470" width="11.109375" style="15" customWidth="1"/>
    <col min="8471" max="8471" width="15.21875" style="15" customWidth="1"/>
    <col min="8472" max="8472" width="9.6640625" style="15"/>
    <col min="8473" max="8473" width="11" style="15" customWidth="1"/>
    <col min="8474" max="8474" width="10.77734375" style="15" customWidth="1"/>
    <col min="8475" max="8475" width="11.44140625" style="15" customWidth="1"/>
    <col min="8476" max="8476" width="4" style="15" customWidth="1"/>
    <col min="8477" max="8667" width="9.6640625" style="15"/>
    <col min="8668" max="8668" width="6.44140625" style="15" customWidth="1"/>
    <col min="8669" max="8669" width="13.88671875" style="15" customWidth="1"/>
    <col min="8670" max="8670" width="14.33203125" style="15" customWidth="1"/>
    <col min="8671" max="8687" width="9.6640625" style="15"/>
    <col min="8688" max="8688" width="12" style="15" customWidth="1"/>
    <col min="8689" max="8689" width="12.77734375" style="15" customWidth="1"/>
    <col min="8690" max="8690" width="11.109375" style="15" customWidth="1"/>
    <col min="8691" max="8691" width="12" style="15" customWidth="1"/>
    <col min="8692" max="8692" width="9.6640625" style="15"/>
    <col min="8693" max="8693" width="15.33203125" style="15" customWidth="1"/>
    <col min="8694" max="8694" width="15.21875" style="15" customWidth="1"/>
    <col min="8695" max="8695" width="21.44140625" style="15" customWidth="1"/>
    <col min="8696" max="8711" width="9.6640625" style="15"/>
    <col min="8712" max="8713" width="13.44140625" style="15" customWidth="1"/>
    <col min="8714" max="8714" width="9.6640625" style="15"/>
    <col min="8715" max="8715" width="13.88671875" style="15" customWidth="1"/>
    <col min="8716" max="8716" width="10.6640625" style="15" customWidth="1"/>
    <col min="8717" max="8717" width="17.33203125" style="15" customWidth="1"/>
    <col min="8718" max="8719" width="12.6640625" style="15" customWidth="1"/>
    <col min="8720" max="8720" width="11.21875" style="15" customWidth="1"/>
    <col min="8721" max="8721" width="18.33203125" style="15" customWidth="1"/>
    <col min="8722" max="8722" width="12.88671875" style="15" customWidth="1"/>
    <col min="8723" max="8724" width="13.21875" style="15" customWidth="1"/>
    <col min="8725" max="8725" width="10.88671875" style="15" customWidth="1"/>
    <col min="8726" max="8726" width="11.109375" style="15" customWidth="1"/>
    <col min="8727" max="8727" width="15.21875" style="15" customWidth="1"/>
    <col min="8728" max="8728" width="9.6640625" style="15"/>
    <col min="8729" max="8729" width="11" style="15" customWidth="1"/>
    <col min="8730" max="8730" width="10.77734375" style="15" customWidth="1"/>
    <col min="8731" max="8731" width="11.44140625" style="15" customWidth="1"/>
    <col min="8732" max="8732" width="4" style="15" customWidth="1"/>
    <col min="8733" max="8923" width="9.6640625" style="15"/>
    <col min="8924" max="8924" width="6.44140625" style="15" customWidth="1"/>
    <col min="8925" max="8925" width="13.88671875" style="15" customWidth="1"/>
    <col min="8926" max="8926" width="14.33203125" style="15" customWidth="1"/>
    <col min="8927" max="8943" width="9.6640625" style="15"/>
    <col min="8944" max="8944" width="12" style="15" customWidth="1"/>
    <col min="8945" max="8945" width="12.77734375" style="15" customWidth="1"/>
    <col min="8946" max="8946" width="11.109375" style="15" customWidth="1"/>
    <col min="8947" max="8947" width="12" style="15" customWidth="1"/>
    <col min="8948" max="8948" width="9.6640625" style="15"/>
    <col min="8949" max="8949" width="15.33203125" style="15" customWidth="1"/>
    <col min="8950" max="8950" width="15.21875" style="15" customWidth="1"/>
    <col min="8951" max="8951" width="21.44140625" style="15" customWidth="1"/>
    <col min="8952" max="8967" width="9.6640625" style="15"/>
    <col min="8968" max="8969" width="13.44140625" style="15" customWidth="1"/>
    <col min="8970" max="8970" width="9.6640625" style="15"/>
    <col min="8971" max="8971" width="13.88671875" style="15" customWidth="1"/>
    <col min="8972" max="8972" width="10.6640625" style="15" customWidth="1"/>
    <col min="8973" max="8973" width="17.33203125" style="15" customWidth="1"/>
    <col min="8974" max="8975" width="12.6640625" style="15" customWidth="1"/>
    <col min="8976" max="8976" width="11.21875" style="15" customWidth="1"/>
    <col min="8977" max="8977" width="18.33203125" style="15" customWidth="1"/>
    <col min="8978" max="8978" width="12.88671875" style="15" customWidth="1"/>
    <col min="8979" max="8980" width="13.21875" style="15" customWidth="1"/>
    <col min="8981" max="8981" width="10.88671875" style="15" customWidth="1"/>
    <col min="8982" max="8982" width="11.109375" style="15" customWidth="1"/>
    <col min="8983" max="8983" width="15.21875" style="15" customWidth="1"/>
    <col min="8984" max="8984" width="9.6640625" style="15"/>
    <col min="8985" max="8985" width="11" style="15" customWidth="1"/>
    <col min="8986" max="8986" width="10.77734375" style="15" customWidth="1"/>
    <col min="8987" max="8987" width="11.44140625" style="15" customWidth="1"/>
    <col min="8988" max="8988" width="4" style="15" customWidth="1"/>
    <col min="8989" max="9179" width="9.6640625" style="15"/>
    <col min="9180" max="9180" width="6.44140625" style="15" customWidth="1"/>
    <col min="9181" max="9181" width="13.88671875" style="15" customWidth="1"/>
    <col min="9182" max="9182" width="14.33203125" style="15" customWidth="1"/>
    <col min="9183" max="9199" width="9.6640625" style="15"/>
    <col min="9200" max="9200" width="12" style="15" customWidth="1"/>
    <col min="9201" max="9201" width="12.77734375" style="15" customWidth="1"/>
    <col min="9202" max="9202" width="11.109375" style="15" customWidth="1"/>
    <col min="9203" max="9203" width="12" style="15" customWidth="1"/>
    <col min="9204" max="9204" width="9.6640625" style="15"/>
    <col min="9205" max="9205" width="15.33203125" style="15" customWidth="1"/>
    <col min="9206" max="9206" width="15.21875" style="15" customWidth="1"/>
    <col min="9207" max="9207" width="21.44140625" style="15" customWidth="1"/>
    <col min="9208" max="9223" width="9.6640625" style="15"/>
    <col min="9224" max="9225" width="13.44140625" style="15" customWidth="1"/>
    <col min="9226" max="9226" width="9.6640625" style="15"/>
    <col min="9227" max="9227" width="13.88671875" style="15" customWidth="1"/>
    <col min="9228" max="9228" width="10.6640625" style="15" customWidth="1"/>
    <col min="9229" max="9229" width="17.33203125" style="15" customWidth="1"/>
    <col min="9230" max="9231" width="12.6640625" style="15" customWidth="1"/>
    <col min="9232" max="9232" width="11.21875" style="15" customWidth="1"/>
    <col min="9233" max="9233" width="18.33203125" style="15" customWidth="1"/>
    <col min="9234" max="9234" width="12.88671875" style="15" customWidth="1"/>
    <col min="9235" max="9236" width="13.21875" style="15" customWidth="1"/>
    <col min="9237" max="9237" width="10.88671875" style="15" customWidth="1"/>
    <col min="9238" max="9238" width="11.109375" style="15" customWidth="1"/>
    <col min="9239" max="9239" width="15.21875" style="15" customWidth="1"/>
    <col min="9240" max="9240" width="9.6640625" style="15"/>
    <col min="9241" max="9241" width="11" style="15" customWidth="1"/>
    <col min="9242" max="9242" width="10.77734375" style="15" customWidth="1"/>
    <col min="9243" max="9243" width="11.44140625" style="15" customWidth="1"/>
    <col min="9244" max="9244" width="4" style="15" customWidth="1"/>
    <col min="9245" max="9435" width="9.6640625" style="15"/>
    <col min="9436" max="9436" width="6.44140625" style="15" customWidth="1"/>
    <col min="9437" max="9437" width="13.88671875" style="15" customWidth="1"/>
    <col min="9438" max="9438" width="14.33203125" style="15" customWidth="1"/>
    <col min="9439" max="9455" width="9.6640625" style="15"/>
    <col min="9456" max="9456" width="12" style="15" customWidth="1"/>
    <col min="9457" max="9457" width="12.77734375" style="15" customWidth="1"/>
    <col min="9458" max="9458" width="11.109375" style="15" customWidth="1"/>
    <col min="9459" max="9459" width="12" style="15" customWidth="1"/>
    <col min="9460" max="9460" width="9.6640625" style="15"/>
    <col min="9461" max="9461" width="15.33203125" style="15" customWidth="1"/>
    <col min="9462" max="9462" width="15.21875" style="15" customWidth="1"/>
    <col min="9463" max="9463" width="21.44140625" style="15" customWidth="1"/>
    <col min="9464" max="9479" width="9.6640625" style="15"/>
    <col min="9480" max="9481" width="13.44140625" style="15" customWidth="1"/>
    <col min="9482" max="9482" width="9.6640625" style="15"/>
    <col min="9483" max="9483" width="13.88671875" style="15" customWidth="1"/>
    <col min="9484" max="9484" width="10.6640625" style="15" customWidth="1"/>
    <col min="9485" max="9485" width="17.33203125" style="15" customWidth="1"/>
    <col min="9486" max="9487" width="12.6640625" style="15" customWidth="1"/>
    <col min="9488" max="9488" width="11.21875" style="15" customWidth="1"/>
    <col min="9489" max="9489" width="18.33203125" style="15" customWidth="1"/>
    <col min="9490" max="9490" width="12.88671875" style="15" customWidth="1"/>
    <col min="9491" max="9492" width="13.21875" style="15" customWidth="1"/>
    <col min="9493" max="9493" width="10.88671875" style="15" customWidth="1"/>
    <col min="9494" max="9494" width="11.109375" style="15" customWidth="1"/>
    <col min="9495" max="9495" width="15.21875" style="15" customWidth="1"/>
    <col min="9496" max="9496" width="9.6640625" style="15"/>
    <col min="9497" max="9497" width="11" style="15" customWidth="1"/>
    <col min="9498" max="9498" width="10.77734375" style="15" customWidth="1"/>
    <col min="9499" max="9499" width="11.44140625" style="15" customWidth="1"/>
    <col min="9500" max="9500" width="4" style="15" customWidth="1"/>
    <col min="9501" max="9691" width="9.6640625" style="15"/>
    <col min="9692" max="9692" width="6.44140625" style="15" customWidth="1"/>
    <col min="9693" max="9693" width="13.88671875" style="15" customWidth="1"/>
    <col min="9694" max="9694" width="14.33203125" style="15" customWidth="1"/>
    <col min="9695" max="9711" width="9.6640625" style="15"/>
    <col min="9712" max="9712" width="12" style="15" customWidth="1"/>
    <col min="9713" max="9713" width="12.77734375" style="15" customWidth="1"/>
    <col min="9714" max="9714" width="11.109375" style="15" customWidth="1"/>
    <col min="9715" max="9715" width="12" style="15" customWidth="1"/>
    <col min="9716" max="9716" width="9.6640625" style="15"/>
    <col min="9717" max="9717" width="15.33203125" style="15" customWidth="1"/>
    <col min="9718" max="9718" width="15.21875" style="15" customWidth="1"/>
    <col min="9719" max="9719" width="21.44140625" style="15" customWidth="1"/>
    <col min="9720" max="9735" width="9.6640625" style="15"/>
    <col min="9736" max="9737" width="13.44140625" style="15" customWidth="1"/>
    <col min="9738" max="9738" width="9.6640625" style="15"/>
    <col min="9739" max="9739" width="13.88671875" style="15" customWidth="1"/>
    <col min="9740" max="9740" width="10.6640625" style="15" customWidth="1"/>
    <col min="9741" max="9741" width="17.33203125" style="15" customWidth="1"/>
    <col min="9742" max="9743" width="12.6640625" style="15" customWidth="1"/>
    <col min="9744" max="9744" width="11.21875" style="15" customWidth="1"/>
    <col min="9745" max="9745" width="18.33203125" style="15" customWidth="1"/>
    <col min="9746" max="9746" width="12.88671875" style="15" customWidth="1"/>
    <col min="9747" max="9748" width="13.21875" style="15" customWidth="1"/>
    <col min="9749" max="9749" width="10.88671875" style="15" customWidth="1"/>
    <col min="9750" max="9750" width="11.109375" style="15" customWidth="1"/>
    <col min="9751" max="9751" width="15.21875" style="15" customWidth="1"/>
    <col min="9752" max="9752" width="9.6640625" style="15"/>
    <col min="9753" max="9753" width="11" style="15" customWidth="1"/>
    <col min="9754" max="9754" width="10.77734375" style="15" customWidth="1"/>
    <col min="9755" max="9755" width="11.44140625" style="15" customWidth="1"/>
    <col min="9756" max="9756" width="4" style="15" customWidth="1"/>
    <col min="9757" max="9947" width="9.6640625" style="15"/>
    <col min="9948" max="9948" width="6.44140625" style="15" customWidth="1"/>
    <col min="9949" max="9949" width="13.88671875" style="15" customWidth="1"/>
    <col min="9950" max="9950" width="14.33203125" style="15" customWidth="1"/>
    <col min="9951" max="9967" width="9.6640625" style="15"/>
    <col min="9968" max="9968" width="12" style="15" customWidth="1"/>
    <col min="9969" max="9969" width="12.77734375" style="15" customWidth="1"/>
    <col min="9970" max="9970" width="11.109375" style="15" customWidth="1"/>
    <col min="9971" max="9971" width="12" style="15" customWidth="1"/>
    <col min="9972" max="9972" width="9.6640625" style="15"/>
    <col min="9973" max="9973" width="15.33203125" style="15" customWidth="1"/>
    <col min="9974" max="9974" width="15.21875" style="15" customWidth="1"/>
    <col min="9975" max="9975" width="21.44140625" style="15" customWidth="1"/>
    <col min="9976" max="9991" width="9.6640625" style="15"/>
    <col min="9992" max="9993" width="13.44140625" style="15" customWidth="1"/>
    <col min="9994" max="9994" width="9.6640625" style="15"/>
    <col min="9995" max="9995" width="13.88671875" style="15" customWidth="1"/>
    <col min="9996" max="9996" width="10.6640625" style="15" customWidth="1"/>
    <col min="9997" max="9997" width="17.33203125" style="15" customWidth="1"/>
    <col min="9998" max="9999" width="12.6640625" style="15" customWidth="1"/>
    <col min="10000" max="10000" width="11.21875" style="15" customWidth="1"/>
    <col min="10001" max="10001" width="18.33203125" style="15" customWidth="1"/>
    <col min="10002" max="10002" width="12.88671875" style="15" customWidth="1"/>
    <col min="10003" max="10004" width="13.21875" style="15" customWidth="1"/>
    <col min="10005" max="10005" width="10.88671875" style="15" customWidth="1"/>
    <col min="10006" max="10006" width="11.109375" style="15" customWidth="1"/>
    <col min="10007" max="10007" width="15.21875" style="15" customWidth="1"/>
    <col min="10008" max="10008" width="9.6640625" style="15"/>
    <col min="10009" max="10009" width="11" style="15" customWidth="1"/>
    <col min="10010" max="10010" width="10.77734375" style="15" customWidth="1"/>
    <col min="10011" max="10011" width="11.44140625" style="15" customWidth="1"/>
    <col min="10012" max="10012" width="4" style="15" customWidth="1"/>
    <col min="10013" max="10203" width="9.6640625" style="15"/>
    <col min="10204" max="10204" width="6.44140625" style="15" customWidth="1"/>
    <col min="10205" max="10205" width="13.88671875" style="15" customWidth="1"/>
    <col min="10206" max="10206" width="14.33203125" style="15" customWidth="1"/>
    <col min="10207" max="10223" width="9.6640625" style="15"/>
    <col min="10224" max="10224" width="12" style="15" customWidth="1"/>
    <col min="10225" max="10225" width="12.77734375" style="15" customWidth="1"/>
    <col min="10226" max="10226" width="11.109375" style="15" customWidth="1"/>
    <col min="10227" max="10227" width="12" style="15" customWidth="1"/>
    <col min="10228" max="10228" width="9.6640625" style="15"/>
    <col min="10229" max="10229" width="15.33203125" style="15" customWidth="1"/>
    <col min="10230" max="10230" width="15.21875" style="15" customWidth="1"/>
    <col min="10231" max="10231" width="21.44140625" style="15" customWidth="1"/>
    <col min="10232" max="10247" width="9.6640625" style="15"/>
    <col min="10248" max="10249" width="13.44140625" style="15" customWidth="1"/>
    <col min="10250" max="10250" width="9.6640625" style="15"/>
    <col min="10251" max="10251" width="13.88671875" style="15" customWidth="1"/>
    <col min="10252" max="10252" width="10.6640625" style="15" customWidth="1"/>
    <col min="10253" max="10253" width="17.33203125" style="15" customWidth="1"/>
    <col min="10254" max="10255" width="12.6640625" style="15" customWidth="1"/>
    <col min="10256" max="10256" width="11.21875" style="15" customWidth="1"/>
    <col min="10257" max="10257" width="18.33203125" style="15" customWidth="1"/>
    <col min="10258" max="10258" width="12.88671875" style="15" customWidth="1"/>
    <col min="10259" max="10260" width="13.21875" style="15" customWidth="1"/>
    <col min="10261" max="10261" width="10.88671875" style="15" customWidth="1"/>
    <col min="10262" max="10262" width="11.109375" style="15" customWidth="1"/>
    <col min="10263" max="10263" width="15.21875" style="15" customWidth="1"/>
    <col min="10264" max="10264" width="9.6640625" style="15"/>
    <col min="10265" max="10265" width="11" style="15" customWidth="1"/>
    <col min="10266" max="10266" width="10.77734375" style="15" customWidth="1"/>
    <col min="10267" max="10267" width="11.44140625" style="15" customWidth="1"/>
    <col min="10268" max="10268" width="4" style="15" customWidth="1"/>
    <col min="10269" max="10459" width="9.6640625" style="15"/>
    <col min="10460" max="10460" width="6.44140625" style="15" customWidth="1"/>
    <col min="10461" max="10461" width="13.88671875" style="15" customWidth="1"/>
    <col min="10462" max="10462" width="14.33203125" style="15" customWidth="1"/>
    <col min="10463" max="10479" width="9.6640625" style="15"/>
    <col min="10480" max="10480" width="12" style="15" customWidth="1"/>
    <col min="10481" max="10481" width="12.77734375" style="15" customWidth="1"/>
    <col min="10482" max="10482" width="11.109375" style="15" customWidth="1"/>
    <col min="10483" max="10483" width="12" style="15" customWidth="1"/>
    <col min="10484" max="10484" width="9.6640625" style="15"/>
    <col min="10485" max="10485" width="15.33203125" style="15" customWidth="1"/>
    <col min="10486" max="10486" width="15.21875" style="15" customWidth="1"/>
    <col min="10487" max="10487" width="21.44140625" style="15" customWidth="1"/>
    <col min="10488" max="10503" width="9.6640625" style="15"/>
    <col min="10504" max="10505" width="13.44140625" style="15" customWidth="1"/>
    <col min="10506" max="10506" width="9.6640625" style="15"/>
    <col min="10507" max="10507" width="13.88671875" style="15" customWidth="1"/>
    <col min="10508" max="10508" width="10.6640625" style="15" customWidth="1"/>
    <col min="10509" max="10509" width="17.33203125" style="15" customWidth="1"/>
    <col min="10510" max="10511" width="12.6640625" style="15" customWidth="1"/>
    <col min="10512" max="10512" width="11.21875" style="15" customWidth="1"/>
    <col min="10513" max="10513" width="18.33203125" style="15" customWidth="1"/>
    <col min="10514" max="10514" width="12.88671875" style="15" customWidth="1"/>
    <col min="10515" max="10516" width="13.21875" style="15" customWidth="1"/>
    <col min="10517" max="10517" width="10.88671875" style="15" customWidth="1"/>
    <col min="10518" max="10518" width="11.109375" style="15" customWidth="1"/>
    <col min="10519" max="10519" width="15.21875" style="15" customWidth="1"/>
    <col min="10520" max="10520" width="9.6640625" style="15"/>
    <col min="10521" max="10521" width="11" style="15" customWidth="1"/>
    <col min="10522" max="10522" width="10.77734375" style="15" customWidth="1"/>
    <col min="10523" max="10523" width="11.44140625" style="15" customWidth="1"/>
    <col min="10524" max="10524" width="4" style="15" customWidth="1"/>
    <col min="10525" max="10715" width="9.6640625" style="15"/>
    <col min="10716" max="10716" width="6.44140625" style="15" customWidth="1"/>
    <col min="10717" max="10717" width="13.88671875" style="15" customWidth="1"/>
    <col min="10718" max="10718" width="14.33203125" style="15" customWidth="1"/>
    <col min="10719" max="10735" width="9.6640625" style="15"/>
    <col min="10736" max="10736" width="12" style="15" customWidth="1"/>
    <col min="10737" max="10737" width="12.77734375" style="15" customWidth="1"/>
    <col min="10738" max="10738" width="11.109375" style="15" customWidth="1"/>
    <col min="10739" max="10739" width="12" style="15" customWidth="1"/>
    <col min="10740" max="10740" width="9.6640625" style="15"/>
    <col min="10741" max="10741" width="15.33203125" style="15" customWidth="1"/>
    <col min="10742" max="10742" width="15.21875" style="15" customWidth="1"/>
    <col min="10743" max="10743" width="21.44140625" style="15" customWidth="1"/>
    <col min="10744" max="10759" width="9.6640625" style="15"/>
    <col min="10760" max="10761" width="13.44140625" style="15" customWidth="1"/>
    <col min="10762" max="10762" width="9.6640625" style="15"/>
    <col min="10763" max="10763" width="13.88671875" style="15" customWidth="1"/>
    <col min="10764" max="10764" width="10.6640625" style="15" customWidth="1"/>
    <col min="10765" max="10765" width="17.33203125" style="15" customWidth="1"/>
    <col min="10766" max="10767" width="12.6640625" style="15" customWidth="1"/>
    <col min="10768" max="10768" width="11.21875" style="15" customWidth="1"/>
    <col min="10769" max="10769" width="18.33203125" style="15" customWidth="1"/>
    <col min="10770" max="10770" width="12.88671875" style="15" customWidth="1"/>
    <col min="10771" max="10772" width="13.21875" style="15" customWidth="1"/>
    <col min="10773" max="10773" width="10.88671875" style="15" customWidth="1"/>
    <col min="10774" max="10774" width="11.109375" style="15" customWidth="1"/>
    <col min="10775" max="10775" width="15.21875" style="15" customWidth="1"/>
    <col min="10776" max="10776" width="9.6640625" style="15"/>
    <col min="10777" max="10777" width="11" style="15" customWidth="1"/>
    <col min="10778" max="10778" width="10.77734375" style="15" customWidth="1"/>
    <col min="10779" max="10779" width="11.44140625" style="15" customWidth="1"/>
    <col min="10780" max="10780" width="4" style="15" customWidth="1"/>
    <col min="10781" max="10971" width="9.6640625" style="15"/>
    <col min="10972" max="10972" width="6.44140625" style="15" customWidth="1"/>
    <col min="10973" max="10973" width="13.88671875" style="15" customWidth="1"/>
    <col min="10974" max="10974" width="14.33203125" style="15" customWidth="1"/>
    <col min="10975" max="10991" width="9.6640625" style="15"/>
    <col min="10992" max="10992" width="12" style="15" customWidth="1"/>
    <col min="10993" max="10993" width="12.77734375" style="15" customWidth="1"/>
    <col min="10994" max="10994" width="11.109375" style="15" customWidth="1"/>
    <col min="10995" max="10995" width="12" style="15" customWidth="1"/>
    <col min="10996" max="10996" width="9.6640625" style="15"/>
    <col min="10997" max="10997" width="15.33203125" style="15" customWidth="1"/>
    <col min="10998" max="10998" width="15.21875" style="15" customWidth="1"/>
    <col min="10999" max="10999" width="21.44140625" style="15" customWidth="1"/>
    <col min="11000" max="11015" width="9.6640625" style="15"/>
    <col min="11016" max="11017" width="13.44140625" style="15" customWidth="1"/>
    <col min="11018" max="11018" width="9.6640625" style="15"/>
    <col min="11019" max="11019" width="13.88671875" style="15" customWidth="1"/>
    <col min="11020" max="11020" width="10.6640625" style="15" customWidth="1"/>
    <col min="11021" max="11021" width="17.33203125" style="15" customWidth="1"/>
    <col min="11022" max="11023" width="12.6640625" style="15" customWidth="1"/>
    <col min="11024" max="11024" width="11.21875" style="15" customWidth="1"/>
    <col min="11025" max="11025" width="18.33203125" style="15" customWidth="1"/>
    <col min="11026" max="11026" width="12.88671875" style="15" customWidth="1"/>
    <col min="11027" max="11028" width="13.21875" style="15" customWidth="1"/>
    <col min="11029" max="11029" width="10.88671875" style="15" customWidth="1"/>
    <col min="11030" max="11030" width="11.109375" style="15" customWidth="1"/>
    <col min="11031" max="11031" width="15.21875" style="15" customWidth="1"/>
    <col min="11032" max="11032" width="9.6640625" style="15"/>
    <col min="11033" max="11033" width="11" style="15" customWidth="1"/>
    <col min="11034" max="11034" width="10.77734375" style="15" customWidth="1"/>
    <col min="11035" max="11035" width="11.44140625" style="15" customWidth="1"/>
    <col min="11036" max="11036" width="4" style="15" customWidth="1"/>
    <col min="11037" max="11227" width="9.6640625" style="15"/>
    <col min="11228" max="11228" width="6.44140625" style="15" customWidth="1"/>
    <col min="11229" max="11229" width="13.88671875" style="15" customWidth="1"/>
    <col min="11230" max="11230" width="14.33203125" style="15" customWidth="1"/>
    <col min="11231" max="11247" width="9.6640625" style="15"/>
    <col min="11248" max="11248" width="12" style="15" customWidth="1"/>
    <col min="11249" max="11249" width="12.77734375" style="15" customWidth="1"/>
    <col min="11250" max="11250" width="11.109375" style="15" customWidth="1"/>
    <col min="11251" max="11251" width="12" style="15" customWidth="1"/>
    <col min="11252" max="11252" width="9.6640625" style="15"/>
    <col min="11253" max="11253" width="15.33203125" style="15" customWidth="1"/>
    <col min="11254" max="11254" width="15.21875" style="15" customWidth="1"/>
    <col min="11255" max="11255" width="21.44140625" style="15" customWidth="1"/>
    <col min="11256" max="11271" width="9.6640625" style="15"/>
    <col min="11272" max="11273" width="13.44140625" style="15" customWidth="1"/>
    <col min="11274" max="11274" width="9.6640625" style="15"/>
    <col min="11275" max="11275" width="13.88671875" style="15" customWidth="1"/>
    <col min="11276" max="11276" width="10.6640625" style="15" customWidth="1"/>
    <col min="11277" max="11277" width="17.33203125" style="15" customWidth="1"/>
    <col min="11278" max="11279" width="12.6640625" style="15" customWidth="1"/>
    <col min="11280" max="11280" width="11.21875" style="15" customWidth="1"/>
    <col min="11281" max="11281" width="18.33203125" style="15" customWidth="1"/>
    <col min="11282" max="11282" width="12.88671875" style="15" customWidth="1"/>
    <col min="11283" max="11284" width="13.21875" style="15" customWidth="1"/>
    <col min="11285" max="11285" width="10.88671875" style="15" customWidth="1"/>
    <col min="11286" max="11286" width="11.109375" style="15" customWidth="1"/>
    <col min="11287" max="11287" width="15.21875" style="15" customWidth="1"/>
    <col min="11288" max="11288" width="9.6640625" style="15"/>
    <col min="11289" max="11289" width="11" style="15" customWidth="1"/>
    <col min="11290" max="11290" width="10.77734375" style="15" customWidth="1"/>
    <col min="11291" max="11291" width="11.44140625" style="15" customWidth="1"/>
    <col min="11292" max="11292" width="4" style="15" customWidth="1"/>
    <col min="11293" max="11483" width="9.6640625" style="15"/>
    <col min="11484" max="11484" width="6.44140625" style="15" customWidth="1"/>
    <col min="11485" max="11485" width="13.88671875" style="15" customWidth="1"/>
    <col min="11486" max="11486" width="14.33203125" style="15" customWidth="1"/>
    <col min="11487" max="11503" width="9.6640625" style="15"/>
    <col min="11504" max="11504" width="12" style="15" customWidth="1"/>
    <col min="11505" max="11505" width="12.77734375" style="15" customWidth="1"/>
    <col min="11506" max="11506" width="11.109375" style="15" customWidth="1"/>
    <col min="11507" max="11507" width="12" style="15" customWidth="1"/>
    <col min="11508" max="11508" width="9.6640625" style="15"/>
    <col min="11509" max="11509" width="15.33203125" style="15" customWidth="1"/>
    <col min="11510" max="11510" width="15.21875" style="15" customWidth="1"/>
    <col min="11511" max="11511" width="21.44140625" style="15" customWidth="1"/>
    <col min="11512" max="11527" width="9.6640625" style="15"/>
    <col min="11528" max="11529" width="13.44140625" style="15" customWidth="1"/>
    <col min="11530" max="11530" width="9.6640625" style="15"/>
    <col min="11531" max="11531" width="13.88671875" style="15" customWidth="1"/>
    <col min="11532" max="11532" width="10.6640625" style="15" customWidth="1"/>
    <col min="11533" max="11533" width="17.33203125" style="15" customWidth="1"/>
    <col min="11534" max="11535" width="12.6640625" style="15" customWidth="1"/>
    <col min="11536" max="11536" width="11.21875" style="15" customWidth="1"/>
    <col min="11537" max="11537" width="18.33203125" style="15" customWidth="1"/>
    <col min="11538" max="11538" width="12.88671875" style="15" customWidth="1"/>
    <col min="11539" max="11540" width="13.21875" style="15" customWidth="1"/>
    <col min="11541" max="11541" width="10.88671875" style="15" customWidth="1"/>
    <col min="11542" max="11542" width="11.109375" style="15" customWidth="1"/>
    <col min="11543" max="11543" width="15.21875" style="15" customWidth="1"/>
    <col min="11544" max="11544" width="9.6640625" style="15"/>
    <col min="11545" max="11545" width="11" style="15" customWidth="1"/>
    <col min="11546" max="11546" width="10.77734375" style="15" customWidth="1"/>
    <col min="11547" max="11547" width="11.44140625" style="15" customWidth="1"/>
    <col min="11548" max="11548" width="4" style="15" customWidth="1"/>
    <col min="11549" max="11739" width="9.6640625" style="15"/>
    <col min="11740" max="11740" width="6.44140625" style="15" customWidth="1"/>
    <col min="11741" max="11741" width="13.88671875" style="15" customWidth="1"/>
    <col min="11742" max="11742" width="14.33203125" style="15" customWidth="1"/>
    <col min="11743" max="11759" width="9.6640625" style="15"/>
    <col min="11760" max="11760" width="12" style="15" customWidth="1"/>
    <col min="11761" max="11761" width="12.77734375" style="15" customWidth="1"/>
    <col min="11762" max="11762" width="11.109375" style="15" customWidth="1"/>
    <col min="11763" max="11763" width="12" style="15" customWidth="1"/>
    <col min="11764" max="11764" width="9.6640625" style="15"/>
    <col min="11765" max="11765" width="15.33203125" style="15" customWidth="1"/>
    <col min="11766" max="11766" width="15.21875" style="15" customWidth="1"/>
    <col min="11767" max="11767" width="21.44140625" style="15" customWidth="1"/>
    <col min="11768" max="11783" width="9.6640625" style="15"/>
    <col min="11784" max="11785" width="13.44140625" style="15" customWidth="1"/>
    <col min="11786" max="11786" width="9.6640625" style="15"/>
    <col min="11787" max="11787" width="13.88671875" style="15" customWidth="1"/>
    <col min="11788" max="11788" width="10.6640625" style="15" customWidth="1"/>
    <col min="11789" max="11789" width="17.33203125" style="15" customWidth="1"/>
    <col min="11790" max="11791" width="12.6640625" style="15" customWidth="1"/>
    <col min="11792" max="11792" width="11.21875" style="15" customWidth="1"/>
    <col min="11793" max="11793" width="18.33203125" style="15" customWidth="1"/>
    <col min="11794" max="11794" width="12.88671875" style="15" customWidth="1"/>
    <col min="11795" max="11796" width="13.21875" style="15" customWidth="1"/>
    <col min="11797" max="11797" width="10.88671875" style="15" customWidth="1"/>
    <col min="11798" max="11798" width="11.109375" style="15" customWidth="1"/>
    <col min="11799" max="11799" width="15.21875" style="15" customWidth="1"/>
    <col min="11800" max="11800" width="9.6640625" style="15"/>
    <col min="11801" max="11801" width="11" style="15" customWidth="1"/>
    <col min="11802" max="11802" width="10.77734375" style="15" customWidth="1"/>
    <col min="11803" max="11803" width="11.44140625" style="15" customWidth="1"/>
    <col min="11804" max="11804" width="4" style="15" customWidth="1"/>
    <col min="11805" max="11995" width="9.6640625" style="15"/>
    <col min="11996" max="11996" width="6.44140625" style="15" customWidth="1"/>
    <col min="11997" max="11997" width="13.88671875" style="15" customWidth="1"/>
    <col min="11998" max="11998" width="14.33203125" style="15" customWidth="1"/>
    <col min="11999" max="12015" width="9.6640625" style="15"/>
    <col min="12016" max="12016" width="12" style="15" customWidth="1"/>
    <col min="12017" max="12017" width="12.77734375" style="15" customWidth="1"/>
    <col min="12018" max="12018" width="11.109375" style="15" customWidth="1"/>
    <col min="12019" max="12019" width="12" style="15" customWidth="1"/>
    <col min="12020" max="12020" width="9.6640625" style="15"/>
    <col min="12021" max="12021" width="15.33203125" style="15" customWidth="1"/>
    <col min="12022" max="12022" width="15.21875" style="15" customWidth="1"/>
    <col min="12023" max="12023" width="21.44140625" style="15" customWidth="1"/>
    <col min="12024" max="12039" width="9.6640625" style="15"/>
    <col min="12040" max="12041" width="13.44140625" style="15" customWidth="1"/>
    <col min="12042" max="12042" width="9.6640625" style="15"/>
    <col min="12043" max="12043" width="13.88671875" style="15" customWidth="1"/>
    <col min="12044" max="12044" width="10.6640625" style="15" customWidth="1"/>
    <col min="12045" max="12045" width="17.33203125" style="15" customWidth="1"/>
    <col min="12046" max="12047" width="12.6640625" style="15" customWidth="1"/>
    <col min="12048" max="12048" width="11.21875" style="15" customWidth="1"/>
    <col min="12049" max="12049" width="18.33203125" style="15" customWidth="1"/>
    <col min="12050" max="12050" width="12.88671875" style="15" customWidth="1"/>
    <col min="12051" max="12052" width="13.21875" style="15" customWidth="1"/>
    <col min="12053" max="12053" width="10.88671875" style="15" customWidth="1"/>
    <col min="12054" max="12054" width="11.109375" style="15" customWidth="1"/>
    <col min="12055" max="12055" width="15.21875" style="15" customWidth="1"/>
    <col min="12056" max="12056" width="9.6640625" style="15"/>
    <col min="12057" max="12057" width="11" style="15" customWidth="1"/>
    <col min="12058" max="12058" width="10.77734375" style="15" customWidth="1"/>
    <col min="12059" max="12059" width="11.44140625" style="15" customWidth="1"/>
    <col min="12060" max="12060" width="4" style="15" customWidth="1"/>
    <col min="12061" max="12251" width="9.6640625" style="15"/>
    <col min="12252" max="12252" width="6.44140625" style="15" customWidth="1"/>
    <col min="12253" max="12253" width="13.88671875" style="15" customWidth="1"/>
    <col min="12254" max="12254" width="14.33203125" style="15" customWidth="1"/>
    <col min="12255" max="12271" width="9.6640625" style="15"/>
    <col min="12272" max="12272" width="12" style="15" customWidth="1"/>
    <col min="12273" max="12273" width="12.77734375" style="15" customWidth="1"/>
    <col min="12274" max="12274" width="11.109375" style="15" customWidth="1"/>
    <col min="12275" max="12275" width="12" style="15" customWidth="1"/>
    <col min="12276" max="12276" width="9.6640625" style="15"/>
    <col min="12277" max="12277" width="15.33203125" style="15" customWidth="1"/>
    <col min="12278" max="12278" width="15.21875" style="15" customWidth="1"/>
    <col min="12279" max="12279" width="21.44140625" style="15" customWidth="1"/>
    <col min="12280" max="12295" width="9.6640625" style="15"/>
    <col min="12296" max="12297" width="13.44140625" style="15" customWidth="1"/>
    <col min="12298" max="12298" width="9.6640625" style="15"/>
    <col min="12299" max="12299" width="13.88671875" style="15" customWidth="1"/>
    <col min="12300" max="12300" width="10.6640625" style="15" customWidth="1"/>
    <col min="12301" max="12301" width="17.33203125" style="15" customWidth="1"/>
    <col min="12302" max="12303" width="12.6640625" style="15" customWidth="1"/>
    <col min="12304" max="12304" width="11.21875" style="15" customWidth="1"/>
    <col min="12305" max="12305" width="18.33203125" style="15" customWidth="1"/>
    <col min="12306" max="12306" width="12.88671875" style="15" customWidth="1"/>
    <col min="12307" max="12308" width="13.21875" style="15" customWidth="1"/>
    <col min="12309" max="12309" width="10.88671875" style="15" customWidth="1"/>
    <col min="12310" max="12310" width="11.109375" style="15" customWidth="1"/>
    <col min="12311" max="12311" width="15.21875" style="15" customWidth="1"/>
    <col min="12312" max="12312" width="9.6640625" style="15"/>
    <col min="12313" max="12313" width="11" style="15" customWidth="1"/>
    <col min="12314" max="12314" width="10.77734375" style="15" customWidth="1"/>
    <col min="12315" max="12315" width="11.44140625" style="15" customWidth="1"/>
    <col min="12316" max="12316" width="4" style="15" customWidth="1"/>
    <col min="12317" max="12507" width="9.6640625" style="15"/>
    <col min="12508" max="12508" width="6.44140625" style="15" customWidth="1"/>
    <col min="12509" max="12509" width="13.88671875" style="15" customWidth="1"/>
    <col min="12510" max="12510" width="14.33203125" style="15" customWidth="1"/>
    <col min="12511" max="12527" width="9.6640625" style="15"/>
    <col min="12528" max="12528" width="12" style="15" customWidth="1"/>
    <col min="12529" max="12529" width="12.77734375" style="15" customWidth="1"/>
    <col min="12530" max="12530" width="11.109375" style="15" customWidth="1"/>
    <col min="12531" max="12531" width="12" style="15" customWidth="1"/>
    <col min="12532" max="12532" width="9.6640625" style="15"/>
    <col min="12533" max="12533" width="15.33203125" style="15" customWidth="1"/>
    <col min="12534" max="12534" width="15.21875" style="15" customWidth="1"/>
    <col min="12535" max="12535" width="21.44140625" style="15" customWidth="1"/>
    <col min="12536" max="12551" width="9.6640625" style="15"/>
    <col min="12552" max="12553" width="13.44140625" style="15" customWidth="1"/>
    <col min="12554" max="12554" width="9.6640625" style="15"/>
    <col min="12555" max="12555" width="13.88671875" style="15" customWidth="1"/>
    <col min="12556" max="12556" width="10.6640625" style="15" customWidth="1"/>
    <col min="12557" max="12557" width="17.33203125" style="15" customWidth="1"/>
    <col min="12558" max="12559" width="12.6640625" style="15" customWidth="1"/>
    <col min="12560" max="12560" width="11.21875" style="15" customWidth="1"/>
    <col min="12561" max="12561" width="18.33203125" style="15" customWidth="1"/>
    <col min="12562" max="12562" width="12.88671875" style="15" customWidth="1"/>
    <col min="12563" max="12564" width="13.21875" style="15" customWidth="1"/>
    <col min="12565" max="12565" width="10.88671875" style="15" customWidth="1"/>
    <col min="12566" max="12566" width="11.109375" style="15" customWidth="1"/>
    <col min="12567" max="12567" width="15.21875" style="15" customWidth="1"/>
    <col min="12568" max="12568" width="9.6640625" style="15"/>
    <col min="12569" max="12569" width="11" style="15" customWidth="1"/>
    <col min="12570" max="12570" width="10.77734375" style="15" customWidth="1"/>
    <col min="12571" max="12571" width="11.44140625" style="15" customWidth="1"/>
    <col min="12572" max="12572" width="4" style="15" customWidth="1"/>
    <col min="12573" max="12763" width="9.6640625" style="15"/>
    <col min="12764" max="12764" width="6.44140625" style="15" customWidth="1"/>
    <col min="12765" max="12765" width="13.88671875" style="15" customWidth="1"/>
    <col min="12766" max="12766" width="14.33203125" style="15" customWidth="1"/>
    <col min="12767" max="12783" width="9.6640625" style="15"/>
    <col min="12784" max="12784" width="12" style="15" customWidth="1"/>
    <col min="12785" max="12785" width="12.77734375" style="15" customWidth="1"/>
    <col min="12786" max="12786" width="11.109375" style="15" customWidth="1"/>
    <col min="12787" max="12787" width="12" style="15" customWidth="1"/>
    <col min="12788" max="12788" width="9.6640625" style="15"/>
    <col min="12789" max="12789" width="15.33203125" style="15" customWidth="1"/>
    <col min="12790" max="12790" width="15.21875" style="15" customWidth="1"/>
    <col min="12791" max="12791" width="21.44140625" style="15" customWidth="1"/>
    <col min="12792" max="12807" width="9.6640625" style="15"/>
    <col min="12808" max="12809" width="13.44140625" style="15" customWidth="1"/>
    <col min="12810" max="12810" width="9.6640625" style="15"/>
    <col min="12811" max="12811" width="13.88671875" style="15" customWidth="1"/>
    <col min="12812" max="12812" width="10.6640625" style="15" customWidth="1"/>
    <col min="12813" max="12813" width="17.33203125" style="15" customWidth="1"/>
    <col min="12814" max="12815" width="12.6640625" style="15" customWidth="1"/>
    <col min="12816" max="12816" width="11.21875" style="15" customWidth="1"/>
    <col min="12817" max="12817" width="18.33203125" style="15" customWidth="1"/>
    <col min="12818" max="12818" width="12.88671875" style="15" customWidth="1"/>
    <col min="12819" max="12820" width="13.21875" style="15" customWidth="1"/>
    <col min="12821" max="12821" width="10.88671875" style="15" customWidth="1"/>
    <col min="12822" max="12822" width="11.109375" style="15" customWidth="1"/>
    <col min="12823" max="12823" width="15.21875" style="15" customWidth="1"/>
    <col min="12824" max="12824" width="9.6640625" style="15"/>
    <col min="12825" max="12825" width="11" style="15" customWidth="1"/>
    <col min="12826" max="12826" width="10.77734375" style="15" customWidth="1"/>
    <col min="12827" max="12827" width="11.44140625" style="15" customWidth="1"/>
    <col min="12828" max="12828" width="4" style="15" customWidth="1"/>
    <col min="12829" max="13019" width="9.6640625" style="15"/>
    <col min="13020" max="13020" width="6.44140625" style="15" customWidth="1"/>
    <col min="13021" max="13021" width="13.88671875" style="15" customWidth="1"/>
    <col min="13022" max="13022" width="14.33203125" style="15" customWidth="1"/>
    <col min="13023" max="13039" width="9.6640625" style="15"/>
    <col min="13040" max="13040" width="12" style="15" customWidth="1"/>
    <col min="13041" max="13041" width="12.77734375" style="15" customWidth="1"/>
    <col min="13042" max="13042" width="11.109375" style="15" customWidth="1"/>
    <col min="13043" max="13043" width="12" style="15" customWidth="1"/>
    <col min="13044" max="13044" width="9.6640625" style="15"/>
    <col min="13045" max="13045" width="15.33203125" style="15" customWidth="1"/>
    <col min="13046" max="13046" width="15.21875" style="15" customWidth="1"/>
    <col min="13047" max="13047" width="21.44140625" style="15" customWidth="1"/>
    <col min="13048" max="13063" width="9.6640625" style="15"/>
    <col min="13064" max="13065" width="13.44140625" style="15" customWidth="1"/>
    <col min="13066" max="13066" width="9.6640625" style="15"/>
    <col min="13067" max="13067" width="13.88671875" style="15" customWidth="1"/>
    <col min="13068" max="13068" width="10.6640625" style="15" customWidth="1"/>
    <col min="13069" max="13069" width="17.33203125" style="15" customWidth="1"/>
    <col min="13070" max="13071" width="12.6640625" style="15" customWidth="1"/>
    <col min="13072" max="13072" width="11.21875" style="15" customWidth="1"/>
    <col min="13073" max="13073" width="18.33203125" style="15" customWidth="1"/>
    <col min="13074" max="13074" width="12.88671875" style="15" customWidth="1"/>
    <col min="13075" max="13076" width="13.21875" style="15" customWidth="1"/>
    <col min="13077" max="13077" width="10.88671875" style="15" customWidth="1"/>
    <col min="13078" max="13078" width="11.109375" style="15" customWidth="1"/>
    <col min="13079" max="13079" width="15.21875" style="15" customWidth="1"/>
    <col min="13080" max="13080" width="9.6640625" style="15"/>
    <col min="13081" max="13081" width="11" style="15" customWidth="1"/>
    <col min="13082" max="13082" width="10.77734375" style="15" customWidth="1"/>
    <col min="13083" max="13083" width="11.44140625" style="15" customWidth="1"/>
    <col min="13084" max="13084" width="4" style="15" customWidth="1"/>
    <col min="13085" max="13275" width="9.6640625" style="15"/>
    <col min="13276" max="13276" width="6.44140625" style="15" customWidth="1"/>
    <col min="13277" max="13277" width="13.88671875" style="15" customWidth="1"/>
    <col min="13278" max="13278" width="14.33203125" style="15" customWidth="1"/>
    <col min="13279" max="13295" width="9.6640625" style="15"/>
    <col min="13296" max="13296" width="12" style="15" customWidth="1"/>
    <col min="13297" max="13297" width="12.77734375" style="15" customWidth="1"/>
    <col min="13298" max="13298" width="11.109375" style="15" customWidth="1"/>
    <col min="13299" max="13299" width="12" style="15" customWidth="1"/>
    <col min="13300" max="13300" width="9.6640625" style="15"/>
    <col min="13301" max="13301" width="15.33203125" style="15" customWidth="1"/>
    <col min="13302" max="13302" width="15.21875" style="15" customWidth="1"/>
    <col min="13303" max="13303" width="21.44140625" style="15" customWidth="1"/>
    <col min="13304" max="13319" width="9.6640625" style="15"/>
    <col min="13320" max="13321" width="13.44140625" style="15" customWidth="1"/>
    <col min="13322" max="13322" width="9.6640625" style="15"/>
    <col min="13323" max="13323" width="13.88671875" style="15" customWidth="1"/>
    <col min="13324" max="13324" width="10.6640625" style="15" customWidth="1"/>
    <col min="13325" max="13325" width="17.33203125" style="15" customWidth="1"/>
    <col min="13326" max="13327" width="12.6640625" style="15" customWidth="1"/>
    <col min="13328" max="13328" width="11.21875" style="15" customWidth="1"/>
    <col min="13329" max="13329" width="18.33203125" style="15" customWidth="1"/>
    <col min="13330" max="13330" width="12.88671875" style="15" customWidth="1"/>
    <col min="13331" max="13332" width="13.21875" style="15" customWidth="1"/>
    <col min="13333" max="13333" width="10.88671875" style="15" customWidth="1"/>
    <col min="13334" max="13334" width="11.109375" style="15" customWidth="1"/>
    <col min="13335" max="13335" width="15.21875" style="15" customWidth="1"/>
    <col min="13336" max="13336" width="9.6640625" style="15"/>
    <col min="13337" max="13337" width="11" style="15" customWidth="1"/>
    <col min="13338" max="13338" width="10.77734375" style="15" customWidth="1"/>
    <col min="13339" max="13339" width="11.44140625" style="15" customWidth="1"/>
    <col min="13340" max="13340" width="4" style="15" customWidth="1"/>
    <col min="13341" max="13531" width="9.6640625" style="15"/>
    <col min="13532" max="13532" width="6.44140625" style="15" customWidth="1"/>
    <col min="13533" max="13533" width="13.88671875" style="15" customWidth="1"/>
    <col min="13534" max="13534" width="14.33203125" style="15" customWidth="1"/>
    <col min="13535" max="13551" width="9.6640625" style="15"/>
    <col min="13552" max="13552" width="12" style="15" customWidth="1"/>
    <col min="13553" max="13553" width="12.77734375" style="15" customWidth="1"/>
    <col min="13554" max="13554" width="11.109375" style="15" customWidth="1"/>
    <col min="13555" max="13555" width="12" style="15" customWidth="1"/>
    <col min="13556" max="13556" width="9.6640625" style="15"/>
    <col min="13557" max="13557" width="15.33203125" style="15" customWidth="1"/>
    <col min="13558" max="13558" width="15.21875" style="15" customWidth="1"/>
    <col min="13559" max="13559" width="21.44140625" style="15" customWidth="1"/>
    <col min="13560" max="13575" width="9.6640625" style="15"/>
    <col min="13576" max="13577" width="13.44140625" style="15" customWidth="1"/>
    <col min="13578" max="13578" width="9.6640625" style="15"/>
    <col min="13579" max="13579" width="13.88671875" style="15" customWidth="1"/>
    <col min="13580" max="13580" width="10.6640625" style="15" customWidth="1"/>
    <col min="13581" max="13581" width="17.33203125" style="15" customWidth="1"/>
    <col min="13582" max="13583" width="12.6640625" style="15" customWidth="1"/>
    <col min="13584" max="13584" width="11.21875" style="15" customWidth="1"/>
    <col min="13585" max="13585" width="18.33203125" style="15" customWidth="1"/>
    <col min="13586" max="13586" width="12.88671875" style="15" customWidth="1"/>
    <col min="13587" max="13588" width="13.21875" style="15" customWidth="1"/>
    <col min="13589" max="13589" width="10.88671875" style="15" customWidth="1"/>
    <col min="13590" max="13590" width="11.109375" style="15" customWidth="1"/>
    <col min="13591" max="13591" width="15.21875" style="15" customWidth="1"/>
    <col min="13592" max="13592" width="9.6640625" style="15"/>
    <col min="13593" max="13593" width="11" style="15" customWidth="1"/>
    <col min="13594" max="13594" width="10.77734375" style="15" customWidth="1"/>
    <col min="13595" max="13595" width="11.44140625" style="15" customWidth="1"/>
    <col min="13596" max="13596" width="4" style="15" customWidth="1"/>
    <col min="13597" max="13787" width="9.6640625" style="15"/>
    <col min="13788" max="13788" width="6.44140625" style="15" customWidth="1"/>
    <col min="13789" max="13789" width="13.88671875" style="15" customWidth="1"/>
    <col min="13790" max="13790" width="14.33203125" style="15" customWidth="1"/>
    <col min="13791" max="13807" width="9.6640625" style="15"/>
    <col min="13808" max="13808" width="12" style="15" customWidth="1"/>
    <col min="13809" max="13809" width="12.77734375" style="15" customWidth="1"/>
    <col min="13810" max="13810" width="11.109375" style="15" customWidth="1"/>
    <col min="13811" max="13811" width="12" style="15" customWidth="1"/>
    <col min="13812" max="13812" width="9.6640625" style="15"/>
    <col min="13813" max="13813" width="15.33203125" style="15" customWidth="1"/>
    <col min="13814" max="13814" width="15.21875" style="15" customWidth="1"/>
    <col min="13815" max="13815" width="21.44140625" style="15" customWidth="1"/>
    <col min="13816" max="13831" width="9.6640625" style="15"/>
    <col min="13832" max="13833" width="13.44140625" style="15" customWidth="1"/>
    <col min="13834" max="13834" width="9.6640625" style="15"/>
    <col min="13835" max="13835" width="13.88671875" style="15" customWidth="1"/>
    <col min="13836" max="13836" width="10.6640625" style="15" customWidth="1"/>
    <col min="13837" max="13837" width="17.33203125" style="15" customWidth="1"/>
    <col min="13838" max="13839" width="12.6640625" style="15" customWidth="1"/>
    <col min="13840" max="13840" width="11.21875" style="15" customWidth="1"/>
    <col min="13841" max="13841" width="18.33203125" style="15" customWidth="1"/>
    <col min="13842" max="13842" width="12.88671875" style="15" customWidth="1"/>
    <col min="13843" max="13844" width="13.21875" style="15" customWidth="1"/>
    <col min="13845" max="13845" width="10.88671875" style="15" customWidth="1"/>
    <col min="13846" max="13846" width="11.109375" style="15" customWidth="1"/>
    <col min="13847" max="13847" width="15.21875" style="15" customWidth="1"/>
    <col min="13848" max="13848" width="9.6640625" style="15"/>
    <col min="13849" max="13849" width="11" style="15" customWidth="1"/>
    <col min="13850" max="13850" width="10.77734375" style="15" customWidth="1"/>
    <col min="13851" max="13851" width="11.44140625" style="15" customWidth="1"/>
    <col min="13852" max="13852" width="4" style="15" customWidth="1"/>
    <col min="13853" max="14043" width="9.6640625" style="15"/>
    <col min="14044" max="14044" width="6.44140625" style="15" customWidth="1"/>
    <col min="14045" max="14045" width="13.88671875" style="15" customWidth="1"/>
    <col min="14046" max="14046" width="14.33203125" style="15" customWidth="1"/>
    <col min="14047" max="14063" width="9.6640625" style="15"/>
    <col min="14064" max="14064" width="12" style="15" customWidth="1"/>
    <col min="14065" max="14065" width="12.77734375" style="15" customWidth="1"/>
    <col min="14066" max="14066" width="11.109375" style="15" customWidth="1"/>
    <col min="14067" max="14067" width="12" style="15" customWidth="1"/>
    <col min="14068" max="14068" width="9.6640625" style="15"/>
    <col min="14069" max="14069" width="15.33203125" style="15" customWidth="1"/>
    <col min="14070" max="14070" width="15.21875" style="15" customWidth="1"/>
    <col min="14071" max="14071" width="21.44140625" style="15" customWidth="1"/>
    <col min="14072" max="14087" width="9.6640625" style="15"/>
    <col min="14088" max="14089" width="13.44140625" style="15" customWidth="1"/>
    <col min="14090" max="14090" width="9.6640625" style="15"/>
    <col min="14091" max="14091" width="13.88671875" style="15" customWidth="1"/>
    <col min="14092" max="14092" width="10.6640625" style="15" customWidth="1"/>
    <col min="14093" max="14093" width="17.33203125" style="15" customWidth="1"/>
    <col min="14094" max="14095" width="12.6640625" style="15" customWidth="1"/>
    <col min="14096" max="14096" width="11.21875" style="15" customWidth="1"/>
    <col min="14097" max="14097" width="18.33203125" style="15" customWidth="1"/>
    <col min="14098" max="14098" width="12.88671875" style="15" customWidth="1"/>
    <col min="14099" max="14100" width="13.21875" style="15" customWidth="1"/>
    <col min="14101" max="14101" width="10.88671875" style="15" customWidth="1"/>
    <col min="14102" max="14102" width="11.109375" style="15" customWidth="1"/>
    <col min="14103" max="14103" width="15.21875" style="15" customWidth="1"/>
    <col min="14104" max="14104" width="9.6640625" style="15"/>
    <col min="14105" max="14105" width="11" style="15" customWidth="1"/>
    <col min="14106" max="14106" width="10.77734375" style="15" customWidth="1"/>
    <col min="14107" max="14107" width="11.44140625" style="15" customWidth="1"/>
    <col min="14108" max="14108" width="4" style="15" customWidth="1"/>
    <col min="14109" max="14299" width="9.6640625" style="15"/>
    <col min="14300" max="14300" width="6.44140625" style="15" customWidth="1"/>
    <col min="14301" max="14301" width="13.88671875" style="15" customWidth="1"/>
    <col min="14302" max="14302" width="14.33203125" style="15" customWidth="1"/>
    <col min="14303" max="14319" width="9.6640625" style="15"/>
    <col min="14320" max="14320" width="12" style="15" customWidth="1"/>
    <col min="14321" max="14321" width="12.77734375" style="15" customWidth="1"/>
    <col min="14322" max="14322" width="11.109375" style="15" customWidth="1"/>
    <col min="14323" max="14323" width="12" style="15" customWidth="1"/>
    <col min="14324" max="14324" width="9.6640625" style="15"/>
    <col min="14325" max="14325" width="15.33203125" style="15" customWidth="1"/>
    <col min="14326" max="14326" width="15.21875" style="15" customWidth="1"/>
    <col min="14327" max="14327" width="21.44140625" style="15" customWidth="1"/>
    <col min="14328" max="14343" width="9.6640625" style="15"/>
    <col min="14344" max="14345" width="13.44140625" style="15" customWidth="1"/>
    <col min="14346" max="14346" width="9.6640625" style="15"/>
    <col min="14347" max="14347" width="13.88671875" style="15" customWidth="1"/>
    <col min="14348" max="14348" width="10.6640625" style="15" customWidth="1"/>
    <col min="14349" max="14349" width="17.33203125" style="15" customWidth="1"/>
    <col min="14350" max="14351" width="12.6640625" style="15" customWidth="1"/>
    <col min="14352" max="14352" width="11.21875" style="15" customWidth="1"/>
    <col min="14353" max="14353" width="18.33203125" style="15" customWidth="1"/>
    <col min="14354" max="14354" width="12.88671875" style="15" customWidth="1"/>
    <col min="14355" max="14356" width="13.21875" style="15" customWidth="1"/>
    <col min="14357" max="14357" width="10.88671875" style="15" customWidth="1"/>
    <col min="14358" max="14358" width="11.109375" style="15" customWidth="1"/>
    <col min="14359" max="14359" width="15.21875" style="15" customWidth="1"/>
    <col min="14360" max="14360" width="9.6640625" style="15"/>
    <col min="14361" max="14361" width="11" style="15" customWidth="1"/>
    <col min="14362" max="14362" width="10.77734375" style="15" customWidth="1"/>
    <col min="14363" max="14363" width="11.44140625" style="15" customWidth="1"/>
    <col min="14364" max="14364" width="4" style="15" customWidth="1"/>
    <col min="14365" max="14555" width="9.6640625" style="15"/>
    <col min="14556" max="14556" width="6.44140625" style="15" customWidth="1"/>
    <col min="14557" max="14557" width="13.88671875" style="15" customWidth="1"/>
    <col min="14558" max="14558" width="14.33203125" style="15" customWidth="1"/>
    <col min="14559" max="14575" width="9.6640625" style="15"/>
    <col min="14576" max="14576" width="12" style="15" customWidth="1"/>
    <col min="14577" max="14577" width="12.77734375" style="15" customWidth="1"/>
    <col min="14578" max="14578" width="11.109375" style="15" customWidth="1"/>
    <col min="14579" max="14579" width="12" style="15" customWidth="1"/>
    <col min="14580" max="14580" width="9.6640625" style="15"/>
    <col min="14581" max="14581" width="15.33203125" style="15" customWidth="1"/>
    <col min="14582" max="14582" width="15.21875" style="15" customWidth="1"/>
    <col min="14583" max="14583" width="21.44140625" style="15" customWidth="1"/>
    <col min="14584" max="14599" width="9.6640625" style="15"/>
    <col min="14600" max="14601" width="13.44140625" style="15" customWidth="1"/>
    <col min="14602" max="14602" width="9.6640625" style="15"/>
    <col min="14603" max="14603" width="13.88671875" style="15" customWidth="1"/>
    <col min="14604" max="14604" width="10.6640625" style="15" customWidth="1"/>
    <col min="14605" max="14605" width="17.33203125" style="15" customWidth="1"/>
    <col min="14606" max="14607" width="12.6640625" style="15" customWidth="1"/>
    <col min="14608" max="14608" width="11.21875" style="15" customWidth="1"/>
    <col min="14609" max="14609" width="18.33203125" style="15" customWidth="1"/>
    <col min="14610" max="14610" width="12.88671875" style="15" customWidth="1"/>
    <col min="14611" max="14612" width="13.21875" style="15" customWidth="1"/>
    <col min="14613" max="14613" width="10.88671875" style="15" customWidth="1"/>
    <col min="14614" max="14614" width="11.109375" style="15" customWidth="1"/>
    <col min="14615" max="14615" width="15.21875" style="15" customWidth="1"/>
    <col min="14616" max="14616" width="9.6640625" style="15"/>
    <col min="14617" max="14617" width="11" style="15" customWidth="1"/>
    <col min="14618" max="14618" width="10.77734375" style="15" customWidth="1"/>
    <col min="14619" max="14619" width="11.44140625" style="15" customWidth="1"/>
    <col min="14620" max="14620" width="4" style="15" customWidth="1"/>
    <col min="14621" max="14811" width="9.6640625" style="15"/>
    <col min="14812" max="14812" width="6.44140625" style="15" customWidth="1"/>
    <col min="14813" max="14813" width="13.88671875" style="15" customWidth="1"/>
    <col min="14814" max="14814" width="14.33203125" style="15" customWidth="1"/>
    <col min="14815" max="14831" width="9.6640625" style="15"/>
    <col min="14832" max="14832" width="12" style="15" customWidth="1"/>
    <col min="14833" max="14833" width="12.77734375" style="15" customWidth="1"/>
    <col min="14834" max="14834" width="11.109375" style="15" customWidth="1"/>
    <col min="14835" max="14835" width="12" style="15" customWidth="1"/>
    <col min="14836" max="14836" width="9.6640625" style="15"/>
    <col min="14837" max="14837" width="15.33203125" style="15" customWidth="1"/>
    <col min="14838" max="14838" width="15.21875" style="15" customWidth="1"/>
    <col min="14839" max="14839" width="21.44140625" style="15" customWidth="1"/>
    <col min="14840" max="14855" width="9.6640625" style="15"/>
    <col min="14856" max="14857" width="13.44140625" style="15" customWidth="1"/>
    <col min="14858" max="14858" width="9.6640625" style="15"/>
    <col min="14859" max="14859" width="13.88671875" style="15" customWidth="1"/>
    <col min="14860" max="14860" width="10.6640625" style="15" customWidth="1"/>
    <col min="14861" max="14861" width="17.33203125" style="15" customWidth="1"/>
    <col min="14862" max="14863" width="12.6640625" style="15" customWidth="1"/>
    <col min="14864" max="14864" width="11.21875" style="15" customWidth="1"/>
    <col min="14865" max="14865" width="18.33203125" style="15" customWidth="1"/>
    <col min="14866" max="14866" width="12.88671875" style="15" customWidth="1"/>
    <col min="14867" max="14868" width="13.21875" style="15" customWidth="1"/>
    <col min="14869" max="14869" width="10.88671875" style="15" customWidth="1"/>
    <col min="14870" max="14870" width="11.109375" style="15" customWidth="1"/>
    <col min="14871" max="14871" width="15.21875" style="15" customWidth="1"/>
    <col min="14872" max="14872" width="9.6640625" style="15"/>
    <col min="14873" max="14873" width="11" style="15" customWidth="1"/>
    <col min="14874" max="14874" width="10.77734375" style="15" customWidth="1"/>
    <col min="14875" max="14875" width="11.44140625" style="15" customWidth="1"/>
    <col min="14876" max="14876" width="4" style="15" customWidth="1"/>
    <col min="14877" max="15067" width="9.6640625" style="15"/>
    <col min="15068" max="15068" width="6.44140625" style="15" customWidth="1"/>
    <col min="15069" max="15069" width="13.88671875" style="15" customWidth="1"/>
    <col min="15070" max="15070" width="14.33203125" style="15" customWidth="1"/>
    <col min="15071" max="15087" width="9.6640625" style="15"/>
    <col min="15088" max="15088" width="12" style="15" customWidth="1"/>
    <col min="15089" max="15089" width="12.77734375" style="15" customWidth="1"/>
    <col min="15090" max="15090" width="11.109375" style="15" customWidth="1"/>
    <col min="15091" max="15091" width="12" style="15" customWidth="1"/>
    <col min="15092" max="15092" width="9.6640625" style="15"/>
    <col min="15093" max="15093" width="15.33203125" style="15" customWidth="1"/>
    <col min="15094" max="15094" width="15.21875" style="15" customWidth="1"/>
    <col min="15095" max="15095" width="21.44140625" style="15" customWidth="1"/>
    <col min="15096" max="15111" width="9.6640625" style="15"/>
    <col min="15112" max="15113" width="13.44140625" style="15" customWidth="1"/>
    <col min="15114" max="15114" width="9.6640625" style="15"/>
    <col min="15115" max="15115" width="13.88671875" style="15" customWidth="1"/>
    <col min="15116" max="15116" width="10.6640625" style="15" customWidth="1"/>
    <col min="15117" max="15117" width="17.33203125" style="15" customWidth="1"/>
    <col min="15118" max="15119" width="12.6640625" style="15" customWidth="1"/>
    <col min="15120" max="15120" width="11.21875" style="15" customWidth="1"/>
    <col min="15121" max="15121" width="18.33203125" style="15" customWidth="1"/>
    <col min="15122" max="15122" width="12.88671875" style="15" customWidth="1"/>
    <col min="15123" max="15124" width="13.21875" style="15" customWidth="1"/>
    <col min="15125" max="15125" width="10.88671875" style="15" customWidth="1"/>
    <col min="15126" max="15126" width="11.109375" style="15" customWidth="1"/>
    <col min="15127" max="15127" width="15.21875" style="15" customWidth="1"/>
    <col min="15128" max="15128" width="9.6640625" style="15"/>
    <col min="15129" max="15129" width="11" style="15" customWidth="1"/>
    <col min="15130" max="15130" width="10.77734375" style="15" customWidth="1"/>
    <col min="15131" max="15131" width="11.44140625" style="15" customWidth="1"/>
    <col min="15132" max="15132" width="4" style="15" customWidth="1"/>
    <col min="15133" max="15323" width="9.6640625" style="15"/>
    <col min="15324" max="15324" width="6.44140625" style="15" customWidth="1"/>
    <col min="15325" max="15325" width="13.88671875" style="15" customWidth="1"/>
    <col min="15326" max="15326" width="14.33203125" style="15" customWidth="1"/>
    <col min="15327" max="15343" width="9.6640625" style="15"/>
    <col min="15344" max="15344" width="12" style="15" customWidth="1"/>
    <col min="15345" max="15345" width="12.77734375" style="15" customWidth="1"/>
    <col min="15346" max="15346" width="11.109375" style="15" customWidth="1"/>
    <col min="15347" max="15347" width="12" style="15" customWidth="1"/>
    <col min="15348" max="15348" width="9.6640625" style="15"/>
    <col min="15349" max="15349" width="15.33203125" style="15" customWidth="1"/>
    <col min="15350" max="15350" width="15.21875" style="15" customWidth="1"/>
    <col min="15351" max="15351" width="21.44140625" style="15" customWidth="1"/>
    <col min="15352" max="15367" width="9.6640625" style="15"/>
    <col min="15368" max="15369" width="13.44140625" style="15" customWidth="1"/>
    <col min="15370" max="15370" width="9.6640625" style="15"/>
    <col min="15371" max="15371" width="13.88671875" style="15" customWidth="1"/>
    <col min="15372" max="15372" width="10.6640625" style="15" customWidth="1"/>
    <col min="15373" max="15373" width="17.33203125" style="15" customWidth="1"/>
    <col min="15374" max="15375" width="12.6640625" style="15" customWidth="1"/>
    <col min="15376" max="15376" width="11.21875" style="15" customWidth="1"/>
    <col min="15377" max="15377" width="18.33203125" style="15" customWidth="1"/>
    <col min="15378" max="15378" width="12.88671875" style="15" customWidth="1"/>
    <col min="15379" max="15380" width="13.21875" style="15" customWidth="1"/>
    <col min="15381" max="15381" width="10.88671875" style="15" customWidth="1"/>
    <col min="15382" max="15382" width="11.109375" style="15" customWidth="1"/>
    <col min="15383" max="15383" width="15.21875" style="15" customWidth="1"/>
    <col min="15384" max="15384" width="9.6640625" style="15"/>
    <col min="15385" max="15385" width="11" style="15" customWidth="1"/>
    <col min="15386" max="15386" width="10.77734375" style="15" customWidth="1"/>
    <col min="15387" max="15387" width="11.44140625" style="15" customWidth="1"/>
    <col min="15388" max="15388" width="4" style="15" customWidth="1"/>
    <col min="15389" max="15579" width="9.6640625" style="15"/>
    <col min="15580" max="15580" width="6.44140625" style="15" customWidth="1"/>
    <col min="15581" max="15581" width="13.88671875" style="15" customWidth="1"/>
    <col min="15582" max="15582" width="14.33203125" style="15" customWidth="1"/>
    <col min="15583" max="15599" width="9.6640625" style="15"/>
    <col min="15600" max="15600" width="12" style="15" customWidth="1"/>
    <col min="15601" max="15601" width="12.77734375" style="15" customWidth="1"/>
    <col min="15602" max="15602" width="11.109375" style="15" customWidth="1"/>
    <col min="15603" max="15603" width="12" style="15" customWidth="1"/>
    <col min="15604" max="15604" width="9.6640625" style="15"/>
    <col min="15605" max="15605" width="15.33203125" style="15" customWidth="1"/>
    <col min="15606" max="15606" width="15.21875" style="15" customWidth="1"/>
    <col min="15607" max="15607" width="21.44140625" style="15" customWidth="1"/>
    <col min="15608" max="15623" width="9.6640625" style="15"/>
    <col min="15624" max="15625" width="13.44140625" style="15" customWidth="1"/>
    <col min="15626" max="15626" width="9.6640625" style="15"/>
    <col min="15627" max="15627" width="13.88671875" style="15" customWidth="1"/>
    <col min="15628" max="15628" width="10.6640625" style="15" customWidth="1"/>
    <col min="15629" max="15629" width="17.33203125" style="15" customWidth="1"/>
    <col min="15630" max="15631" width="12.6640625" style="15" customWidth="1"/>
    <col min="15632" max="15632" width="11.21875" style="15" customWidth="1"/>
    <col min="15633" max="15633" width="18.33203125" style="15" customWidth="1"/>
    <col min="15634" max="15634" width="12.88671875" style="15" customWidth="1"/>
    <col min="15635" max="15636" width="13.21875" style="15" customWidth="1"/>
    <col min="15637" max="15637" width="10.88671875" style="15" customWidth="1"/>
    <col min="15638" max="15638" width="11.109375" style="15" customWidth="1"/>
    <col min="15639" max="15639" width="15.21875" style="15" customWidth="1"/>
    <col min="15640" max="15640" width="9.6640625" style="15"/>
    <col min="15641" max="15641" width="11" style="15" customWidth="1"/>
    <col min="15642" max="15642" width="10.77734375" style="15" customWidth="1"/>
    <col min="15643" max="15643" width="11.44140625" style="15" customWidth="1"/>
    <col min="15644" max="15644" width="4" style="15" customWidth="1"/>
    <col min="15645" max="15835" width="9.6640625" style="15"/>
    <col min="15836" max="15836" width="6.44140625" style="15" customWidth="1"/>
    <col min="15837" max="15837" width="13.88671875" style="15" customWidth="1"/>
    <col min="15838" max="15838" width="14.33203125" style="15" customWidth="1"/>
    <col min="15839" max="15855" width="9.6640625" style="15"/>
    <col min="15856" max="15856" width="12" style="15" customWidth="1"/>
    <col min="15857" max="15857" width="12.77734375" style="15" customWidth="1"/>
    <col min="15858" max="15858" width="11.109375" style="15" customWidth="1"/>
    <col min="15859" max="15859" width="12" style="15" customWidth="1"/>
    <col min="15860" max="15860" width="9.6640625" style="15"/>
    <col min="15861" max="15861" width="15.33203125" style="15" customWidth="1"/>
    <col min="15862" max="15862" width="15.21875" style="15" customWidth="1"/>
    <col min="15863" max="15863" width="21.44140625" style="15" customWidth="1"/>
    <col min="15864" max="15879" width="9.6640625" style="15"/>
    <col min="15880" max="15881" width="13.44140625" style="15" customWidth="1"/>
    <col min="15882" max="15882" width="9.6640625" style="15"/>
    <col min="15883" max="15883" width="13.88671875" style="15" customWidth="1"/>
    <col min="15884" max="15884" width="10.6640625" style="15" customWidth="1"/>
    <col min="15885" max="15885" width="17.33203125" style="15" customWidth="1"/>
    <col min="15886" max="15887" width="12.6640625" style="15" customWidth="1"/>
    <col min="15888" max="15888" width="11.21875" style="15" customWidth="1"/>
    <col min="15889" max="15889" width="18.33203125" style="15" customWidth="1"/>
    <col min="15890" max="15890" width="12.88671875" style="15" customWidth="1"/>
    <col min="15891" max="15892" width="13.21875" style="15" customWidth="1"/>
    <col min="15893" max="15893" width="10.88671875" style="15" customWidth="1"/>
    <col min="15894" max="15894" width="11.109375" style="15" customWidth="1"/>
    <col min="15895" max="15895" width="15.21875" style="15" customWidth="1"/>
    <col min="15896" max="15896" width="9.6640625" style="15"/>
    <col min="15897" max="15897" width="11" style="15" customWidth="1"/>
    <col min="15898" max="15898" width="10.77734375" style="15" customWidth="1"/>
    <col min="15899" max="15899" width="11.44140625" style="15" customWidth="1"/>
    <col min="15900" max="15900" width="4" style="15" customWidth="1"/>
    <col min="15901" max="16091" width="9.6640625" style="15"/>
    <col min="16092" max="16092" width="6.44140625" style="15" customWidth="1"/>
    <col min="16093" max="16093" width="13.88671875" style="15" customWidth="1"/>
    <col min="16094" max="16094" width="14.33203125" style="15" customWidth="1"/>
    <col min="16095" max="16111" width="9.6640625" style="15"/>
    <col min="16112" max="16112" width="12" style="15" customWidth="1"/>
    <col min="16113" max="16113" width="12.77734375" style="15" customWidth="1"/>
    <col min="16114" max="16114" width="11.109375" style="15" customWidth="1"/>
    <col min="16115" max="16115" width="12" style="15" customWidth="1"/>
    <col min="16116" max="16116" width="9.6640625" style="15"/>
    <col min="16117" max="16117" width="15.33203125" style="15" customWidth="1"/>
    <col min="16118" max="16118" width="15.21875" style="15" customWidth="1"/>
    <col min="16119" max="16119" width="21.44140625" style="15" customWidth="1"/>
    <col min="16120" max="16135" width="9.6640625" style="15"/>
    <col min="16136" max="16137" width="13.44140625" style="15" customWidth="1"/>
    <col min="16138" max="16138" width="9.6640625" style="15"/>
    <col min="16139" max="16139" width="13.88671875" style="15" customWidth="1"/>
    <col min="16140" max="16140" width="10.6640625" style="15" customWidth="1"/>
    <col min="16141" max="16141" width="17.33203125" style="15" customWidth="1"/>
    <col min="16142" max="16143" width="12.6640625" style="15" customWidth="1"/>
    <col min="16144" max="16144" width="11.21875" style="15" customWidth="1"/>
    <col min="16145" max="16145" width="18.33203125" style="15" customWidth="1"/>
    <col min="16146" max="16146" width="12.88671875" style="15" customWidth="1"/>
    <col min="16147" max="16148" width="13.21875" style="15" customWidth="1"/>
    <col min="16149" max="16149" width="10.88671875" style="15" customWidth="1"/>
    <col min="16150" max="16150" width="11.109375" style="15" customWidth="1"/>
    <col min="16151" max="16151" width="15.21875" style="15" customWidth="1"/>
    <col min="16152" max="16152" width="9.6640625" style="15"/>
    <col min="16153" max="16153" width="11" style="15" customWidth="1"/>
    <col min="16154" max="16154" width="10.77734375" style="15" customWidth="1"/>
    <col min="16155" max="16155" width="11.44140625" style="15" customWidth="1"/>
    <col min="16156" max="16156" width="4" style="15" customWidth="1"/>
    <col min="16157" max="16384" width="9.6640625" style="15"/>
  </cols>
  <sheetData>
    <row r="1" spans="1:145" ht="13.2" x14ac:dyDescent="0.2">
      <c r="A1" s="14" t="s">
        <v>53</v>
      </c>
    </row>
    <row r="2" spans="1:145" x14ac:dyDescent="0.2">
      <c r="C2" s="17" t="s">
        <v>54</v>
      </c>
    </row>
    <row r="3" spans="1:145" s="16" customFormat="1" x14ac:dyDescent="0.2">
      <c r="A3" s="18"/>
      <c r="B3" s="19" t="s">
        <v>55</v>
      </c>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c r="DB3" s="20"/>
      <c r="DC3" s="20"/>
      <c r="DD3" s="20"/>
      <c r="DE3" s="20"/>
      <c r="DF3" s="20"/>
      <c r="DG3" s="20"/>
      <c r="DH3" s="20"/>
      <c r="DI3" s="20"/>
      <c r="DJ3" s="20"/>
      <c r="DK3" s="20"/>
      <c r="DL3" s="20"/>
      <c r="DM3" s="20"/>
      <c r="DN3" s="20"/>
      <c r="DO3" s="20"/>
      <c r="DP3" s="20"/>
      <c r="DQ3" s="20"/>
      <c r="DR3" s="20"/>
      <c r="DS3" s="20"/>
      <c r="DT3" s="20"/>
      <c r="DU3" s="20"/>
      <c r="DV3" s="20"/>
      <c r="DW3" s="20"/>
      <c r="DX3" s="20"/>
      <c r="DY3" s="20"/>
      <c r="DZ3" s="20"/>
      <c r="EA3" s="20"/>
      <c r="EB3" s="20"/>
      <c r="EC3" s="20"/>
    </row>
    <row r="4" spans="1:145" s="16" customFormat="1" x14ac:dyDescent="0.2">
      <c r="A4" s="18"/>
      <c r="B4" s="21" t="s">
        <v>56</v>
      </c>
      <c r="C4" s="20" t="s">
        <v>226</v>
      </c>
      <c r="D4" s="20" t="s">
        <v>226</v>
      </c>
      <c r="E4" s="20" t="s">
        <v>226</v>
      </c>
      <c r="F4" s="20" t="s">
        <v>232</v>
      </c>
      <c r="G4" s="20" t="s">
        <v>232</v>
      </c>
      <c r="H4" s="20" t="s">
        <v>232</v>
      </c>
      <c r="I4" s="20" t="s">
        <v>232</v>
      </c>
      <c r="J4" s="20" t="s">
        <v>232</v>
      </c>
      <c r="K4" s="20" t="s">
        <v>232</v>
      </c>
      <c r="L4" s="20" t="s">
        <v>232</v>
      </c>
      <c r="M4" s="20" t="s">
        <v>232</v>
      </c>
      <c r="N4" s="20" t="s">
        <v>227</v>
      </c>
      <c r="O4" s="20" t="s">
        <v>228</v>
      </c>
      <c r="P4" s="20" t="s">
        <v>226</v>
      </c>
      <c r="Q4" s="20" t="s">
        <v>233</v>
      </c>
      <c r="R4" s="20" t="s">
        <v>233</v>
      </c>
      <c r="S4" s="20" t="s">
        <v>233</v>
      </c>
      <c r="T4" s="20" t="s">
        <v>233</v>
      </c>
      <c r="U4" s="20" t="s">
        <v>233</v>
      </c>
      <c r="V4" s="20" t="s">
        <v>230</v>
      </c>
      <c r="W4" s="20" t="s">
        <v>233</v>
      </c>
      <c r="X4" s="20" t="s">
        <v>233</v>
      </c>
      <c r="Y4" s="20" t="s">
        <v>229</v>
      </c>
      <c r="Z4" s="20" t="s">
        <v>234</v>
      </c>
      <c r="AA4" s="20" t="s">
        <v>229</v>
      </c>
      <c r="AB4" s="20" t="s">
        <v>233</v>
      </c>
      <c r="AC4" s="20" t="s">
        <v>233</v>
      </c>
      <c r="AD4" s="20" t="s">
        <v>231</v>
      </c>
      <c r="AE4" s="20" t="s">
        <v>230</v>
      </c>
      <c r="AF4" s="20" t="s">
        <v>231</v>
      </c>
      <c r="AG4" s="20" t="s">
        <v>235</v>
      </c>
      <c r="AH4" s="20" t="s">
        <v>230</v>
      </c>
      <c r="AI4" s="20" t="s">
        <v>229</v>
      </c>
      <c r="AJ4" s="20" t="s">
        <v>235</v>
      </c>
      <c r="AK4" s="20" t="s">
        <v>226</v>
      </c>
      <c r="AL4" s="20" t="s">
        <v>242</v>
      </c>
      <c r="AM4" s="20" t="s">
        <v>236</v>
      </c>
      <c r="AN4" s="20" t="s">
        <v>236</v>
      </c>
      <c r="AO4" s="20" t="s">
        <v>236</v>
      </c>
      <c r="AP4" s="20" t="s">
        <v>226</v>
      </c>
      <c r="AQ4" s="20" t="s">
        <v>236</v>
      </c>
      <c r="AR4" s="20" t="s">
        <v>238</v>
      </c>
      <c r="AS4" s="20" t="s">
        <v>235</v>
      </c>
      <c r="AT4" s="20" t="s">
        <v>237</v>
      </c>
      <c r="AU4" s="20" t="s">
        <v>238</v>
      </c>
      <c r="AV4" s="20" t="s">
        <v>236</v>
      </c>
      <c r="AW4" s="20" t="s">
        <v>233</v>
      </c>
      <c r="AX4" s="20" t="s">
        <v>309</v>
      </c>
      <c r="AY4" s="20" t="s">
        <v>236</v>
      </c>
      <c r="AZ4" s="20" t="s">
        <v>236</v>
      </c>
      <c r="BA4" s="20" t="s">
        <v>236</v>
      </c>
      <c r="BB4" s="20" t="s">
        <v>237</v>
      </c>
      <c r="BC4" s="20" t="s">
        <v>236</v>
      </c>
      <c r="BD4" s="20" t="s">
        <v>236</v>
      </c>
      <c r="BE4" s="20" t="s">
        <v>236</v>
      </c>
      <c r="BF4" s="20" t="s">
        <v>236</v>
      </c>
      <c r="BG4" s="20" t="s">
        <v>238</v>
      </c>
      <c r="BH4" s="20" t="s">
        <v>240</v>
      </c>
      <c r="BI4" s="20" t="s">
        <v>236</v>
      </c>
      <c r="BJ4" s="20" t="s">
        <v>235</v>
      </c>
      <c r="BK4" s="20" t="s">
        <v>233</v>
      </c>
      <c r="BL4" s="20" t="s">
        <v>240</v>
      </c>
      <c r="BM4" s="20" t="s">
        <v>226</v>
      </c>
      <c r="BN4" s="20" t="s">
        <v>240</v>
      </c>
      <c r="BO4" s="20" t="s">
        <v>233</v>
      </c>
      <c r="BP4" s="20" t="s">
        <v>241</v>
      </c>
      <c r="BQ4" s="20" t="s">
        <v>303</v>
      </c>
      <c r="BR4" s="20" t="s">
        <v>236</v>
      </c>
      <c r="BS4" s="20" t="s">
        <v>237</v>
      </c>
      <c r="BT4" s="20" t="s">
        <v>236</v>
      </c>
      <c r="BU4" s="20" t="s">
        <v>236</v>
      </c>
      <c r="BV4" s="20" t="s">
        <v>313</v>
      </c>
      <c r="BW4" s="20" t="s">
        <v>235</v>
      </c>
      <c r="BX4" s="20" t="s">
        <v>226</v>
      </c>
      <c r="BY4" s="20" t="s">
        <v>236</v>
      </c>
      <c r="BZ4" s="20" t="s">
        <v>226</v>
      </c>
      <c r="CA4" s="20" t="s">
        <v>229</v>
      </c>
      <c r="CB4" s="20" t="s">
        <v>226</v>
      </c>
      <c r="CC4" s="20" t="s">
        <v>225</v>
      </c>
      <c r="CD4" s="20" t="s">
        <v>240</v>
      </c>
      <c r="CE4" s="20" t="s">
        <v>226</v>
      </c>
      <c r="CF4" s="20" t="s">
        <v>226</v>
      </c>
      <c r="CG4" s="20" t="s">
        <v>226</v>
      </c>
      <c r="CH4" s="20" t="s">
        <v>226</v>
      </c>
      <c r="CI4" s="20" t="s">
        <v>226</v>
      </c>
      <c r="CJ4" s="20" t="s">
        <v>242</v>
      </c>
      <c r="CK4" s="20" t="s">
        <v>226</v>
      </c>
      <c r="CL4" s="20" t="s">
        <v>226</v>
      </c>
      <c r="CM4" s="20" t="s">
        <v>231</v>
      </c>
      <c r="CN4" s="20" t="s">
        <v>233</v>
      </c>
      <c r="CO4" s="20" t="s">
        <v>226</v>
      </c>
      <c r="CP4" s="20" t="s">
        <v>226</v>
      </c>
      <c r="CQ4" s="20" t="s">
        <v>226</v>
      </c>
      <c r="CR4" s="20" t="s">
        <v>226</v>
      </c>
      <c r="CS4" s="20"/>
      <c r="CT4" s="20"/>
      <c r="CU4" s="20"/>
      <c r="CV4" s="20"/>
      <c r="CW4" s="20"/>
      <c r="CX4" s="20"/>
      <c r="CY4" s="20"/>
      <c r="CZ4" s="20"/>
      <c r="DA4" s="20"/>
      <c r="DB4" s="20"/>
      <c r="DC4" s="20"/>
      <c r="DD4" s="20"/>
      <c r="DE4" s="20"/>
      <c r="DF4" s="20"/>
      <c r="DG4" s="20"/>
      <c r="DH4" s="20"/>
      <c r="DI4" s="20"/>
      <c r="DJ4" s="20"/>
      <c r="DK4" s="20"/>
      <c r="DL4" s="20"/>
      <c r="DM4" s="20"/>
      <c r="DN4" s="20"/>
      <c r="DO4" s="20"/>
      <c r="DP4" s="20"/>
      <c r="DQ4" s="20"/>
      <c r="DR4" s="20"/>
      <c r="DS4" s="20"/>
      <c r="DT4" s="20"/>
      <c r="DU4" s="20"/>
      <c r="DV4" s="20"/>
      <c r="DW4" s="20"/>
      <c r="DX4" s="20"/>
      <c r="DY4" s="20"/>
      <c r="DZ4" s="20"/>
      <c r="EA4" s="20"/>
      <c r="EB4" s="20"/>
      <c r="EC4" s="20"/>
    </row>
    <row r="5" spans="1:145" s="16" customFormat="1" x14ac:dyDescent="0.2">
      <c r="A5" s="18"/>
      <c r="B5" s="19" t="s">
        <v>57</v>
      </c>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c r="BT5" s="20"/>
      <c r="BU5" s="20"/>
      <c r="BV5" s="20"/>
      <c r="BW5" s="20"/>
      <c r="BX5" s="20"/>
      <c r="BY5" s="20"/>
      <c r="BZ5" s="20"/>
      <c r="CA5" s="20"/>
      <c r="CB5" s="20"/>
      <c r="CC5" s="20"/>
      <c r="CD5" s="20"/>
      <c r="CE5" s="20"/>
      <c r="CF5" s="20"/>
      <c r="CG5" s="20"/>
      <c r="CH5" s="20"/>
      <c r="CI5" s="20"/>
      <c r="CJ5" s="20"/>
      <c r="CK5" s="20"/>
      <c r="CL5" s="20"/>
      <c r="CM5" s="20"/>
      <c r="CN5" s="20"/>
      <c r="CO5" s="20"/>
      <c r="CP5" s="20"/>
      <c r="CQ5" s="20"/>
      <c r="CR5" s="20"/>
      <c r="CS5" s="20"/>
      <c r="CT5" s="20"/>
      <c r="CU5" s="20"/>
      <c r="CV5" s="20"/>
      <c r="CW5" s="20"/>
      <c r="CX5" s="20"/>
      <c r="CY5" s="20"/>
      <c r="CZ5" s="20"/>
      <c r="DA5" s="20"/>
      <c r="DB5" s="20"/>
      <c r="DC5" s="20"/>
      <c r="DD5" s="20"/>
      <c r="DE5" s="20"/>
      <c r="DF5" s="20"/>
      <c r="DG5" s="20"/>
      <c r="DH5" s="20"/>
      <c r="DI5" s="20"/>
      <c r="DJ5" s="20"/>
      <c r="DK5" s="20"/>
      <c r="DL5" s="20"/>
      <c r="DM5" s="20"/>
      <c r="DN5" s="20"/>
      <c r="DO5" s="20"/>
      <c r="DP5" s="20"/>
      <c r="DQ5" s="20"/>
      <c r="DR5" s="20"/>
      <c r="DS5" s="20"/>
      <c r="DT5" s="20"/>
      <c r="DU5" s="20"/>
      <c r="DV5" s="20"/>
      <c r="DW5" s="20"/>
      <c r="DX5" s="20"/>
      <c r="DY5" s="20"/>
      <c r="DZ5" s="20"/>
      <c r="EA5" s="20"/>
      <c r="EB5" s="20"/>
      <c r="EC5" s="20"/>
    </row>
    <row r="6" spans="1:145" s="72" customFormat="1" x14ac:dyDescent="0.2">
      <c r="A6" s="70"/>
      <c r="B6" s="19" t="s">
        <v>306</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c r="AN6" s="71"/>
      <c r="AO6" s="71"/>
      <c r="AP6" s="71"/>
      <c r="AQ6" s="71"/>
      <c r="AR6" s="71"/>
      <c r="AS6" s="71"/>
      <c r="AT6" s="71"/>
      <c r="AU6" s="71"/>
      <c r="AV6" s="71"/>
      <c r="AW6" s="71"/>
      <c r="AX6" s="71"/>
      <c r="AY6" s="71"/>
      <c r="AZ6" s="71"/>
      <c r="BA6" s="71"/>
      <c r="BB6" s="71"/>
      <c r="BC6" s="71"/>
      <c r="BD6" s="71"/>
      <c r="BE6" s="71"/>
      <c r="BF6" s="71"/>
      <c r="BG6" s="71"/>
      <c r="BH6" s="71"/>
      <c r="BI6" s="71"/>
      <c r="BJ6" s="71"/>
      <c r="BK6" s="71"/>
      <c r="BL6" s="71"/>
      <c r="BM6" s="71"/>
      <c r="BN6" s="71"/>
      <c r="BO6" s="71"/>
      <c r="BP6" s="71" t="s">
        <v>308</v>
      </c>
      <c r="BQ6" s="71" t="s">
        <v>308</v>
      </c>
      <c r="BR6" s="71"/>
      <c r="BS6" s="71"/>
      <c r="BT6" s="71"/>
      <c r="BU6" s="71"/>
      <c r="BV6" s="71"/>
      <c r="BW6" s="71"/>
      <c r="BX6" s="71"/>
      <c r="BY6" s="71"/>
      <c r="BZ6" s="71"/>
      <c r="CA6" s="71"/>
      <c r="CB6" s="71"/>
      <c r="CC6" s="71"/>
      <c r="CD6" s="71"/>
      <c r="CE6" s="71"/>
      <c r="CF6" s="71"/>
      <c r="CG6" s="71"/>
      <c r="CH6" s="71"/>
      <c r="CI6" s="71"/>
      <c r="CJ6" s="71"/>
      <c r="CK6" s="71"/>
      <c r="CL6" s="71"/>
      <c r="CM6" s="71"/>
      <c r="CN6" s="71"/>
      <c r="CO6" s="71"/>
      <c r="CP6" s="71"/>
      <c r="CQ6" s="71"/>
      <c r="CR6" s="71"/>
      <c r="CS6" s="71"/>
      <c r="CT6" s="71"/>
      <c r="CU6" s="71"/>
      <c r="CV6" s="71"/>
      <c r="CW6" s="71"/>
      <c r="CX6" s="71"/>
      <c r="CY6" s="71"/>
      <c r="CZ6" s="71"/>
      <c r="DA6" s="71"/>
      <c r="DB6" s="71"/>
      <c r="DC6" s="71"/>
      <c r="DD6" s="71"/>
      <c r="DE6" s="71"/>
      <c r="DF6" s="71"/>
      <c r="DG6" s="71"/>
      <c r="DH6" s="71"/>
      <c r="DI6" s="71"/>
      <c r="DJ6" s="71"/>
      <c r="DK6" s="71"/>
      <c r="DL6" s="71"/>
      <c r="DM6" s="71"/>
      <c r="DN6" s="71"/>
      <c r="DO6" s="71"/>
      <c r="DP6" s="71"/>
      <c r="DQ6" s="71"/>
      <c r="DR6" s="71"/>
      <c r="DS6" s="71"/>
      <c r="DT6" s="71"/>
      <c r="DU6" s="71"/>
      <c r="DV6" s="71"/>
      <c r="DW6" s="71"/>
      <c r="DX6" s="71"/>
      <c r="DY6" s="71"/>
      <c r="DZ6" s="71"/>
      <c r="EA6" s="71"/>
      <c r="EB6" s="71"/>
      <c r="EC6" s="71"/>
    </row>
    <row r="7" spans="1:145" s="24" customFormat="1" ht="22.2" customHeight="1" x14ac:dyDescent="0.3">
      <c r="A7" s="22"/>
      <c r="B7" s="23" t="s">
        <v>58</v>
      </c>
      <c r="C7" s="23" t="s">
        <v>244</v>
      </c>
      <c r="D7" s="23" t="s">
        <v>314</v>
      </c>
      <c r="E7" s="23" t="s">
        <v>315</v>
      </c>
      <c r="F7" s="23" t="s">
        <v>325</v>
      </c>
      <c r="G7" s="23" t="s">
        <v>316</v>
      </c>
      <c r="H7" s="23" t="s">
        <v>317</v>
      </c>
      <c r="I7" s="23" t="s">
        <v>323</v>
      </c>
      <c r="J7" s="23" t="s">
        <v>318</v>
      </c>
      <c r="K7" s="23" t="s">
        <v>319</v>
      </c>
      <c r="L7" s="23" t="s">
        <v>321</v>
      </c>
      <c r="M7" s="23" t="s">
        <v>315</v>
      </c>
      <c r="N7" s="23" t="s">
        <v>322</v>
      </c>
      <c r="O7" s="23" t="s">
        <v>324</v>
      </c>
      <c r="P7" s="23" t="s">
        <v>82</v>
      </c>
      <c r="Q7" s="23" t="s">
        <v>163</v>
      </c>
      <c r="R7" s="23" t="s">
        <v>164</v>
      </c>
      <c r="S7" s="23" t="s">
        <v>83</v>
      </c>
      <c r="T7" s="23" t="s">
        <v>84</v>
      </c>
      <c r="U7" s="23" t="s">
        <v>85</v>
      </c>
      <c r="V7" s="23" t="s">
        <v>86</v>
      </c>
      <c r="W7" s="23" t="s">
        <v>86</v>
      </c>
      <c r="X7" s="23" t="s">
        <v>87</v>
      </c>
      <c r="Y7" s="23" t="s">
        <v>88</v>
      </c>
      <c r="Z7" s="23" t="s">
        <v>89</v>
      </c>
      <c r="AA7" s="23" t="s">
        <v>90</v>
      </c>
      <c r="AB7" s="23" t="s">
        <v>165</v>
      </c>
      <c r="AC7" s="23" t="s">
        <v>91</v>
      </c>
      <c r="AD7" s="23" t="s">
        <v>91</v>
      </c>
      <c r="AE7" s="23" t="s">
        <v>326</v>
      </c>
      <c r="AF7" s="23" t="s">
        <v>326</v>
      </c>
      <c r="AG7" s="23" t="s">
        <v>166</v>
      </c>
      <c r="AH7" s="23" t="s">
        <v>167</v>
      </c>
      <c r="AI7" s="23" t="s">
        <v>92</v>
      </c>
      <c r="AJ7" s="23" t="s">
        <v>92</v>
      </c>
      <c r="AK7" s="23" t="s">
        <v>60</v>
      </c>
      <c r="AL7" s="23" t="s">
        <v>93</v>
      </c>
      <c r="AM7" s="23" t="s">
        <v>62</v>
      </c>
      <c r="AN7" s="23" t="s">
        <v>59</v>
      </c>
      <c r="AO7" s="23" t="s">
        <v>73</v>
      </c>
      <c r="AP7" s="23" t="s">
        <v>94</v>
      </c>
      <c r="AQ7" s="23" t="s">
        <v>95</v>
      </c>
      <c r="AR7" s="23" t="s">
        <v>72</v>
      </c>
      <c r="AS7" s="23" t="s">
        <v>96</v>
      </c>
      <c r="AT7" s="23" t="s">
        <v>71</v>
      </c>
      <c r="AU7" s="23" t="s">
        <v>71</v>
      </c>
      <c r="AV7" s="23" t="s">
        <v>67</v>
      </c>
      <c r="AW7" s="23" t="s">
        <v>67</v>
      </c>
      <c r="AX7" s="23" t="s">
        <v>65</v>
      </c>
      <c r="AY7" s="23" t="s">
        <v>65</v>
      </c>
      <c r="AZ7" s="23" t="s">
        <v>97</v>
      </c>
      <c r="BA7" s="23" t="s">
        <v>68</v>
      </c>
      <c r="BB7" s="23" t="s">
        <v>66</v>
      </c>
      <c r="BC7" s="23" t="s">
        <v>66</v>
      </c>
      <c r="BD7" s="23" t="s">
        <v>168</v>
      </c>
      <c r="BE7" s="23" t="s">
        <v>169</v>
      </c>
      <c r="BF7" s="23" t="s">
        <v>99</v>
      </c>
      <c r="BG7" s="23" t="s">
        <v>100</v>
      </c>
      <c r="BH7" s="23" t="s">
        <v>63</v>
      </c>
      <c r="BI7" s="23" t="s">
        <v>63</v>
      </c>
      <c r="BJ7" s="23" t="s">
        <v>63</v>
      </c>
      <c r="BK7" s="23" t="s">
        <v>101</v>
      </c>
      <c r="BL7" s="23" t="s">
        <v>101</v>
      </c>
      <c r="BM7" s="23" t="s">
        <v>101</v>
      </c>
      <c r="BN7" s="23" t="s">
        <v>171</v>
      </c>
      <c r="BO7" s="23" t="s">
        <v>102</v>
      </c>
      <c r="BP7" s="23" t="s">
        <v>307</v>
      </c>
      <c r="BQ7" s="23" t="s">
        <v>307</v>
      </c>
      <c r="BR7" s="23" t="s">
        <v>103</v>
      </c>
      <c r="BS7" s="23" t="s">
        <v>103</v>
      </c>
      <c r="BT7" s="23" t="s">
        <v>104</v>
      </c>
      <c r="BU7" s="23" t="s">
        <v>172</v>
      </c>
      <c r="BV7" s="23" t="s">
        <v>105</v>
      </c>
      <c r="BW7" s="23" t="s">
        <v>105</v>
      </c>
      <c r="BX7" s="23" t="s">
        <v>106</v>
      </c>
      <c r="BY7" s="23" t="s">
        <v>173</v>
      </c>
      <c r="BZ7" s="23" t="s">
        <v>64</v>
      </c>
      <c r="CA7" s="23" t="s">
        <v>64</v>
      </c>
      <c r="CB7" s="23" t="s">
        <v>107</v>
      </c>
      <c r="CC7" s="23" t="s">
        <v>108</v>
      </c>
      <c r="CD7" s="23" t="s">
        <v>109</v>
      </c>
      <c r="CE7" s="23" t="s">
        <v>109</v>
      </c>
      <c r="CF7" s="23" t="s">
        <v>110</v>
      </c>
      <c r="CG7" s="23" t="s">
        <v>111</v>
      </c>
      <c r="CH7" s="23" t="s">
        <v>112</v>
      </c>
      <c r="CI7" s="23" t="s">
        <v>327</v>
      </c>
      <c r="CJ7" s="23" t="s">
        <v>113</v>
      </c>
      <c r="CK7" s="23" t="s">
        <v>174</v>
      </c>
      <c r="CL7" s="23" t="s">
        <v>114</v>
      </c>
      <c r="CM7" s="23" t="s">
        <v>115</v>
      </c>
      <c r="CN7" s="23" t="s">
        <v>115</v>
      </c>
      <c r="CO7" s="23" t="s">
        <v>175</v>
      </c>
      <c r="CP7" s="23" t="s">
        <v>176</v>
      </c>
      <c r="CQ7" s="23" t="s">
        <v>74</v>
      </c>
      <c r="CR7" s="23" t="s">
        <v>177</v>
      </c>
      <c r="CS7" s="23"/>
      <c r="CT7" s="23"/>
      <c r="CU7" s="23"/>
      <c r="CV7" s="23"/>
      <c r="CW7" s="23"/>
      <c r="CX7" s="23"/>
      <c r="CY7" s="23"/>
      <c r="CZ7" s="23"/>
      <c r="DA7" s="23"/>
      <c r="DB7" s="23"/>
      <c r="DC7" s="23"/>
      <c r="DD7" s="23"/>
      <c r="DE7" s="23"/>
      <c r="DF7" s="23"/>
      <c r="DG7" s="23"/>
      <c r="DH7" s="23"/>
      <c r="DI7" s="23"/>
      <c r="DJ7" s="23"/>
      <c r="DK7" s="23"/>
      <c r="DL7" s="23"/>
      <c r="DM7" s="23"/>
      <c r="DN7" s="23"/>
      <c r="DO7" s="23"/>
      <c r="DP7" s="23"/>
      <c r="DQ7" s="23"/>
      <c r="DR7" s="23"/>
      <c r="DS7" s="23"/>
      <c r="DT7" s="23"/>
      <c r="DU7" s="23"/>
      <c r="DV7" s="23"/>
      <c r="DW7" s="23"/>
      <c r="DX7" s="23"/>
      <c r="DY7" s="23"/>
      <c r="DZ7" s="23"/>
      <c r="EA7" s="23"/>
      <c r="EB7" s="23"/>
      <c r="EC7" s="23"/>
    </row>
    <row r="8" spans="1:145" x14ac:dyDescent="0.2">
      <c r="A8" s="25" t="s">
        <v>75</v>
      </c>
      <c r="B8" s="26"/>
    </row>
    <row r="9" spans="1:145" x14ac:dyDescent="0.2">
      <c r="A9" s="28">
        <v>1880</v>
      </c>
      <c r="C9" s="29"/>
      <c r="D9" s="29"/>
      <c r="E9" s="29"/>
      <c r="F9" s="29">
        <v>0.54545454545454553</v>
      </c>
      <c r="G9" s="29">
        <v>0.63636363636363635</v>
      </c>
      <c r="H9" s="29">
        <v>0.95454545454545447</v>
      </c>
      <c r="I9" s="29">
        <v>0.97499999999999998</v>
      </c>
      <c r="J9" s="29">
        <v>1.1363636363636362</v>
      </c>
      <c r="K9" s="29"/>
      <c r="L9" s="29"/>
      <c r="M9" s="29"/>
      <c r="N9" s="29"/>
      <c r="O9" s="29">
        <v>0.41818181818181821</v>
      </c>
      <c r="P9" s="29"/>
      <c r="Q9" s="29"/>
      <c r="R9" s="29">
        <v>0.4363636363636364</v>
      </c>
      <c r="S9" s="29">
        <v>0.81818181818181823</v>
      </c>
      <c r="T9" s="29">
        <v>0.88545454545454549</v>
      </c>
      <c r="U9" s="29">
        <v>1.3090909090909091</v>
      </c>
      <c r="V9" s="29"/>
      <c r="W9" s="29">
        <v>0.4363636363636364</v>
      </c>
      <c r="X9" s="29">
        <v>0.29090909090909089</v>
      </c>
      <c r="Y9" s="29">
        <v>0.90909090909090917</v>
      </c>
      <c r="Z9" s="29">
        <v>7.2727272727272725</v>
      </c>
      <c r="AA9" s="29">
        <v>1.5</v>
      </c>
      <c r="AB9" s="29">
        <v>1.4090909090909089</v>
      </c>
      <c r="AC9" s="29">
        <v>0.81818181818181823</v>
      </c>
      <c r="AD9" s="29"/>
      <c r="AE9" s="29"/>
      <c r="AF9" s="29"/>
      <c r="AG9" s="29"/>
      <c r="AH9" s="29"/>
      <c r="AI9" s="29"/>
      <c r="AJ9" s="29"/>
      <c r="AK9" s="29"/>
      <c r="AL9" s="29"/>
      <c r="AM9" s="29"/>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30"/>
      <c r="EM9" s="30"/>
      <c r="EN9" s="30"/>
      <c r="EO9" s="30"/>
    </row>
    <row r="10" spans="1:145" x14ac:dyDescent="0.2">
      <c r="A10" s="28">
        <v>1882</v>
      </c>
      <c r="C10" s="29">
        <v>67.059175730964981</v>
      </c>
      <c r="D10" s="29"/>
      <c r="E10" s="29"/>
      <c r="F10" s="29">
        <v>0.54545454545454541</v>
      </c>
      <c r="G10" s="29">
        <v>0.63920454545454541</v>
      </c>
      <c r="H10" s="29">
        <v>0.1364620228256592</v>
      </c>
      <c r="I10" s="29">
        <v>0.97278517660683261</v>
      </c>
      <c r="J10" s="29">
        <v>1.1374407582938388</v>
      </c>
      <c r="K10" s="29"/>
      <c r="L10" s="29"/>
      <c r="M10" s="29"/>
      <c r="N10" s="29"/>
      <c r="O10" s="29"/>
      <c r="P10" s="29"/>
      <c r="Q10" s="29"/>
      <c r="R10" s="29">
        <v>0.45454545454545453</v>
      </c>
      <c r="S10" s="29">
        <v>0.55168119551681194</v>
      </c>
      <c r="T10" s="29">
        <v>0.63636363636363635</v>
      </c>
      <c r="U10" s="29"/>
      <c r="V10" s="29">
        <v>4.1999999999999993</v>
      </c>
      <c r="W10" s="29"/>
      <c r="X10" s="29">
        <v>0.1818181818181818</v>
      </c>
      <c r="Y10" s="29"/>
      <c r="Z10" s="29"/>
      <c r="AA10" s="29"/>
      <c r="AB10" s="29"/>
      <c r="AC10" s="29">
        <v>0.51194805194805204</v>
      </c>
      <c r="AD10" s="29"/>
      <c r="AE10" s="29">
        <v>0.09</v>
      </c>
      <c r="AF10" s="29"/>
      <c r="AG10" s="29"/>
      <c r="AH10" s="29">
        <v>0.4</v>
      </c>
      <c r="AI10" s="29"/>
      <c r="AJ10" s="29"/>
      <c r="AK10" s="29">
        <v>47.75426150538415</v>
      </c>
      <c r="AL10" s="29">
        <v>4.6666666666666662E-2</v>
      </c>
      <c r="AM10" s="29">
        <v>14.227131471408619</v>
      </c>
      <c r="AN10" s="29">
        <v>65.454545454545453</v>
      </c>
      <c r="AO10" s="29">
        <v>19.353333333333332</v>
      </c>
      <c r="AP10" s="29"/>
      <c r="AQ10" s="29">
        <v>76.36363636363636</v>
      </c>
      <c r="AR10" s="29"/>
      <c r="AS10" s="29"/>
      <c r="AT10" s="29"/>
      <c r="AU10" s="29"/>
      <c r="AV10" s="29">
        <v>24.81818181818182</v>
      </c>
      <c r="AW10" s="29"/>
      <c r="AX10" s="29"/>
      <c r="AY10" s="29">
        <v>87.818181818181813</v>
      </c>
      <c r="AZ10" s="29"/>
      <c r="BA10" s="29"/>
      <c r="BB10" s="29"/>
      <c r="BC10" s="29"/>
      <c r="BD10" s="29">
        <v>152.72727272727272</v>
      </c>
      <c r="BE10" s="29">
        <v>7.6363636363636358</v>
      </c>
      <c r="BF10" s="29"/>
      <c r="BG10" s="29"/>
      <c r="BH10" s="29"/>
      <c r="BI10" s="29"/>
      <c r="BJ10" s="29"/>
      <c r="BK10" s="29">
        <v>0.05</v>
      </c>
      <c r="BL10" s="29"/>
      <c r="BM10" s="29"/>
      <c r="BN10" s="29"/>
      <c r="BO10" s="29"/>
      <c r="BP10" s="29"/>
      <c r="BQ10" s="29"/>
      <c r="BR10" s="29">
        <v>32.513539748346659</v>
      </c>
      <c r="BS10" s="29"/>
      <c r="BT10" s="29"/>
      <c r="BU10" s="29"/>
      <c r="BV10" s="29"/>
      <c r="BW10" s="29"/>
      <c r="BX10" s="29"/>
      <c r="BY10" s="29"/>
      <c r="BZ10" s="29"/>
      <c r="CA10" s="29"/>
      <c r="CB10" s="29"/>
      <c r="CC10" s="29"/>
      <c r="CD10" s="29"/>
      <c r="CE10" s="29"/>
      <c r="CF10" s="29">
        <v>1.2192577405629994</v>
      </c>
      <c r="CG10" s="29">
        <v>11.176529288494164</v>
      </c>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30"/>
      <c r="EM10" s="30"/>
      <c r="EN10" s="30"/>
      <c r="EO10" s="30"/>
    </row>
    <row r="11" spans="1:145" x14ac:dyDescent="0.2">
      <c r="A11" s="28">
        <v>1884</v>
      </c>
      <c r="C11" s="29">
        <v>47.801371549147184</v>
      </c>
      <c r="D11" s="29">
        <v>13.333333333333334</v>
      </c>
      <c r="E11" s="29">
        <v>10.434835939895738</v>
      </c>
      <c r="F11" s="29"/>
      <c r="G11" s="29"/>
      <c r="H11" s="29"/>
      <c r="I11" s="29"/>
      <c r="J11" s="29"/>
      <c r="K11" s="29"/>
      <c r="L11" s="29"/>
      <c r="M11" s="29"/>
      <c r="N11" s="29"/>
      <c r="O11" s="29"/>
      <c r="P11" s="29">
        <v>2.6914970325586558</v>
      </c>
      <c r="Q11" s="29"/>
      <c r="R11" s="29"/>
      <c r="S11" s="29"/>
      <c r="T11" s="29"/>
      <c r="U11" s="29"/>
      <c r="V11" s="29"/>
      <c r="W11" s="29"/>
      <c r="X11" s="29"/>
      <c r="Y11" s="29"/>
      <c r="Z11" s="29"/>
      <c r="AA11" s="29"/>
      <c r="AB11" s="29"/>
      <c r="AC11" s="29"/>
      <c r="AD11" s="29"/>
      <c r="AE11" s="29"/>
      <c r="AF11" s="29"/>
      <c r="AG11" s="29"/>
      <c r="AH11" s="29"/>
      <c r="AI11" s="29"/>
      <c r="AJ11" s="29"/>
      <c r="AK11" s="29">
        <v>13.971830985915494</v>
      </c>
      <c r="AL11" s="29">
        <v>4.0002113718030016E-2</v>
      </c>
      <c r="AM11" s="29">
        <v>41.010120732858219</v>
      </c>
      <c r="AN11" s="29">
        <v>75.719298245614041</v>
      </c>
      <c r="AO11" s="29"/>
      <c r="AP11" s="29">
        <v>3.0293159609120521</v>
      </c>
      <c r="AQ11" s="29"/>
      <c r="AR11" s="29"/>
      <c r="AS11" s="29">
        <v>3</v>
      </c>
      <c r="AT11" s="29">
        <v>1.0096566523605151</v>
      </c>
      <c r="AU11" s="29"/>
      <c r="AV11" s="29"/>
      <c r="AW11" s="29">
        <v>0.19388791432000738</v>
      </c>
      <c r="AX11" s="29">
        <v>18.930327868852459</v>
      </c>
      <c r="AY11" s="29"/>
      <c r="AZ11" s="29"/>
      <c r="BA11" s="29"/>
      <c r="BB11" s="29">
        <v>17.264367816091955</v>
      </c>
      <c r="BC11" s="29"/>
      <c r="BD11" s="29"/>
      <c r="BE11" s="29"/>
      <c r="BF11" s="29"/>
      <c r="BG11" s="29">
        <v>15.784881922563418</v>
      </c>
      <c r="BH11" s="29">
        <v>16.218523260776781</v>
      </c>
      <c r="BI11" s="29"/>
      <c r="BJ11" s="29"/>
      <c r="BK11" s="29"/>
      <c r="BL11" s="29">
        <v>7.6428571428571432</v>
      </c>
      <c r="BM11" s="29"/>
      <c r="BN11" s="29">
        <v>0.80301437083771465</v>
      </c>
      <c r="BO11" s="29">
        <v>0.17997888810696691</v>
      </c>
      <c r="BP11" s="29">
        <v>1.2749428789032748</v>
      </c>
      <c r="BQ11" s="29"/>
      <c r="BR11" s="29"/>
      <c r="BS11" s="29"/>
      <c r="BT11" s="29"/>
      <c r="BU11" s="29"/>
      <c r="BV11" s="29"/>
      <c r="BW11" s="29"/>
      <c r="BX11" s="29"/>
      <c r="BY11" s="29"/>
      <c r="BZ11" s="29"/>
      <c r="CA11" s="29"/>
      <c r="CB11" s="29">
        <v>2.0189061444969614</v>
      </c>
      <c r="CC11" s="29"/>
      <c r="CD11" s="29">
        <v>5.6</v>
      </c>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B11" s="29"/>
      <c r="EC11" s="29"/>
      <c r="ED11" s="29"/>
      <c r="EE11" s="29"/>
      <c r="EF11" s="29"/>
      <c r="EG11" s="29"/>
      <c r="EH11" s="29"/>
      <c r="EI11" s="29"/>
      <c r="EJ11" s="29"/>
      <c r="EK11" s="29"/>
      <c r="EL11" s="30"/>
      <c r="EM11" s="30"/>
      <c r="EN11" s="30"/>
      <c r="EO11" s="30"/>
    </row>
    <row r="12" spans="1:145" x14ac:dyDescent="0.2">
      <c r="A12" s="28">
        <v>1885</v>
      </c>
      <c r="C12" s="29">
        <v>76.305130204272572</v>
      </c>
      <c r="D12" s="29">
        <v>12.859756097560975</v>
      </c>
      <c r="E12" s="29">
        <v>12.444444444444445</v>
      </c>
      <c r="F12" s="29"/>
      <c r="G12" s="29"/>
      <c r="H12" s="29"/>
      <c r="I12" s="29"/>
      <c r="J12" s="29"/>
      <c r="K12" s="29"/>
      <c r="L12" s="29"/>
      <c r="M12" s="29"/>
      <c r="N12" s="29"/>
      <c r="O12" s="29"/>
      <c r="P12" s="29">
        <v>1.5766244546347192</v>
      </c>
      <c r="Q12" s="29"/>
      <c r="R12" s="29"/>
      <c r="S12" s="29"/>
      <c r="T12" s="29"/>
      <c r="U12" s="29"/>
      <c r="V12" s="29"/>
      <c r="W12" s="29"/>
      <c r="X12" s="29"/>
      <c r="Y12" s="29"/>
      <c r="Z12" s="29"/>
      <c r="AA12" s="29"/>
      <c r="AB12" s="29"/>
      <c r="AC12" s="29"/>
      <c r="AD12" s="29"/>
      <c r="AE12" s="29"/>
      <c r="AF12" s="29"/>
      <c r="AG12" s="29"/>
      <c r="AH12" s="29"/>
      <c r="AI12" s="29"/>
      <c r="AJ12" s="29"/>
      <c r="AK12" s="29">
        <v>51.162893394965572</v>
      </c>
      <c r="AL12" s="29">
        <v>3.7843881701008761E-2</v>
      </c>
      <c r="AM12" s="29"/>
      <c r="AN12" s="29">
        <v>79.514767932489434</v>
      </c>
      <c r="AO12" s="29"/>
      <c r="AP12" s="29">
        <v>4.3672680412371134</v>
      </c>
      <c r="AQ12" s="29"/>
      <c r="AR12" s="29"/>
      <c r="AS12" s="29"/>
      <c r="AT12" s="29"/>
      <c r="AU12" s="29"/>
      <c r="AV12" s="29"/>
      <c r="AW12" s="29">
        <v>1.0906363636363636</v>
      </c>
      <c r="AX12" s="29">
        <v>10.447718631178708</v>
      </c>
      <c r="AY12" s="29"/>
      <c r="AZ12" s="29"/>
      <c r="BA12" s="29"/>
      <c r="BB12" s="29">
        <v>14.9</v>
      </c>
      <c r="BC12" s="29"/>
      <c r="BD12" s="29"/>
      <c r="BE12" s="29"/>
      <c r="BF12" s="29"/>
      <c r="BG12" s="29">
        <v>18.413324610817945</v>
      </c>
      <c r="BH12" s="29"/>
      <c r="BI12" s="29"/>
      <c r="BJ12" s="29">
        <v>4.848993288590604</v>
      </c>
      <c r="BK12" s="29"/>
      <c r="BL12" s="29"/>
      <c r="BM12" s="29">
        <v>1.4999993303574417</v>
      </c>
      <c r="BN12" s="29"/>
      <c r="BO12" s="29">
        <v>0.44448134617513563</v>
      </c>
      <c r="BP12" s="29"/>
      <c r="BQ12" s="29">
        <v>5.4413938753959874</v>
      </c>
      <c r="BR12" s="29"/>
      <c r="BS12" s="29">
        <v>9</v>
      </c>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B12" s="29"/>
      <c r="EC12" s="29"/>
      <c r="ED12" s="29"/>
      <c r="EE12" s="29"/>
      <c r="EF12" s="29"/>
      <c r="EG12" s="29"/>
      <c r="EH12" s="29"/>
      <c r="EI12" s="29"/>
      <c r="EJ12" s="29"/>
      <c r="EK12" s="29"/>
      <c r="EL12" s="30"/>
      <c r="EM12" s="30"/>
      <c r="EN12" s="30"/>
      <c r="EO12" s="30"/>
    </row>
    <row r="13" spans="1:145" x14ac:dyDescent="0.2">
      <c r="A13" s="28">
        <v>1886</v>
      </c>
      <c r="C13" s="29">
        <v>49.22525057147881</v>
      </c>
      <c r="D13" s="29">
        <v>12.935646053293112</v>
      </c>
      <c r="E13" s="29">
        <v>11.109420289855073</v>
      </c>
      <c r="F13" s="29"/>
      <c r="G13" s="29"/>
      <c r="H13" s="29"/>
      <c r="I13" s="29"/>
      <c r="J13" s="29"/>
      <c r="K13" s="29"/>
      <c r="L13" s="29"/>
      <c r="M13" s="29"/>
      <c r="N13" s="29"/>
      <c r="O13" s="29"/>
      <c r="P13" s="29">
        <v>1.612105783593865</v>
      </c>
      <c r="Q13" s="29"/>
      <c r="R13" s="29"/>
      <c r="S13" s="29"/>
      <c r="T13" s="29"/>
      <c r="U13" s="29"/>
      <c r="V13" s="29"/>
      <c r="W13" s="29"/>
      <c r="X13" s="29"/>
      <c r="Y13" s="29"/>
      <c r="Z13" s="29"/>
      <c r="AA13" s="29"/>
      <c r="AB13" s="29"/>
      <c r="AC13" s="29"/>
      <c r="AD13" s="29"/>
      <c r="AE13" s="29"/>
      <c r="AF13" s="29"/>
      <c r="AG13" s="29"/>
      <c r="AH13" s="29"/>
      <c r="AI13" s="29"/>
      <c r="AJ13" s="29"/>
      <c r="AK13" s="29">
        <v>76.002580837429832</v>
      </c>
      <c r="AL13" s="29">
        <v>4.6284987661022403E-2</v>
      </c>
      <c r="AM13" s="29"/>
      <c r="AN13" s="29">
        <v>97.013429544998999</v>
      </c>
      <c r="AO13" s="29"/>
      <c r="AP13" s="29">
        <v>3.3234200743494422</v>
      </c>
      <c r="AQ13" s="29"/>
      <c r="AR13" s="29"/>
      <c r="AS13" s="29"/>
      <c r="AT13" s="29"/>
      <c r="AU13" s="29"/>
      <c r="AV13" s="29"/>
      <c r="AW13" s="29">
        <v>1.0593730697961705</v>
      </c>
      <c r="AX13" s="29">
        <v>9.6971279373368144</v>
      </c>
      <c r="AY13" s="29"/>
      <c r="AZ13" s="29"/>
      <c r="BA13" s="29"/>
      <c r="BB13" s="29">
        <v>13.540816326530612</v>
      </c>
      <c r="BC13" s="29"/>
      <c r="BD13" s="29"/>
      <c r="BE13" s="29"/>
      <c r="BF13" s="29"/>
      <c r="BG13" s="29">
        <v>17.50111187096774</v>
      </c>
      <c r="BH13" s="29"/>
      <c r="BI13" s="29"/>
      <c r="BJ13" s="29">
        <v>3.8777848504137493</v>
      </c>
      <c r="BK13" s="29"/>
      <c r="BL13" s="29"/>
      <c r="BM13" s="29">
        <v>0.95476147852910176</v>
      </c>
      <c r="BN13" s="29"/>
      <c r="BO13" s="29">
        <v>1.1822474032105761</v>
      </c>
      <c r="BP13" s="29"/>
      <c r="BQ13" s="29">
        <v>5.0988604866030185</v>
      </c>
      <c r="BR13" s="29"/>
      <c r="BS13" s="29">
        <v>8.8544303797468356</v>
      </c>
      <c r="BT13" s="29"/>
      <c r="BU13" s="29"/>
      <c r="BV13" s="29"/>
      <c r="BW13" s="29">
        <v>4.468619246861925</v>
      </c>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J13" s="29"/>
      <c r="DK13" s="29"/>
      <c r="DL13" s="29"/>
      <c r="DM13" s="29"/>
      <c r="DN13" s="29"/>
      <c r="DO13" s="29"/>
      <c r="DP13" s="29"/>
      <c r="DQ13" s="29"/>
      <c r="DR13" s="29"/>
      <c r="DS13" s="29"/>
      <c r="DT13" s="29"/>
      <c r="DU13" s="29"/>
      <c r="DV13" s="29"/>
      <c r="DW13" s="29"/>
      <c r="DX13" s="29"/>
      <c r="DY13" s="29"/>
      <c r="DZ13" s="29"/>
      <c r="EB13" s="29"/>
      <c r="EC13" s="29"/>
      <c r="ED13" s="29"/>
      <c r="EE13" s="29"/>
      <c r="EF13" s="29"/>
      <c r="EG13" s="29"/>
      <c r="EH13" s="29"/>
      <c r="EI13" s="29"/>
      <c r="EJ13" s="29"/>
      <c r="EK13" s="29"/>
      <c r="EL13" s="30"/>
      <c r="EM13" s="30"/>
      <c r="EN13" s="30"/>
      <c r="EO13" s="30"/>
    </row>
    <row r="14" spans="1:145" x14ac:dyDescent="0.2">
      <c r="A14" s="28">
        <v>1887</v>
      </c>
      <c r="C14" s="29">
        <v>43.254801536491684</v>
      </c>
      <c r="D14" s="29">
        <v>13.333333333333334</v>
      </c>
      <c r="E14" s="29">
        <v>15.151227236737926</v>
      </c>
      <c r="F14" s="29"/>
      <c r="G14" s="29"/>
      <c r="H14" s="29"/>
      <c r="I14" s="29"/>
      <c r="J14" s="29"/>
      <c r="K14" s="29"/>
      <c r="L14" s="29"/>
      <c r="M14" s="29"/>
      <c r="N14" s="29"/>
      <c r="O14" s="29"/>
      <c r="P14" s="29">
        <v>5.0407350249434737</v>
      </c>
      <c r="Q14" s="29"/>
      <c r="R14" s="29"/>
      <c r="S14" s="29"/>
      <c r="T14" s="29"/>
      <c r="U14" s="29"/>
      <c r="V14" s="29"/>
      <c r="W14" s="29"/>
      <c r="X14" s="29"/>
      <c r="Y14" s="29"/>
      <c r="Z14" s="29"/>
      <c r="AA14" s="29"/>
      <c r="AB14" s="29"/>
      <c r="AC14" s="29"/>
      <c r="AD14" s="29"/>
      <c r="AE14" s="29"/>
      <c r="AF14" s="29"/>
      <c r="AG14" s="29"/>
      <c r="AH14" s="29"/>
      <c r="AI14" s="29"/>
      <c r="AJ14" s="29"/>
      <c r="AK14" s="29">
        <v>60.709879428160306</v>
      </c>
      <c r="AL14" s="29">
        <v>4.8480791090469121E-2</v>
      </c>
      <c r="AM14" s="29">
        <v>14.546115307738233</v>
      </c>
      <c r="AN14" s="29">
        <v>233.62122495060686</v>
      </c>
      <c r="AO14" s="29"/>
      <c r="AP14" s="29">
        <v>6.5621052631578944</v>
      </c>
      <c r="AQ14" s="29"/>
      <c r="AR14" s="29"/>
      <c r="AS14" s="29"/>
      <c r="AT14" s="29"/>
      <c r="AU14" s="29"/>
      <c r="AV14" s="29"/>
      <c r="AW14" s="29">
        <v>0.48578227971686599</v>
      </c>
      <c r="AX14" s="29">
        <v>14.402277039848197</v>
      </c>
      <c r="AY14" s="29"/>
      <c r="AZ14" s="29"/>
      <c r="BA14" s="29"/>
      <c r="BB14" s="29">
        <v>2.5321100917431192</v>
      </c>
      <c r="BC14" s="29"/>
      <c r="BD14" s="29"/>
      <c r="BE14" s="29"/>
      <c r="BF14" s="29"/>
      <c r="BG14" s="29">
        <v>21.206374729950902</v>
      </c>
      <c r="BH14" s="29"/>
      <c r="BI14" s="29"/>
      <c r="BJ14" s="29">
        <v>4.3656343656343655</v>
      </c>
      <c r="BK14" s="29"/>
      <c r="BL14" s="29"/>
      <c r="BM14" s="29">
        <v>0.49296502656309871</v>
      </c>
      <c r="BN14" s="29"/>
      <c r="BO14" s="29">
        <v>6.5158017947717514E-2</v>
      </c>
      <c r="BP14" s="29"/>
      <c r="BQ14" s="29">
        <v>10.232815964523281</v>
      </c>
      <c r="BR14" s="29"/>
      <c r="BS14" s="29">
        <v>3</v>
      </c>
      <c r="BT14" s="29"/>
      <c r="BU14" s="29"/>
      <c r="BV14" s="29"/>
      <c r="BW14" s="29">
        <v>5.630791161796151</v>
      </c>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c r="EL14" s="30"/>
      <c r="EM14" s="30"/>
      <c r="EN14" s="30"/>
      <c r="EO14" s="30"/>
    </row>
    <row r="15" spans="1:145" x14ac:dyDescent="0.2">
      <c r="A15" s="28">
        <v>1888</v>
      </c>
      <c r="C15" s="29">
        <v>38.843985120600564</v>
      </c>
      <c r="D15" s="29">
        <v>17.610860154338415</v>
      </c>
      <c r="E15" s="29">
        <v>7.9238095238095241</v>
      </c>
      <c r="F15" s="29"/>
      <c r="G15" s="29"/>
      <c r="H15" s="29"/>
      <c r="I15" s="29"/>
      <c r="J15" s="29"/>
      <c r="K15" s="29"/>
      <c r="L15" s="29"/>
      <c r="M15" s="29"/>
      <c r="N15" s="29"/>
      <c r="O15" s="29"/>
      <c r="P15" s="29">
        <v>13.422818791946309</v>
      </c>
      <c r="Q15" s="29"/>
      <c r="R15" s="29"/>
      <c r="S15" s="29"/>
      <c r="T15" s="29"/>
      <c r="U15" s="29"/>
      <c r="V15" s="29"/>
      <c r="W15" s="29"/>
      <c r="X15" s="29"/>
      <c r="Y15" s="29"/>
      <c r="Z15" s="29"/>
      <c r="AA15" s="29"/>
      <c r="AB15" s="29"/>
      <c r="AC15" s="29"/>
      <c r="AD15" s="29"/>
      <c r="AE15" s="29"/>
      <c r="AF15" s="29"/>
      <c r="AG15" s="29"/>
      <c r="AH15" s="29"/>
      <c r="AI15" s="29"/>
      <c r="AJ15" s="29"/>
      <c r="AK15" s="29">
        <v>77.728403889754347</v>
      </c>
      <c r="AL15" s="29">
        <v>4.5481670929241262E-2</v>
      </c>
      <c r="AM15" s="29">
        <v>29.014177382129905</v>
      </c>
      <c r="AN15" s="29">
        <v>216.16464704750913</v>
      </c>
      <c r="AO15" s="29"/>
      <c r="AP15" s="29">
        <v>4.4987633965375107</v>
      </c>
      <c r="AQ15" s="29"/>
      <c r="AR15" s="29"/>
      <c r="AS15" s="29"/>
      <c r="AT15" s="29"/>
      <c r="AU15" s="29"/>
      <c r="AV15" s="29"/>
      <c r="AW15" s="29">
        <v>0.545826571650321</v>
      </c>
      <c r="AX15" s="29">
        <v>14.09433962264151</v>
      </c>
      <c r="AY15" s="29"/>
      <c r="AZ15" s="29"/>
      <c r="BA15" s="29"/>
      <c r="BB15" s="29">
        <v>9.8888888888888893</v>
      </c>
      <c r="BC15" s="29"/>
      <c r="BD15" s="29"/>
      <c r="BE15" s="29"/>
      <c r="BF15" s="29"/>
      <c r="BG15" s="29">
        <v>29.335702659478887</v>
      </c>
      <c r="BH15" s="29"/>
      <c r="BI15" s="29"/>
      <c r="BJ15" s="29">
        <v>1.6914285714285715</v>
      </c>
      <c r="BK15" s="29"/>
      <c r="BL15" s="29"/>
      <c r="BM15" s="29">
        <v>0.47460410466993014</v>
      </c>
      <c r="BN15" s="29"/>
      <c r="BO15" s="29">
        <v>0.22717733473242394</v>
      </c>
      <c r="BP15" s="29"/>
      <c r="BQ15" s="29">
        <v>5.0075342465753421</v>
      </c>
      <c r="BR15" s="29"/>
      <c r="BS15" s="29">
        <v>9.0789473684210531</v>
      </c>
      <c r="BT15" s="29"/>
      <c r="BU15" s="29"/>
      <c r="BV15" s="29"/>
      <c r="BW15" s="29">
        <v>7.7894736842105265</v>
      </c>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c r="DC15" s="29"/>
      <c r="DD15" s="29"/>
      <c r="DE15" s="29"/>
      <c r="DF15" s="29"/>
      <c r="DG15" s="29"/>
      <c r="DH15" s="29"/>
      <c r="DI15" s="29"/>
      <c r="DJ15" s="29"/>
      <c r="DK15" s="29"/>
      <c r="DL15" s="29"/>
      <c r="DM15" s="29"/>
      <c r="DN15" s="29"/>
      <c r="DO15" s="29"/>
      <c r="DP15" s="29"/>
      <c r="DQ15" s="29"/>
      <c r="DR15" s="29"/>
      <c r="DS15" s="29"/>
      <c r="DT15" s="29"/>
      <c r="DU15" s="29"/>
      <c r="DV15" s="29"/>
      <c r="DW15" s="29"/>
      <c r="DX15" s="29"/>
      <c r="DY15" s="29"/>
      <c r="DZ15" s="29"/>
      <c r="EA15" s="29"/>
      <c r="EB15" s="29"/>
      <c r="EC15" s="29"/>
      <c r="ED15" s="29"/>
      <c r="EE15" s="29"/>
      <c r="EF15" s="29"/>
      <c r="EG15" s="29"/>
      <c r="EH15" s="29"/>
      <c r="EI15" s="29"/>
      <c r="EJ15" s="29"/>
      <c r="EK15" s="29"/>
      <c r="EL15" s="30"/>
      <c r="EM15" s="30"/>
      <c r="EN15" s="30"/>
      <c r="EO15" s="30"/>
    </row>
    <row r="16" spans="1:145" x14ac:dyDescent="0.2">
      <c r="A16" s="28">
        <v>1889</v>
      </c>
      <c r="C16" s="29">
        <v>27.109090909090913</v>
      </c>
      <c r="D16" s="29">
        <v>16.666666666666668</v>
      </c>
      <c r="E16" s="29">
        <v>5.9951474430757754</v>
      </c>
      <c r="F16" s="29"/>
      <c r="G16" s="29"/>
      <c r="H16" s="29"/>
      <c r="I16" s="29"/>
      <c r="J16" s="29"/>
      <c r="K16" s="29"/>
      <c r="L16" s="29"/>
      <c r="M16" s="29"/>
      <c r="N16" s="29"/>
      <c r="O16" s="29"/>
      <c r="P16" s="29">
        <v>13.422818791946309</v>
      </c>
      <c r="Q16" s="29"/>
      <c r="R16" s="29"/>
      <c r="S16" s="29"/>
      <c r="T16" s="29"/>
      <c r="U16" s="29"/>
      <c r="V16" s="29"/>
      <c r="W16" s="29"/>
      <c r="X16" s="29"/>
      <c r="Y16" s="29"/>
      <c r="Z16" s="29"/>
      <c r="AA16" s="29"/>
      <c r="AB16" s="29"/>
      <c r="AC16" s="29"/>
      <c r="AD16" s="29"/>
      <c r="AE16" s="29"/>
      <c r="AF16" s="29"/>
      <c r="AG16" s="29"/>
      <c r="AH16" s="29"/>
      <c r="AI16" s="29"/>
      <c r="AJ16" s="29"/>
      <c r="AK16" s="29">
        <v>45.161755916042971</v>
      </c>
      <c r="AL16" s="29">
        <v>3.357098765432099E-2</v>
      </c>
      <c r="AM16" s="29">
        <v>15.263140484932686</v>
      </c>
      <c r="AN16" s="29">
        <v>40.928859894377133</v>
      </c>
      <c r="AO16" s="29"/>
      <c r="AP16" s="29"/>
      <c r="AQ16" s="29"/>
      <c r="AR16" s="29"/>
      <c r="AS16" s="29"/>
      <c r="AT16" s="29"/>
      <c r="AU16" s="29"/>
      <c r="AV16" s="29"/>
      <c r="AW16" s="29">
        <v>0.57555188289458148</v>
      </c>
      <c r="AX16" s="29">
        <v>8.3568329718004346</v>
      </c>
      <c r="AY16" s="29"/>
      <c r="AZ16" s="29"/>
      <c r="BA16" s="29"/>
      <c r="BB16" s="29"/>
      <c r="BC16" s="29"/>
      <c r="BD16" s="29"/>
      <c r="BE16" s="29"/>
      <c r="BF16" s="29"/>
      <c r="BG16" s="29">
        <v>8.3227040676567654</v>
      </c>
      <c r="BH16" s="29"/>
      <c r="BI16" s="29"/>
      <c r="BJ16" s="29">
        <v>1.1509009009009008</v>
      </c>
      <c r="BK16" s="29"/>
      <c r="BL16" s="29"/>
      <c r="BM16" s="29">
        <v>0.25904787805936935</v>
      </c>
      <c r="BN16" s="29"/>
      <c r="BO16" s="29"/>
      <c r="BP16" s="29"/>
      <c r="BQ16" s="29"/>
      <c r="BR16" s="29"/>
      <c r="BS16" s="29"/>
      <c r="BT16" s="29"/>
      <c r="BU16" s="29"/>
      <c r="BV16" s="29"/>
      <c r="BW16" s="29">
        <v>4.4555256064690028</v>
      </c>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29"/>
      <c r="DT16" s="29"/>
      <c r="DU16" s="29"/>
      <c r="DV16" s="29"/>
      <c r="DW16" s="29"/>
      <c r="DX16" s="29"/>
      <c r="DY16" s="29"/>
      <c r="DZ16" s="29"/>
      <c r="EA16" s="29"/>
      <c r="EB16" s="29"/>
      <c r="EC16" s="29"/>
      <c r="ED16" s="29"/>
      <c r="EE16" s="29"/>
      <c r="EF16" s="29"/>
      <c r="EG16" s="29"/>
      <c r="EH16" s="29"/>
      <c r="EI16" s="29"/>
      <c r="EJ16" s="29"/>
      <c r="EK16" s="29"/>
      <c r="EL16" s="30"/>
      <c r="EM16" s="30"/>
      <c r="EN16" s="30"/>
      <c r="EO16" s="30"/>
    </row>
    <row r="17" spans="1:146" x14ac:dyDescent="0.2">
      <c r="A17" s="28">
        <v>1890</v>
      </c>
      <c r="C17" s="29">
        <v>30.972663699936426</v>
      </c>
      <c r="D17" s="29"/>
      <c r="E17" s="29">
        <v>7.1794871794871797</v>
      </c>
      <c r="F17" s="29"/>
      <c r="G17" s="29"/>
      <c r="H17" s="29"/>
      <c r="I17" s="29"/>
      <c r="J17" s="29"/>
      <c r="K17" s="29"/>
      <c r="L17" s="29"/>
      <c r="M17" s="29"/>
      <c r="N17" s="29"/>
      <c r="O17" s="29"/>
      <c r="P17" s="29"/>
      <c r="Q17" s="29">
        <v>0.37880645161290322</v>
      </c>
      <c r="R17" s="29"/>
      <c r="S17" s="29"/>
      <c r="T17" s="29"/>
      <c r="U17" s="29"/>
      <c r="V17" s="29"/>
      <c r="W17" s="29"/>
      <c r="X17" s="29"/>
      <c r="Y17" s="29"/>
      <c r="Z17" s="29"/>
      <c r="AA17" s="29"/>
      <c r="AB17" s="29"/>
      <c r="AC17" s="29"/>
      <c r="AD17" s="29">
        <v>61.428571428571431</v>
      </c>
      <c r="AE17" s="29"/>
      <c r="AF17" s="29">
        <v>44.299065420560744</v>
      </c>
      <c r="AG17" s="29">
        <v>58.972972972972975</v>
      </c>
      <c r="AH17" s="29"/>
      <c r="AI17" s="29"/>
      <c r="AJ17" s="29">
        <v>78.142857142857139</v>
      </c>
      <c r="AK17" s="29">
        <v>10.515736800121381</v>
      </c>
      <c r="AL17" s="29">
        <v>3.6018087855297157E-2</v>
      </c>
      <c r="AM17" s="29">
        <v>19.012410879324001</v>
      </c>
      <c r="AN17" s="29">
        <v>115.14285714285714</v>
      </c>
      <c r="AO17" s="29">
        <v>23.534469200524249</v>
      </c>
      <c r="AP17" s="29"/>
      <c r="AQ17" s="29"/>
      <c r="AR17" s="29"/>
      <c r="AS17" s="29"/>
      <c r="AT17" s="29"/>
      <c r="AU17" s="29">
        <v>0.35978378378378378</v>
      </c>
      <c r="AV17" s="29">
        <v>12.164579606440071</v>
      </c>
      <c r="AW17" s="29"/>
      <c r="AX17" s="29"/>
      <c r="AY17" s="29"/>
      <c r="AZ17" s="29">
        <v>85</v>
      </c>
      <c r="BA17" s="29"/>
      <c r="BB17" s="29"/>
      <c r="BC17" s="29"/>
      <c r="BD17" s="29"/>
      <c r="BE17" s="29"/>
      <c r="BF17" s="29"/>
      <c r="BG17" s="29">
        <v>8.1859512500000005</v>
      </c>
      <c r="BH17" s="29"/>
      <c r="BI17" s="29">
        <v>13.25</v>
      </c>
      <c r="BJ17" s="29"/>
      <c r="BK17" s="29"/>
      <c r="BL17" s="29"/>
      <c r="BM17" s="29"/>
      <c r="BN17" s="29"/>
      <c r="BO17" s="29"/>
      <c r="BP17" s="29"/>
      <c r="BQ17" s="29"/>
      <c r="BR17" s="29"/>
      <c r="BS17" s="29"/>
      <c r="BT17" s="29"/>
      <c r="BU17" s="29"/>
      <c r="BV17" s="29"/>
      <c r="BW17" s="29"/>
      <c r="BX17" s="29">
        <v>13.24731182795699</v>
      </c>
      <c r="BY17" s="29"/>
      <c r="BZ17" s="29"/>
      <c r="CA17" s="29"/>
      <c r="CB17" s="29"/>
      <c r="CC17" s="29"/>
      <c r="CD17" s="29"/>
      <c r="CE17" s="29"/>
      <c r="CF17" s="29"/>
      <c r="CG17" s="29"/>
      <c r="CH17" s="29"/>
      <c r="CI17" s="29"/>
      <c r="CJ17" s="29"/>
      <c r="CK17" s="29"/>
      <c r="CL17" s="29"/>
      <c r="CM17" s="29"/>
      <c r="CN17" s="29"/>
      <c r="CO17" s="29"/>
      <c r="CP17" s="29"/>
      <c r="CQ17" s="29"/>
      <c r="CR17" s="29"/>
      <c r="CS17" s="29"/>
      <c r="CT17" s="29"/>
      <c r="CU17" s="29"/>
      <c r="CV17" s="29"/>
      <c r="CW17" s="29"/>
      <c r="CX17" s="29"/>
      <c r="CY17" s="29"/>
      <c r="CZ17" s="29"/>
      <c r="DA17" s="29"/>
      <c r="DB17" s="29"/>
      <c r="DC17" s="29"/>
      <c r="DD17" s="29"/>
      <c r="DE17" s="29"/>
      <c r="DF17" s="29"/>
      <c r="DG17" s="29"/>
      <c r="DH17" s="29"/>
      <c r="DI17" s="29"/>
      <c r="DJ17" s="29"/>
      <c r="DK17" s="29"/>
      <c r="DL17" s="29"/>
      <c r="DM17" s="29"/>
      <c r="DN17" s="29"/>
      <c r="DO17" s="29"/>
      <c r="DP17" s="29"/>
      <c r="DQ17" s="29"/>
      <c r="DR17" s="29"/>
      <c r="DS17" s="29"/>
      <c r="DT17" s="29"/>
      <c r="DU17" s="29"/>
      <c r="DV17" s="29"/>
      <c r="DW17" s="29"/>
      <c r="DX17" s="29"/>
      <c r="DY17" s="29"/>
      <c r="DZ17" s="29"/>
      <c r="EA17" s="29"/>
      <c r="EB17" s="29"/>
      <c r="EC17" s="29"/>
      <c r="ED17" s="29"/>
      <c r="EE17" s="29"/>
      <c r="EF17" s="29"/>
      <c r="EG17" s="29"/>
      <c r="EH17" s="29"/>
      <c r="EI17" s="29"/>
      <c r="EJ17" s="29"/>
      <c r="EK17" s="29"/>
      <c r="EL17" s="30"/>
      <c r="EM17" s="30"/>
      <c r="EN17" s="30"/>
      <c r="EO17" s="30"/>
    </row>
    <row r="18" spans="1:146" x14ac:dyDescent="0.2">
      <c r="A18" s="28">
        <v>1891</v>
      </c>
      <c r="C18" s="29">
        <v>38.169890091164696</v>
      </c>
      <c r="D18" s="29"/>
      <c r="E18" s="29">
        <v>8.5271317829457356</v>
      </c>
      <c r="F18" s="29"/>
      <c r="G18" s="29"/>
      <c r="H18" s="29"/>
      <c r="I18" s="29"/>
      <c r="J18" s="29"/>
      <c r="K18" s="29"/>
      <c r="L18" s="29"/>
      <c r="M18" s="29"/>
      <c r="N18" s="29"/>
      <c r="O18" s="29"/>
      <c r="P18" s="29"/>
      <c r="Q18" s="29">
        <v>0.38333333333333336</v>
      </c>
      <c r="R18" s="29"/>
      <c r="S18" s="29"/>
      <c r="T18" s="29"/>
      <c r="U18" s="29"/>
      <c r="V18" s="29"/>
      <c r="W18" s="29"/>
      <c r="X18" s="29"/>
      <c r="Y18" s="29"/>
      <c r="Z18" s="29"/>
      <c r="AA18" s="29"/>
      <c r="AB18" s="29"/>
      <c r="AC18" s="29"/>
      <c r="AD18" s="29">
        <v>61.53846153846154</v>
      </c>
      <c r="AE18" s="29"/>
      <c r="AF18" s="29">
        <v>40.549273021001618</v>
      </c>
      <c r="AG18" s="29">
        <v>60.615384615384613</v>
      </c>
      <c r="AH18" s="29"/>
      <c r="AI18" s="29"/>
      <c r="AJ18" s="29">
        <v>78.260869565217391</v>
      </c>
      <c r="AK18" s="29">
        <v>47.154151092770711</v>
      </c>
      <c r="AL18" s="29">
        <v>3.5970899470899466E-2</v>
      </c>
      <c r="AM18" s="29">
        <v>16.377649325626205</v>
      </c>
      <c r="AN18" s="29">
        <v>115.10857142857142</v>
      </c>
      <c r="AO18" s="29">
        <v>24.070588235294117</v>
      </c>
      <c r="AP18" s="29"/>
      <c r="AQ18" s="29"/>
      <c r="AR18" s="29"/>
      <c r="AS18" s="29"/>
      <c r="AT18" s="29"/>
      <c r="AU18" s="29">
        <v>0.35952941176470588</v>
      </c>
      <c r="AV18" s="29">
        <v>11.851851851851851</v>
      </c>
      <c r="AW18" s="29"/>
      <c r="AX18" s="29"/>
      <c r="AY18" s="29"/>
      <c r="AZ18" s="29">
        <v>66.666666666666671</v>
      </c>
      <c r="BA18" s="29"/>
      <c r="BB18" s="29"/>
      <c r="BC18" s="29"/>
      <c r="BD18" s="29"/>
      <c r="BE18" s="29"/>
      <c r="BF18" s="29"/>
      <c r="BG18" s="29">
        <v>8.2189739130434791</v>
      </c>
      <c r="BH18" s="29"/>
      <c r="BI18" s="29">
        <v>13.333333333333334</v>
      </c>
      <c r="BJ18" s="29"/>
      <c r="BK18" s="29"/>
      <c r="BL18" s="29"/>
      <c r="BM18" s="29"/>
      <c r="BN18" s="29"/>
      <c r="BO18" s="29"/>
      <c r="BP18" s="29"/>
      <c r="BQ18" s="29"/>
      <c r="BR18" s="29"/>
      <c r="BS18" s="29"/>
      <c r="BT18" s="29"/>
      <c r="BU18" s="29"/>
      <c r="BV18" s="29"/>
      <c r="BW18" s="29"/>
      <c r="BX18" s="29">
        <v>13.336887940993513</v>
      </c>
      <c r="BY18" s="29"/>
      <c r="BZ18" s="29"/>
      <c r="CA18" s="29"/>
      <c r="CB18" s="29"/>
      <c r="CC18" s="29"/>
      <c r="CD18" s="29"/>
      <c r="CE18" s="29"/>
      <c r="CF18" s="29"/>
      <c r="CG18" s="29"/>
      <c r="CH18" s="29"/>
      <c r="CI18" s="29"/>
      <c r="CJ18" s="29"/>
      <c r="CK18" s="29"/>
      <c r="CL18" s="29"/>
      <c r="CM18" s="29"/>
      <c r="CN18" s="29"/>
      <c r="CO18" s="29"/>
      <c r="CP18" s="29"/>
      <c r="CQ18" s="29"/>
      <c r="CR18" s="29"/>
      <c r="CS18" s="29"/>
      <c r="CT18" s="29"/>
      <c r="CU18" s="29"/>
      <c r="CV18" s="29"/>
      <c r="CW18" s="29"/>
      <c r="CX18" s="29"/>
      <c r="CY18" s="29"/>
      <c r="CZ18" s="29"/>
      <c r="DA18" s="29"/>
      <c r="DB18" s="29"/>
      <c r="DC18" s="29"/>
      <c r="DD18" s="29"/>
      <c r="DE18" s="29"/>
      <c r="DF18" s="29"/>
      <c r="DG18" s="29"/>
      <c r="DH18" s="29"/>
      <c r="DI18" s="29"/>
      <c r="DJ18" s="29"/>
      <c r="DK18" s="29"/>
      <c r="DL18" s="29"/>
      <c r="DM18" s="29"/>
      <c r="DN18" s="29"/>
      <c r="DO18" s="29"/>
      <c r="DP18" s="29"/>
      <c r="DQ18" s="29"/>
      <c r="DR18" s="29"/>
      <c r="DS18" s="29"/>
      <c r="DT18" s="29"/>
      <c r="DU18" s="29"/>
      <c r="DV18" s="29"/>
      <c r="DW18" s="29"/>
      <c r="DX18" s="29"/>
      <c r="DY18" s="29"/>
      <c r="DZ18" s="29"/>
      <c r="EA18" s="29"/>
      <c r="EB18" s="29"/>
      <c r="EC18" s="29"/>
      <c r="ED18" s="29"/>
      <c r="EE18" s="29"/>
      <c r="EF18" s="29"/>
      <c r="EG18" s="29"/>
      <c r="EH18" s="29"/>
      <c r="EI18" s="29"/>
      <c r="EJ18" s="29"/>
      <c r="EK18" s="29"/>
      <c r="EL18" s="30"/>
      <c r="EM18" s="30"/>
      <c r="EN18" s="30"/>
      <c r="EO18" s="30"/>
    </row>
    <row r="19" spans="1:146" x14ac:dyDescent="0.2">
      <c r="A19" s="28">
        <v>1892</v>
      </c>
      <c r="C19" s="29">
        <v>41.757285776424538</v>
      </c>
      <c r="D19" s="29"/>
      <c r="E19" s="29">
        <v>10.882352941176471</v>
      </c>
      <c r="F19" s="29"/>
      <c r="G19" s="29"/>
      <c r="H19" s="29"/>
      <c r="I19" s="29"/>
      <c r="J19" s="29"/>
      <c r="K19" s="29"/>
      <c r="L19" s="29"/>
      <c r="M19" s="29"/>
      <c r="N19" s="29"/>
      <c r="O19" s="29"/>
      <c r="P19" s="29"/>
      <c r="Q19" s="29">
        <v>0.375</v>
      </c>
      <c r="R19" s="29"/>
      <c r="S19" s="29"/>
      <c r="T19" s="29"/>
      <c r="U19" s="29"/>
      <c r="V19" s="29"/>
      <c r="W19" s="29"/>
      <c r="X19" s="29"/>
      <c r="Y19" s="29"/>
      <c r="Z19" s="29"/>
      <c r="AA19" s="29"/>
      <c r="AB19" s="29"/>
      <c r="AC19" s="29"/>
      <c r="AD19" s="29"/>
      <c r="AE19" s="29"/>
      <c r="AF19" s="29"/>
      <c r="AG19" s="29">
        <v>58.098591549295776</v>
      </c>
      <c r="AH19" s="29"/>
      <c r="AI19" s="29"/>
      <c r="AJ19" s="29">
        <v>61.53846153846154</v>
      </c>
      <c r="AK19" s="29">
        <v>40.420034035479553</v>
      </c>
      <c r="AL19" s="29">
        <v>3.1974074074074071E-2</v>
      </c>
      <c r="AM19" s="29">
        <v>17.066666666666666</v>
      </c>
      <c r="AN19" s="29">
        <v>115.19999999999999</v>
      </c>
      <c r="AO19" s="29">
        <v>24</v>
      </c>
      <c r="AP19" s="29"/>
      <c r="AQ19" s="29"/>
      <c r="AR19" s="29"/>
      <c r="AS19" s="29"/>
      <c r="AT19" s="29"/>
      <c r="AU19" s="29">
        <v>0.3075</v>
      </c>
      <c r="AV19" s="29">
        <v>12.682926829268293</v>
      </c>
      <c r="AW19" s="29"/>
      <c r="AX19" s="29"/>
      <c r="AY19" s="29"/>
      <c r="AZ19" s="29">
        <v>66</v>
      </c>
      <c r="BA19" s="29"/>
      <c r="BB19" s="29"/>
      <c r="BC19" s="29"/>
      <c r="BD19" s="29"/>
      <c r="BE19" s="29"/>
      <c r="BF19" s="29"/>
      <c r="BG19" s="29"/>
      <c r="BH19" s="29"/>
      <c r="BI19" s="29">
        <v>13.678905687544997</v>
      </c>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c r="CO19" s="29"/>
      <c r="CP19" s="29"/>
      <c r="CQ19" s="29"/>
      <c r="CR19" s="29"/>
      <c r="CS19" s="29"/>
      <c r="CT19" s="29"/>
      <c r="CU19" s="29"/>
      <c r="CV19" s="29"/>
      <c r="CW19" s="29"/>
      <c r="CX19" s="29"/>
      <c r="CY19" s="29"/>
      <c r="CZ19" s="29"/>
      <c r="DA19" s="29"/>
      <c r="DB19" s="29"/>
      <c r="DC19" s="29"/>
      <c r="DD19" s="29"/>
      <c r="DE19" s="29"/>
      <c r="DF19" s="29"/>
      <c r="DG19" s="29"/>
      <c r="DH19" s="29"/>
      <c r="DI19" s="29"/>
      <c r="DJ19" s="29"/>
      <c r="DK19" s="29"/>
      <c r="DL19" s="29"/>
      <c r="DM19" s="29"/>
      <c r="DN19" s="29"/>
      <c r="DO19" s="29"/>
      <c r="DP19" s="29"/>
      <c r="DQ19" s="29"/>
      <c r="DR19" s="29"/>
      <c r="DS19" s="29"/>
      <c r="DT19" s="29"/>
      <c r="DU19" s="29"/>
      <c r="DV19" s="29"/>
      <c r="DW19" s="29"/>
      <c r="DX19" s="29"/>
      <c r="DY19" s="29"/>
      <c r="DZ19" s="29"/>
      <c r="EA19" s="29"/>
      <c r="EB19" s="29"/>
      <c r="EC19" s="29"/>
      <c r="ED19" s="29"/>
      <c r="EE19" s="29"/>
      <c r="EF19" s="29"/>
      <c r="EG19" s="29"/>
      <c r="EH19" s="29"/>
      <c r="EI19" s="29"/>
      <c r="EJ19" s="29"/>
      <c r="EK19" s="29"/>
      <c r="EL19" s="30"/>
      <c r="EM19" s="30"/>
      <c r="EN19" s="30"/>
      <c r="EO19" s="30"/>
    </row>
    <row r="20" spans="1:146" x14ac:dyDescent="0.2">
      <c r="A20" s="28">
        <v>1893</v>
      </c>
      <c r="C20" s="29">
        <v>41.835924732688987</v>
      </c>
      <c r="D20" s="29"/>
      <c r="E20" s="29">
        <v>10.541871921182265</v>
      </c>
      <c r="F20" s="29"/>
      <c r="G20" s="29"/>
      <c r="H20" s="29"/>
      <c r="I20" s="29"/>
      <c r="J20" s="29"/>
      <c r="K20" s="29"/>
      <c r="L20" s="29"/>
      <c r="M20" s="29"/>
      <c r="N20" s="29"/>
      <c r="O20" s="29"/>
      <c r="P20" s="29"/>
      <c r="Q20" s="29">
        <v>0.33950617283950618</v>
      </c>
      <c r="R20" s="29"/>
      <c r="S20" s="29"/>
      <c r="T20" s="29"/>
      <c r="U20" s="29"/>
      <c r="V20" s="29"/>
      <c r="W20" s="29"/>
      <c r="X20" s="29"/>
      <c r="Y20" s="29"/>
      <c r="Z20" s="29"/>
      <c r="AA20" s="29"/>
      <c r="AB20" s="29"/>
      <c r="AC20" s="29"/>
      <c r="AD20" s="29"/>
      <c r="AE20" s="29"/>
      <c r="AF20" s="29"/>
      <c r="AG20" s="29">
        <v>64.21052631578948</v>
      </c>
      <c r="AH20" s="29"/>
      <c r="AI20" s="29"/>
      <c r="AJ20" s="29">
        <v>79.545454545454547</v>
      </c>
      <c r="AK20" s="29">
        <v>38.639608560828385</v>
      </c>
      <c r="AL20" s="29">
        <v>3.5714285714285719E-2</v>
      </c>
      <c r="AM20" s="29">
        <v>19.106759016001909</v>
      </c>
      <c r="AN20" s="29">
        <v>106.66666666666666</v>
      </c>
      <c r="AO20" s="29">
        <v>21.333333333333332</v>
      </c>
      <c r="AP20" s="29"/>
      <c r="AQ20" s="29"/>
      <c r="AR20" s="29"/>
      <c r="AS20" s="29"/>
      <c r="AT20" s="29"/>
      <c r="AU20" s="29">
        <v>0.25600000000000001</v>
      </c>
      <c r="AV20" s="29">
        <v>12</v>
      </c>
      <c r="AW20" s="29"/>
      <c r="AX20" s="29"/>
      <c r="AY20" s="29"/>
      <c r="AZ20" s="29">
        <v>72</v>
      </c>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29"/>
      <c r="CC20" s="29"/>
      <c r="CD20" s="29"/>
      <c r="CE20" s="29"/>
      <c r="CF20" s="29"/>
      <c r="CG20" s="29"/>
      <c r="CH20" s="29"/>
      <c r="CI20" s="29"/>
      <c r="CJ20" s="29"/>
      <c r="CK20" s="29"/>
      <c r="CL20" s="29"/>
      <c r="CM20" s="29"/>
      <c r="CN20" s="29"/>
      <c r="CO20" s="29"/>
      <c r="CP20" s="29"/>
      <c r="CQ20" s="29"/>
      <c r="CR20" s="29"/>
      <c r="CS20" s="29"/>
      <c r="CT20" s="29"/>
      <c r="CU20" s="29"/>
      <c r="CV20" s="29"/>
      <c r="CW20" s="29"/>
      <c r="CX20" s="29"/>
      <c r="CY20" s="29"/>
      <c r="CZ20" s="29"/>
      <c r="DA20" s="29"/>
      <c r="DB20" s="29"/>
      <c r="DC20" s="29"/>
      <c r="DD20" s="29"/>
      <c r="DE20" s="29"/>
      <c r="DF20" s="29"/>
      <c r="DG20" s="29"/>
      <c r="DH20" s="29"/>
      <c r="DI20" s="29"/>
      <c r="DJ20" s="29"/>
      <c r="DK20" s="29"/>
      <c r="DL20" s="29"/>
      <c r="DM20" s="29"/>
      <c r="DN20" s="29"/>
      <c r="DO20" s="29"/>
      <c r="DP20" s="29"/>
      <c r="DQ20" s="29"/>
      <c r="DR20" s="29"/>
      <c r="DS20" s="29"/>
      <c r="DT20" s="29"/>
      <c r="DU20" s="29"/>
      <c r="DV20" s="29"/>
      <c r="DW20" s="29"/>
      <c r="DX20" s="29"/>
      <c r="DY20" s="29"/>
      <c r="DZ20" s="29"/>
      <c r="EA20" s="29"/>
      <c r="EB20" s="29"/>
      <c r="EC20" s="29"/>
      <c r="ED20" s="29"/>
      <c r="EE20" s="29"/>
      <c r="EF20" s="29"/>
      <c r="EG20" s="29"/>
      <c r="EH20" s="29"/>
      <c r="EI20" s="29"/>
      <c r="EJ20" s="29"/>
      <c r="EK20" s="29"/>
      <c r="EL20" s="30"/>
      <c r="EM20" s="30"/>
      <c r="EN20" s="30"/>
      <c r="EO20" s="30"/>
    </row>
    <row r="21" spans="1:146" x14ac:dyDescent="0.2">
      <c r="A21" s="28">
        <v>1894</v>
      </c>
      <c r="C21" s="29">
        <v>36.391890937345487</v>
      </c>
      <c r="D21" s="29"/>
      <c r="E21" s="29">
        <v>10.709219858156027</v>
      </c>
      <c r="F21" s="29"/>
      <c r="G21" s="29"/>
      <c r="H21" s="29"/>
      <c r="I21" s="29"/>
      <c r="J21" s="29"/>
      <c r="K21" s="29"/>
      <c r="L21" s="29"/>
      <c r="M21" s="29"/>
      <c r="N21" s="29"/>
      <c r="O21" s="29"/>
      <c r="P21" s="29"/>
      <c r="Q21" s="29">
        <v>0.33204633204633205</v>
      </c>
      <c r="R21" s="29"/>
      <c r="S21" s="29"/>
      <c r="T21" s="29"/>
      <c r="U21" s="29"/>
      <c r="V21" s="29"/>
      <c r="W21" s="29"/>
      <c r="X21" s="29"/>
      <c r="Y21" s="29"/>
      <c r="Z21" s="29"/>
      <c r="AA21" s="29"/>
      <c r="AB21" s="29"/>
      <c r="AC21" s="29"/>
      <c r="AD21" s="29"/>
      <c r="AE21" s="29"/>
      <c r="AF21" s="29"/>
      <c r="AG21" s="29">
        <v>57.058823529411768</v>
      </c>
      <c r="AH21" s="29"/>
      <c r="AI21" s="29"/>
      <c r="AJ21" s="29">
        <v>100</v>
      </c>
      <c r="AK21" s="29">
        <v>36.659699950653575</v>
      </c>
      <c r="AL21" s="29">
        <v>3.0940170940170944E-2</v>
      </c>
      <c r="AM21" s="29">
        <v>16.279069767441861</v>
      </c>
      <c r="AN21" s="29">
        <v>101.58730158730158</v>
      </c>
      <c r="AO21" s="29">
        <v>17.054263565891471</v>
      </c>
      <c r="AP21" s="29"/>
      <c r="AQ21" s="29"/>
      <c r="AR21" s="29"/>
      <c r="AS21" s="29"/>
      <c r="AT21" s="29"/>
      <c r="AU21" s="29">
        <v>0.216</v>
      </c>
      <c r="AV21" s="29">
        <v>12.8</v>
      </c>
      <c r="AW21" s="29"/>
      <c r="AX21" s="29"/>
      <c r="AY21" s="29"/>
      <c r="AZ21" s="29">
        <v>72.518518518518519</v>
      </c>
      <c r="BA21" s="29"/>
      <c r="BB21" s="29"/>
      <c r="BC21" s="29"/>
      <c r="BD21" s="29"/>
      <c r="BE21" s="29"/>
      <c r="BF21" s="29"/>
      <c r="BG21" s="29"/>
      <c r="BH21" s="29"/>
      <c r="BI21" s="29"/>
      <c r="BJ21" s="29"/>
      <c r="BK21" s="29"/>
      <c r="BL21" s="29"/>
      <c r="BM21" s="29"/>
      <c r="BN21" s="29"/>
      <c r="BO21" s="29"/>
      <c r="BP21" s="29"/>
      <c r="BQ21" s="29"/>
      <c r="BR21" s="29"/>
      <c r="BS21" s="29"/>
      <c r="BT21" s="29"/>
      <c r="BU21" s="29"/>
      <c r="BV21" s="29"/>
      <c r="BW21" s="29"/>
      <c r="BX21" s="29"/>
      <c r="BY21" s="29"/>
      <c r="BZ21" s="29"/>
      <c r="CA21" s="29"/>
      <c r="CB21" s="29"/>
      <c r="CC21" s="29"/>
      <c r="CD21" s="29"/>
      <c r="CE21" s="29"/>
      <c r="CF21" s="29"/>
      <c r="CG21" s="29"/>
      <c r="CH21" s="29"/>
      <c r="CI21" s="29"/>
      <c r="CJ21" s="29"/>
      <c r="CK21" s="29"/>
      <c r="CL21" s="29"/>
      <c r="CM21" s="29"/>
      <c r="CN21" s="29"/>
      <c r="CO21" s="29"/>
      <c r="CP21" s="29"/>
      <c r="CQ21" s="29"/>
      <c r="CR21" s="29"/>
      <c r="CS21" s="29"/>
      <c r="CT21" s="29"/>
      <c r="CU21" s="29"/>
      <c r="CV21" s="29"/>
      <c r="CW21" s="29"/>
      <c r="CX21" s="29"/>
      <c r="CY21" s="29"/>
      <c r="CZ21" s="29"/>
      <c r="DA21" s="29"/>
      <c r="DB21" s="29"/>
      <c r="DC21" s="29"/>
      <c r="DD21" s="29"/>
      <c r="DE21" s="29"/>
      <c r="DF21" s="29"/>
      <c r="DG21" s="29"/>
      <c r="DH21" s="29"/>
      <c r="DI21" s="29"/>
      <c r="DJ21" s="29"/>
      <c r="DK21" s="29"/>
      <c r="DL21" s="29"/>
      <c r="DM21" s="29"/>
      <c r="DN21" s="29"/>
      <c r="DO21" s="29"/>
      <c r="DP21" s="29"/>
      <c r="DQ21" s="29"/>
      <c r="DR21" s="29"/>
      <c r="DS21" s="29"/>
      <c r="DT21" s="29"/>
      <c r="DU21" s="29"/>
      <c r="DV21" s="29"/>
      <c r="DW21" s="29"/>
      <c r="DX21" s="29"/>
      <c r="DY21" s="29"/>
      <c r="DZ21" s="29"/>
      <c r="EA21" s="29"/>
      <c r="EB21" s="29"/>
      <c r="EC21" s="29"/>
      <c r="ED21" s="29"/>
      <c r="EE21" s="29"/>
      <c r="EF21" s="29"/>
      <c r="EG21" s="29"/>
      <c r="EH21" s="29"/>
      <c r="EI21" s="29"/>
      <c r="EJ21" s="29"/>
      <c r="EK21" s="29"/>
      <c r="EL21" s="30"/>
      <c r="EM21" s="30"/>
      <c r="EN21" s="30"/>
      <c r="EO21" s="30"/>
    </row>
    <row r="22" spans="1:146" x14ac:dyDescent="0.2">
      <c r="A22" s="28">
        <v>1898</v>
      </c>
      <c r="C22" s="29">
        <v>57.148448837768584</v>
      </c>
      <c r="D22" s="29"/>
      <c r="E22" s="29"/>
      <c r="F22" s="29"/>
      <c r="G22" s="29">
        <v>0.28000000000000003</v>
      </c>
      <c r="H22" s="29">
        <v>0.34</v>
      </c>
      <c r="I22" s="29">
        <v>0.36</v>
      </c>
      <c r="J22" s="29">
        <v>0.44</v>
      </c>
      <c r="K22" s="29">
        <v>0.48</v>
      </c>
      <c r="L22" s="29"/>
      <c r="M22" s="29"/>
      <c r="N22" s="29"/>
      <c r="O22" s="29"/>
      <c r="P22" s="29"/>
      <c r="Q22" s="29"/>
      <c r="R22" s="29"/>
      <c r="S22" s="29"/>
      <c r="T22" s="29"/>
      <c r="U22" s="29"/>
      <c r="V22" s="29"/>
      <c r="W22" s="29"/>
      <c r="X22" s="29"/>
      <c r="Y22" s="29"/>
      <c r="Z22" s="29"/>
      <c r="AA22" s="29"/>
      <c r="AB22" s="29"/>
      <c r="AC22" s="29"/>
      <c r="AD22" s="29"/>
      <c r="AE22" s="29"/>
      <c r="AF22" s="29"/>
      <c r="AG22" s="29"/>
      <c r="AH22" s="29"/>
      <c r="AI22" s="29">
        <v>0.58746736292428203</v>
      </c>
      <c r="AJ22" s="29"/>
      <c r="AK22" s="29">
        <v>25.062745098039215</v>
      </c>
      <c r="AL22" s="29">
        <v>2.5396825396825397E-2</v>
      </c>
      <c r="AM22" s="29">
        <v>16</v>
      </c>
      <c r="AN22" s="29">
        <v>16.074418604651164</v>
      </c>
      <c r="AO22" s="29">
        <v>16.8</v>
      </c>
      <c r="AP22" s="29"/>
      <c r="AQ22" s="29"/>
      <c r="AR22" s="29">
        <v>3.2</v>
      </c>
      <c r="AS22" s="29"/>
      <c r="AT22" s="29"/>
      <c r="AU22" s="29">
        <v>0.28000000000000003</v>
      </c>
      <c r="AV22" s="29">
        <v>18.666666666666668</v>
      </c>
      <c r="AW22" s="29"/>
      <c r="AX22" s="29"/>
      <c r="AY22" s="29">
        <v>97.647058823529406</v>
      </c>
      <c r="AZ22" s="29"/>
      <c r="BA22" s="29">
        <v>79.069767441860463</v>
      </c>
      <c r="BB22" s="29"/>
      <c r="BC22" s="29"/>
      <c r="BD22" s="29"/>
      <c r="BE22" s="29"/>
      <c r="BF22" s="29"/>
      <c r="BG22" s="29">
        <v>26.829268292682926</v>
      </c>
      <c r="BH22" s="29"/>
      <c r="BI22" s="29">
        <v>10</v>
      </c>
      <c r="BJ22" s="29"/>
      <c r="BK22" s="29"/>
      <c r="BL22" s="29"/>
      <c r="BM22" s="29"/>
      <c r="BN22" s="29"/>
      <c r="BO22" s="29"/>
      <c r="BP22" s="29"/>
      <c r="BQ22" s="29"/>
      <c r="BR22" s="29"/>
      <c r="BS22" s="29"/>
      <c r="BT22" s="29"/>
      <c r="BU22" s="29"/>
      <c r="BV22" s="29">
        <v>2</v>
      </c>
      <c r="BW22" s="29"/>
      <c r="BX22" s="29"/>
      <c r="BY22" s="29">
        <v>26.56</v>
      </c>
      <c r="BZ22" s="29">
        <v>3.8095238095238093</v>
      </c>
      <c r="CA22" s="29"/>
      <c r="CB22" s="29">
        <v>2</v>
      </c>
      <c r="CC22" s="29">
        <v>2.8571428571428571E-2</v>
      </c>
      <c r="CD22" s="29"/>
      <c r="CE22" s="29"/>
      <c r="CF22" s="29"/>
      <c r="CG22" s="29"/>
      <c r="CH22" s="29"/>
      <c r="CI22" s="29"/>
      <c r="CJ22" s="29"/>
      <c r="CK22" s="29"/>
      <c r="CL22" s="29"/>
      <c r="CM22" s="29"/>
      <c r="CN22" s="29"/>
      <c r="CO22" s="29"/>
      <c r="CP22" s="29"/>
      <c r="CQ22" s="29"/>
      <c r="CR22" s="29"/>
      <c r="CS22" s="29"/>
      <c r="CT22" s="29"/>
      <c r="CU22" s="29"/>
      <c r="CV22" s="29"/>
      <c r="CW22" s="29"/>
      <c r="CX22" s="29"/>
      <c r="CY22" s="29"/>
      <c r="CZ22" s="29"/>
      <c r="DA22" s="29"/>
      <c r="DB22" s="29"/>
      <c r="DC22" s="29"/>
      <c r="DD22" s="29"/>
      <c r="DE22" s="29"/>
      <c r="DF22" s="29"/>
      <c r="DG22" s="29"/>
      <c r="DH22" s="29"/>
      <c r="DI22" s="29"/>
      <c r="DJ22" s="29"/>
      <c r="DK22" s="29"/>
      <c r="DL22" s="29"/>
      <c r="DM22" s="29"/>
      <c r="DN22" s="29"/>
      <c r="DO22" s="29"/>
      <c r="DP22" s="29"/>
      <c r="DQ22" s="29"/>
      <c r="DR22" s="29"/>
      <c r="DS22" s="29"/>
      <c r="DT22" s="29"/>
      <c r="DU22" s="29"/>
      <c r="DV22" s="29"/>
      <c r="DW22" s="29"/>
      <c r="DX22" s="29"/>
      <c r="DY22" s="29"/>
      <c r="DZ22" s="29"/>
      <c r="EA22" s="29"/>
      <c r="EB22" s="29"/>
      <c r="EC22" s="29"/>
      <c r="ED22" s="29"/>
      <c r="EE22" s="29"/>
      <c r="EF22" s="29"/>
      <c r="EG22" s="29"/>
      <c r="EH22" s="29"/>
      <c r="EI22" s="29"/>
      <c r="EJ22" s="29"/>
      <c r="EK22" s="29"/>
      <c r="EL22" s="30"/>
      <c r="EM22" s="30"/>
      <c r="EN22" s="30"/>
      <c r="EO22" s="30"/>
    </row>
    <row r="23" spans="1:146" x14ac:dyDescent="0.2">
      <c r="A23" s="28">
        <v>1901</v>
      </c>
      <c r="C23" s="29">
        <v>56</v>
      </c>
      <c r="D23" s="29"/>
      <c r="E23" s="29"/>
      <c r="F23" s="29"/>
      <c r="G23" s="29"/>
      <c r="H23" s="29"/>
      <c r="I23" s="29"/>
      <c r="J23" s="29"/>
      <c r="K23" s="29"/>
      <c r="L23" s="29">
        <v>0.33663366336633666</v>
      </c>
      <c r="M23" s="29"/>
      <c r="N23" s="29"/>
      <c r="O23" s="29"/>
      <c r="P23" s="29"/>
      <c r="Q23" s="29"/>
      <c r="R23" s="29"/>
      <c r="S23" s="29"/>
      <c r="T23" s="29"/>
      <c r="U23" s="29"/>
      <c r="V23" s="29"/>
      <c r="W23" s="29"/>
      <c r="X23" s="29"/>
      <c r="Y23" s="29"/>
      <c r="Z23" s="29"/>
      <c r="AA23" s="29"/>
      <c r="AB23" s="29"/>
      <c r="AC23" s="29"/>
      <c r="AD23" s="29"/>
      <c r="AE23" s="29"/>
      <c r="AF23" s="29"/>
      <c r="AG23" s="29"/>
      <c r="AH23" s="29"/>
      <c r="AI23" s="29">
        <v>0.66666666666666663</v>
      </c>
      <c r="AJ23" s="29"/>
      <c r="AK23" s="29">
        <v>21.428571428571427</v>
      </c>
      <c r="AL23" s="29">
        <v>2.627851851851852E-2</v>
      </c>
      <c r="AM23" s="29">
        <v>15.925925925925926</v>
      </c>
      <c r="AN23" s="29">
        <v>47.41379310344827</v>
      </c>
      <c r="AO23" s="29"/>
      <c r="AP23" s="29">
        <v>3.3333333333333335</v>
      </c>
      <c r="AQ23" s="29"/>
      <c r="AR23" s="29">
        <v>3.2673267326732671</v>
      </c>
      <c r="AS23" s="29"/>
      <c r="AT23" s="29"/>
      <c r="AU23" s="29">
        <v>0.27875586854460094</v>
      </c>
      <c r="AV23" s="29">
        <v>13.93188854489164</v>
      </c>
      <c r="AW23" s="29"/>
      <c r="AX23" s="29"/>
      <c r="AY23" s="29">
        <v>95.238095238095241</v>
      </c>
      <c r="AZ23" s="29"/>
      <c r="BA23" s="29">
        <v>90.909090909090907</v>
      </c>
      <c r="BB23" s="29"/>
      <c r="BC23" s="29">
        <v>133.33333333333334</v>
      </c>
      <c r="BD23" s="29"/>
      <c r="BE23" s="29"/>
      <c r="BF23" s="29"/>
      <c r="BG23" s="29">
        <v>26.666666666666668</v>
      </c>
      <c r="BH23" s="29"/>
      <c r="BI23" s="29">
        <v>10.256410256410257</v>
      </c>
      <c r="BJ23" s="29"/>
      <c r="BK23" s="29"/>
      <c r="BL23" s="29"/>
      <c r="BM23" s="29"/>
      <c r="BN23" s="29"/>
      <c r="BO23" s="29"/>
      <c r="BP23" s="29"/>
      <c r="BQ23" s="29"/>
      <c r="BR23" s="29"/>
      <c r="BS23" s="29"/>
      <c r="BT23" s="29"/>
      <c r="BU23" s="29"/>
      <c r="BV23" s="29"/>
      <c r="BW23" s="29"/>
      <c r="BX23" s="29"/>
      <c r="BY23" s="29"/>
      <c r="BZ23" s="29"/>
      <c r="CA23" s="29">
        <v>6.6195939982347754E-2</v>
      </c>
      <c r="CB23" s="29">
        <v>2.0833333333333335</v>
      </c>
      <c r="CC23" s="29">
        <v>3.8343212349220959E-2</v>
      </c>
      <c r="CD23" s="29"/>
      <c r="CE23" s="29">
        <v>2.335766423357664</v>
      </c>
      <c r="CF23" s="29">
        <v>0.76647930505876338</v>
      </c>
      <c r="CG23" s="29">
        <v>4.375</v>
      </c>
      <c r="CH23" s="29">
        <v>57.265822784810126</v>
      </c>
      <c r="CI23" s="29"/>
      <c r="CJ23" s="29">
        <v>0.16</v>
      </c>
      <c r="CK23" s="29">
        <v>2</v>
      </c>
      <c r="CL23" s="29">
        <v>0.13924050632911394</v>
      </c>
      <c r="CM23" s="29"/>
      <c r="CN23" s="29"/>
      <c r="CO23" s="29"/>
      <c r="CP23" s="29"/>
      <c r="CQ23" s="29"/>
      <c r="CR23" s="29"/>
      <c r="CS23" s="29"/>
      <c r="CT23" s="29"/>
      <c r="CU23" s="29"/>
      <c r="CV23" s="29"/>
      <c r="CW23" s="29"/>
      <c r="CX23" s="29"/>
      <c r="CY23" s="29"/>
      <c r="CZ23" s="29"/>
      <c r="DA23" s="29"/>
      <c r="DB23" s="29"/>
      <c r="DC23" s="29"/>
      <c r="DD23" s="29"/>
      <c r="DE23" s="29"/>
      <c r="DF23" s="29"/>
      <c r="DG23" s="29"/>
      <c r="DH23" s="29"/>
      <c r="DI23" s="29"/>
      <c r="DJ23" s="29"/>
      <c r="DK23" s="29"/>
      <c r="DL23" s="29"/>
      <c r="DM23" s="29"/>
      <c r="DN23" s="29"/>
      <c r="DO23" s="29"/>
      <c r="DP23" s="29"/>
      <c r="DQ23" s="29"/>
      <c r="DR23" s="29"/>
      <c r="DS23" s="29"/>
      <c r="DT23" s="29"/>
      <c r="DU23" s="29"/>
      <c r="DV23" s="29"/>
      <c r="DW23" s="29"/>
      <c r="DX23" s="29"/>
      <c r="DY23" s="29"/>
      <c r="DZ23" s="29"/>
      <c r="EA23" s="29"/>
      <c r="EB23" s="29"/>
      <c r="EC23" s="29"/>
      <c r="ED23" s="29"/>
      <c r="EE23" s="29"/>
      <c r="EF23" s="29"/>
      <c r="EG23" s="29"/>
      <c r="EH23" s="29"/>
      <c r="EI23" s="29"/>
      <c r="EJ23" s="29"/>
      <c r="EK23" s="29"/>
      <c r="EL23" s="30"/>
      <c r="EM23" s="30"/>
      <c r="EN23" s="30"/>
      <c r="EO23" s="30"/>
    </row>
    <row r="24" spans="1:146" x14ac:dyDescent="0.2">
      <c r="A24" s="28">
        <v>1902</v>
      </c>
      <c r="C24" s="29">
        <v>51.903114186851212</v>
      </c>
      <c r="D24" s="29"/>
      <c r="E24" s="29"/>
      <c r="F24" s="29"/>
      <c r="G24" s="29"/>
      <c r="H24" s="29"/>
      <c r="I24" s="29"/>
      <c r="J24" s="29"/>
      <c r="K24" s="29"/>
      <c r="L24" s="29">
        <v>0.47488764044943821</v>
      </c>
      <c r="M24" s="29"/>
      <c r="N24" s="29"/>
      <c r="O24" s="29"/>
      <c r="P24" s="29"/>
      <c r="Q24" s="29"/>
      <c r="R24" s="29"/>
      <c r="S24" s="29"/>
      <c r="T24" s="29"/>
      <c r="U24" s="29"/>
      <c r="V24" s="29"/>
      <c r="W24" s="29"/>
      <c r="X24" s="29"/>
      <c r="Y24" s="29"/>
      <c r="Z24" s="29"/>
      <c r="AA24" s="29"/>
      <c r="AB24" s="29"/>
      <c r="AC24" s="29"/>
      <c r="AD24" s="29"/>
      <c r="AE24" s="29"/>
      <c r="AF24" s="29"/>
      <c r="AG24" s="29"/>
      <c r="AH24" s="29"/>
      <c r="AI24" s="29">
        <v>0.66900819535039302</v>
      </c>
      <c r="AJ24" s="29"/>
      <c r="AK24" s="29">
        <v>13.632958801498127</v>
      </c>
      <c r="AL24" s="29">
        <v>2.7822944896115628E-2</v>
      </c>
      <c r="AM24" s="29">
        <v>16.279069767441861</v>
      </c>
      <c r="AN24" s="29">
        <v>47.770700636942678</v>
      </c>
      <c r="AO24" s="29">
        <v>18.669778296382731</v>
      </c>
      <c r="AP24" s="29"/>
      <c r="AQ24" s="29"/>
      <c r="AR24" s="29"/>
      <c r="AS24" s="29"/>
      <c r="AT24" s="29"/>
      <c r="AU24" s="29">
        <v>0.19047619047619047</v>
      </c>
      <c r="AV24" s="29">
        <v>10.59047619047619</v>
      </c>
      <c r="AW24" s="29"/>
      <c r="AX24" s="29"/>
      <c r="AY24" s="29">
        <v>86.4</v>
      </c>
      <c r="AZ24" s="29"/>
      <c r="BA24" s="29">
        <v>80</v>
      </c>
      <c r="BB24" s="29"/>
      <c r="BC24" s="29"/>
      <c r="BD24" s="29"/>
      <c r="BE24" s="29"/>
      <c r="BF24" s="29">
        <v>56.533333333333331</v>
      </c>
      <c r="BG24" s="29">
        <v>26.666666666666668</v>
      </c>
      <c r="BH24" s="29"/>
      <c r="BI24" s="29">
        <v>10.256410256410257</v>
      </c>
      <c r="BJ24" s="29"/>
      <c r="BK24" s="29"/>
      <c r="BL24" s="29"/>
      <c r="BM24" s="29"/>
      <c r="BN24" s="29"/>
      <c r="BO24" s="29"/>
      <c r="BP24" s="29"/>
      <c r="BQ24" s="29"/>
      <c r="BR24" s="29">
        <v>28.8</v>
      </c>
      <c r="BS24" s="29"/>
      <c r="BT24" s="29">
        <v>16</v>
      </c>
      <c r="BU24" s="29"/>
      <c r="BV24" s="29"/>
      <c r="BW24" s="29"/>
      <c r="BX24" s="29"/>
      <c r="BY24" s="29"/>
      <c r="BZ24" s="29"/>
      <c r="CA24" s="29">
        <v>6.055887187472965E-2</v>
      </c>
      <c r="CB24" s="29">
        <v>2.0625</v>
      </c>
      <c r="CC24" s="29">
        <v>4.0485E-2</v>
      </c>
      <c r="CD24" s="29"/>
      <c r="CE24" s="29">
        <v>2.3571428571428572</v>
      </c>
      <c r="CF24" s="29">
        <v>0.77899761336515516</v>
      </c>
      <c r="CG24" s="29">
        <v>3.261992619926199</v>
      </c>
      <c r="CH24" s="29"/>
      <c r="CI24" s="29"/>
      <c r="CJ24" s="29">
        <v>0.16177777777777777</v>
      </c>
      <c r="CK24" s="29">
        <v>2.125</v>
      </c>
      <c r="CL24" s="29">
        <v>0.13</v>
      </c>
      <c r="CM24" s="29"/>
      <c r="CN24" s="29">
        <v>1</v>
      </c>
      <c r="CO24" s="29">
        <v>2</v>
      </c>
      <c r="CP24" s="29">
        <v>5</v>
      </c>
      <c r="CQ24" s="29">
        <v>8.4033613445378155</v>
      </c>
      <c r="CR24" s="29"/>
      <c r="CS24" s="29"/>
      <c r="CT24" s="29"/>
      <c r="CU24" s="29"/>
      <c r="CV24" s="29"/>
      <c r="CW24" s="29"/>
      <c r="CX24" s="29"/>
      <c r="CY24" s="29"/>
      <c r="CZ24" s="29"/>
      <c r="DA24" s="29"/>
      <c r="DB24" s="29"/>
      <c r="DC24" s="29"/>
      <c r="DD24" s="29"/>
      <c r="DE24" s="29"/>
      <c r="DF24" s="29"/>
      <c r="DG24" s="29"/>
      <c r="DH24" s="29"/>
      <c r="DI24" s="29"/>
      <c r="DJ24" s="29"/>
      <c r="DK24" s="29"/>
      <c r="DL24" s="29"/>
      <c r="DM24" s="29"/>
      <c r="DN24" s="29"/>
      <c r="DO24" s="29"/>
      <c r="DP24" s="29"/>
      <c r="DQ24" s="29"/>
      <c r="DR24" s="29"/>
      <c r="DS24" s="29"/>
      <c r="DT24" s="29"/>
      <c r="DU24" s="29"/>
      <c r="DV24" s="29"/>
      <c r="DW24" s="29"/>
      <c r="DX24" s="29"/>
      <c r="DY24" s="29"/>
      <c r="DZ24" s="29"/>
      <c r="EA24" s="29"/>
      <c r="EB24" s="29"/>
      <c r="EC24" s="29"/>
      <c r="ED24" s="29"/>
      <c r="EE24" s="29"/>
      <c r="EF24" s="29"/>
      <c r="EG24" s="29"/>
      <c r="EH24" s="29"/>
      <c r="EI24" s="29"/>
      <c r="EJ24" s="29"/>
      <c r="EK24" s="29"/>
      <c r="EL24" s="30"/>
      <c r="EM24" s="30"/>
      <c r="EN24" s="30"/>
      <c r="EO24" s="30"/>
    </row>
    <row r="25" spans="1:146" x14ac:dyDescent="0.2">
      <c r="A25" s="28">
        <v>1903</v>
      </c>
      <c r="C25" s="29">
        <v>72.164948453608247</v>
      </c>
      <c r="D25" s="29"/>
      <c r="E25" s="29"/>
      <c r="F25" s="29"/>
      <c r="G25" s="29"/>
      <c r="H25" s="29"/>
      <c r="I25" s="29"/>
      <c r="J25" s="29"/>
      <c r="K25" s="29"/>
      <c r="L25" s="29">
        <v>0.43512315270935958</v>
      </c>
      <c r="M25" s="29"/>
      <c r="N25" s="29"/>
      <c r="O25" s="29"/>
      <c r="P25" s="29"/>
      <c r="Q25" s="29"/>
      <c r="R25" s="29"/>
      <c r="S25" s="29"/>
      <c r="T25" s="29"/>
      <c r="U25" s="29"/>
      <c r="V25" s="29"/>
      <c r="W25" s="29"/>
      <c r="X25" s="29"/>
      <c r="Y25" s="29"/>
      <c r="Z25" s="29"/>
      <c r="AA25" s="29"/>
      <c r="AB25" s="29"/>
      <c r="AC25" s="29"/>
      <c r="AD25" s="29"/>
      <c r="AE25" s="29"/>
      <c r="AF25" s="29"/>
      <c r="AG25" s="29"/>
      <c r="AH25" s="29"/>
      <c r="AI25" s="29">
        <v>0.625</v>
      </c>
      <c r="AJ25" s="29"/>
      <c r="AK25" s="29">
        <v>15.116</v>
      </c>
      <c r="AL25" s="29">
        <v>3.3400880535641241E-2</v>
      </c>
      <c r="AM25" s="29">
        <v>16.5</v>
      </c>
      <c r="AN25" s="29">
        <v>48.421052631578945</v>
      </c>
      <c r="AO25" s="29">
        <v>14.285714285714286</v>
      </c>
      <c r="AP25" s="29"/>
      <c r="AQ25" s="29"/>
      <c r="AR25" s="29"/>
      <c r="AS25" s="29"/>
      <c r="AT25" s="29"/>
      <c r="AU25" s="29">
        <v>0.20681818181818185</v>
      </c>
      <c r="AV25" s="29">
        <v>10.24421052631579</v>
      </c>
      <c r="AW25" s="29"/>
      <c r="AX25" s="29"/>
      <c r="AY25" s="29">
        <v>83.5</v>
      </c>
      <c r="AZ25" s="29"/>
      <c r="BA25" s="29">
        <v>55.2</v>
      </c>
      <c r="BB25" s="29"/>
      <c r="BC25" s="29"/>
      <c r="BD25" s="29"/>
      <c r="BE25" s="29"/>
      <c r="BF25" s="29"/>
      <c r="BG25" s="29"/>
      <c r="BH25" s="29"/>
      <c r="BI25" s="29"/>
      <c r="BJ25" s="29"/>
      <c r="BK25" s="29"/>
      <c r="BL25" s="29"/>
      <c r="BM25" s="29"/>
      <c r="BN25" s="29"/>
      <c r="BO25" s="29"/>
      <c r="BP25" s="29"/>
      <c r="BQ25" s="29"/>
      <c r="BR25" s="29">
        <v>30.833333333333332</v>
      </c>
      <c r="BS25" s="29"/>
      <c r="BT25" s="29">
        <v>16.666666666666668</v>
      </c>
      <c r="BU25" s="29"/>
      <c r="BV25" s="29"/>
      <c r="BW25" s="29"/>
      <c r="BX25" s="29"/>
      <c r="BY25" s="29"/>
      <c r="BZ25" s="29"/>
      <c r="CA25" s="29"/>
      <c r="CB25" s="29">
        <v>2.25</v>
      </c>
      <c r="CC25" s="29">
        <v>0.04</v>
      </c>
      <c r="CD25" s="29"/>
      <c r="CE25" s="29">
        <v>2.5</v>
      </c>
      <c r="CF25" s="29">
        <v>0.8</v>
      </c>
      <c r="CG25" s="29">
        <v>4.301075268817204</v>
      </c>
      <c r="CH25" s="29">
        <v>137.5</v>
      </c>
      <c r="CI25" s="29"/>
      <c r="CJ25" s="29">
        <v>0.11363636363636363</v>
      </c>
      <c r="CK25" s="29">
        <v>2.5</v>
      </c>
      <c r="CL25" s="29">
        <v>0.13125000000000001</v>
      </c>
      <c r="CM25" s="29">
        <v>12</v>
      </c>
      <c r="CN25" s="29"/>
      <c r="CO25" s="29">
        <v>3.1806949806949807</v>
      </c>
      <c r="CP25" s="29">
        <v>4.8333333333333339</v>
      </c>
      <c r="CQ25" s="29">
        <v>10</v>
      </c>
      <c r="CR25" s="29">
        <v>14</v>
      </c>
      <c r="CS25" s="29"/>
      <c r="CT25" s="29"/>
      <c r="CU25" s="29"/>
      <c r="CV25" s="29"/>
      <c r="CW25" s="29"/>
      <c r="CX25" s="29"/>
      <c r="CY25" s="29"/>
      <c r="CZ25" s="29"/>
      <c r="DA25" s="29"/>
      <c r="DB25" s="29"/>
      <c r="DC25" s="29"/>
      <c r="DD25" s="29"/>
      <c r="DE25" s="29"/>
      <c r="DF25" s="29"/>
      <c r="DG25" s="29"/>
      <c r="DH25" s="29"/>
      <c r="DI25" s="29"/>
      <c r="DJ25" s="29"/>
      <c r="DK25" s="29"/>
      <c r="DL25" s="29"/>
      <c r="DM25" s="29"/>
      <c r="DN25" s="29"/>
      <c r="DO25" s="29"/>
      <c r="DP25" s="29"/>
      <c r="DQ25" s="29"/>
      <c r="DR25" s="29"/>
      <c r="DS25" s="29"/>
      <c r="DT25" s="29"/>
      <c r="DU25" s="29"/>
      <c r="DV25" s="29"/>
      <c r="DW25" s="29"/>
      <c r="DX25" s="29"/>
      <c r="DY25" s="29"/>
      <c r="DZ25" s="29"/>
      <c r="EA25" s="29"/>
      <c r="EB25" s="29"/>
      <c r="EC25" s="29"/>
      <c r="ED25" s="29"/>
      <c r="EE25" s="29"/>
      <c r="EF25" s="29"/>
      <c r="EG25" s="29"/>
      <c r="EH25" s="29"/>
      <c r="EI25" s="29"/>
      <c r="EJ25" s="29"/>
      <c r="EK25" s="29"/>
      <c r="EL25" s="30"/>
      <c r="EM25" s="30"/>
      <c r="EN25" s="30"/>
      <c r="EO25" s="30"/>
    </row>
    <row r="26" spans="1:146" x14ac:dyDescent="0.2">
      <c r="A26" s="28">
        <v>1904</v>
      </c>
      <c r="C26" s="29">
        <v>72.599999999999994</v>
      </c>
      <c r="D26" s="29"/>
      <c r="E26" s="29"/>
      <c r="F26" s="29"/>
      <c r="G26" s="29"/>
      <c r="H26" s="29"/>
      <c r="I26" s="29"/>
      <c r="J26" s="29"/>
      <c r="K26" s="29"/>
      <c r="L26" s="29">
        <v>0.33306010928961749</v>
      </c>
      <c r="M26" s="29"/>
      <c r="N26" s="29"/>
      <c r="O26" s="29"/>
      <c r="P26" s="29"/>
      <c r="Q26" s="29"/>
      <c r="R26" s="29"/>
      <c r="S26" s="29"/>
      <c r="T26" s="29"/>
      <c r="U26" s="29"/>
      <c r="V26" s="29"/>
      <c r="W26" s="29"/>
      <c r="X26" s="29"/>
      <c r="Y26" s="29"/>
      <c r="Z26" s="29"/>
      <c r="AA26" s="29"/>
      <c r="AB26" s="29"/>
      <c r="AC26" s="29"/>
      <c r="AD26" s="29"/>
      <c r="AE26" s="29"/>
      <c r="AF26" s="29"/>
      <c r="AG26" s="29"/>
      <c r="AH26" s="29"/>
      <c r="AI26" s="29">
        <v>0.78125</v>
      </c>
      <c r="AJ26" s="29"/>
      <c r="AK26" s="29">
        <v>14.5</v>
      </c>
      <c r="AL26" s="29">
        <v>3.2373113854595334E-2</v>
      </c>
      <c r="AM26" s="29">
        <v>14.761904761904763</v>
      </c>
      <c r="AN26" s="29">
        <v>61.871345029239762</v>
      </c>
      <c r="AO26" s="29">
        <v>18.050541516245488</v>
      </c>
      <c r="AP26" s="29"/>
      <c r="AQ26" s="29"/>
      <c r="AR26" s="29"/>
      <c r="AS26" s="29"/>
      <c r="AT26" s="29"/>
      <c r="AU26" s="29">
        <v>0.20449275362318842</v>
      </c>
      <c r="AV26" s="29">
        <v>10.333333333333334</v>
      </c>
      <c r="AW26" s="29"/>
      <c r="AX26" s="29"/>
      <c r="AY26" s="29">
        <v>100</v>
      </c>
      <c r="AZ26" s="29"/>
      <c r="BA26" s="29">
        <v>56.451612903225808</v>
      </c>
      <c r="BB26" s="29"/>
      <c r="BC26" s="29"/>
      <c r="BD26" s="29"/>
      <c r="BE26" s="29"/>
      <c r="BF26" s="29"/>
      <c r="BG26" s="29"/>
      <c r="BH26" s="29"/>
      <c r="BI26" s="29"/>
      <c r="BJ26" s="29"/>
      <c r="BK26" s="29"/>
      <c r="BL26" s="29"/>
      <c r="BM26" s="29"/>
      <c r="BN26" s="29"/>
      <c r="BO26" s="29"/>
      <c r="BP26" s="29"/>
      <c r="BQ26" s="29"/>
      <c r="BR26" s="29"/>
      <c r="BS26" s="29"/>
      <c r="BT26" s="29"/>
      <c r="BU26" s="29">
        <v>24.761904761904763</v>
      </c>
      <c r="BV26" s="29"/>
      <c r="BW26" s="29"/>
      <c r="BX26" s="29"/>
      <c r="BY26" s="29"/>
      <c r="BZ26" s="29"/>
      <c r="CA26" s="29"/>
      <c r="CB26" s="29"/>
      <c r="CC26" s="29">
        <v>0.04</v>
      </c>
      <c r="CD26" s="29"/>
      <c r="CE26" s="29">
        <v>2.3333333333333335</v>
      </c>
      <c r="CF26" s="29"/>
      <c r="CG26" s="29">
        <v>11.904761904761905</v>
      </c>
      <c r="CH26" s="29">
        <v>140</v>
      </c>
      <c r="CI26" s="29">
        <v>8.33</v>
      </c>
      <c r="CJ26" s="29">
        <v>0.17599999999999999</v>
      </c>
      <c r="CK26" s="29">
        <v>2.5</v>
      </c>
      <c r="CL26" s="29">
        <v>0.11816666666666667</v>
      </c>
      <c r="CM26" s="29">
        <v>12.5</v>
      </c>
      <c r="CN26" s="29"/>
      <c r="CO26" s="29"/>
      <c r="CP26" s="29">
        <v>5</v>
      </c>
      <c r="CQ26" s="29">
        <v>9.0476190476190474</v>
      </c>
      <c r="CR26" s="29"/>
      <c r="CS26" s="29"/>
      <c r="CT26" s="29"/>
      <c r="CU26" s="29"/>
      <c r="CV26" s="29"/>
      <c r="CW26" s="29"/>
      <c r="CX26" s="29"/>
      <c r="CY26" s="29"/>
      <c r="CZ26" s="29"/>
      <c r="DA26" s="29"/>
      <c r="DB26" s="29"/>
      <c r="DC26" s="29"/>
      <c r="DD26" s="29"/>
      <c r="DE26" s="29"/>
      <c r="DF26" s="29"/>
      <c r="DG26" s="29"/>
      <c r="DH26" s="29"/>
      <c r="DI26" s="29"/>
      <c r="DJ26" s="29"/>
      <c r="DK26" s="29"/>
      <c r="DL26" s="29"/>
      <c r="DM26" s="29"/>
      <c r="DN26" s="29"/>
      <c r="DO26" s="29"/>
      <c r="DP26" s="29"/>
      <c r="DQ26" s="29"/>
      <c r="DR26" s="29"/>
      <c r="DS26" s="29"/>
      <c r="DT26" s="29"/>
      <c r="DU26" s="29"/>
      <c r="DV26" s="29"/>
      <c r="DW26" s="29"/>
      <c r="DX26" s="29"/>
      <c r="DY26" s="29"/>
      <c r="DZ26" s="29"/>
      <c r="EA26" s="29"/>
      <c r="EB26" s="29"/>
      <c r="EC26" s="29"/>
      <c r="ED26" s="29"/>
      <c r="EE26" s="29"/>
      <c r="EF26" s="29"/>
      <c r="EG26" s="29"/>
      <c r="EH26" s="29"/>
      <c r="EI26" s="29"/>
      <c r="EJ26" s="29"/>
      <c r="EK26" s="29"/>
      <c r="EL26" s="30"/>
      <c r="EM26" s="30"/>
      <c r="EN26" s="30"/>
      <c r="EO26" s="30"/>
    </row>
    <row r="27" spans="1:146" x14ac:dyDescent="0.2">
      <c r="A27" s="28">
        <v>1905</v>
      </c>
      <c r="C27" s="29"/>
      <c r="D27" s="29"/>
      <c r="E27" s="29"/>
      <c r="F27" s="29"/>
      <c r="G27" s="29"/>
      <c r="H27" s="29"/>
      <c r="I27" s="29"/>
      <c r="J27" s="29"/>
      <c r="K27" s="29"/>
      <c r="L27" s="29"/>
      <c r="M27" s="29">
        <v>0.34166666666666667</v>
      </c>
      <c r="N27" s="29">
        <v>0.1</v>
      </c>
      <c r="O27" s="29"/>
      <c r="P27" s="29"/>
      <c r="Q27" s="29"/>
      <c r="R27" s="29"/>
      <c r="S27" s="29"/>
      <c r="T27" s="29"/>
      <c r="U27" s="29"/>
      <c r="V27" s="29"/>
      <c r="W27" s="29"/>
      <c r="X27" s="29"/>
      <c r="Y27" s="29"/>
      <c r="Z27" s="29"/>
      <c r="AA27" s="29"/>
      <c r="AB27" s="29"/>
      <c r="AC27" s="29"/>
      <c r="AD27" s="29"/>
      <c r="AE27" s="29"/>
      <c r="AF27" s="29"/>
      <c r="AG27" s="29"/>
      <c r="AH27" s="29"/>
      <c r="AI27" s="29"/>
      <c r="AJ27" s="29"/>
      <c r="AK27" s="29">
        <v>16.5</v>
      </c>
      <c r="AL27" s="29"/>
      <c r="AM27" s="29"/>
      <c r="AN27" s="29"/>
      <c r="AO27" s="29">
        <v>13.2</v>
      </c>
      <c r="AP27" s="29"/>
      <c r="AQ27" s="29"/>
      <c r="AR27" s="29"/>
      <c r="AS27" s="29"/>
      <c r="AT27" s="29"/>
      <c r="AU27" s="29"/>
      <c r="AV27" s="29">
        <v>9.4827586206896548</v>
      </c>
      <c r="AW27" s="29"/>
      <c r="AX27" s="29"/>
      <c r="AY27" s="29">
        <v>100</v>
      </c>
      <c r="AZ27" s="29"/>
      <c r="BA27" s="29">
        <v>80.459770114942529</v>
      </c>
      <c r="BB27" s="29"/>
      <c r="BC27" s="29"/>
      <c r="BD27" s="29"/>
      <c r="BE27" s="29"/>
      <c r="BF27" s="29"/>
      <c r="BG27" s="29"/>
      <c r="BH27" s="29"/>
      <c r="BI27" s="29"/>
      <c r="BJ27" s="29"/>
      <c r="BK27" s="29"/>
      <c r="BL27" s="29"/>
      <c r="BM27" s="29"/>
      <c r="BN27" s="29"/>
      <c r="BO27" s="29"/>
      <c r="BP27" s="29"/>
      <c r="BQ27" s="29"/>
      <c r="BR27" s="29"/>
      <c r="BS27" s="29"/>
      <c r="BT27" s="29"/>
      <c r="BU27" s="29"/>
      <c r="BV27" s="29"/>
      <c r="BW27" s="29"/>
      <c r="BX27" s="29"/>
      <c r="BY27" s="29"/>
      <c r="BZ27" s="29"/>
      <c r="CA27" s="29"/>
      <c r="CB27" s="29"/>
      <c r="CC27" s="29"/>
      <c r="CD27" s="29"/>
      <c r="CE27" s="29"/>
      <c r="CF27" s="29"/>
      <c r="CG27" s="29"/>
      <c r="CH27" s="29"/>
      <c r="CI27" s="29">
        <v>8.4285714285714288</v>
      </c>
      <c r="CJ27" s="29"/>
      <c r="CK27" s="29">
        <v>2.083333333333333</v>
      </c>
      <c r="CL27" s="29"/>
      <c r="CM27" s="29"/>
      <c r="CN27" s="29"/>
      <c r="CO27" s="29"/>
      <c r="CP27" s="29"/>
      <c r="CQ27" s="29"/>
      <c r="CR27" s="29"/>
      <c r="CS27" s="29"/>
      <c r="CT27" s="29"/>
      <c r="CU27" s="29"/>
      <c r="CV27" s="29"/>
      <c r="CW27" s="29"/>
      <c r="CX27" s="29"/>
      <c r="CY27" s="29"/>
      <c r="CZ27" s="29"/>
      <c r="DA27" s="29"/>
      <c r="DB27" s="29"/>
      <c r="DC27" s="29"/>
      <c r="DD27" s="29"/>
      <c r="DE27" s="29"/>
      <c r="DF27" s="29"/>
      <c r="DG27" s="29"/>
      <c r="DH27" s="29"/>
      <c r="DI27" s="29"/>
      <c r="DJ27" s="29"/>
      <c r="DK27" s="29"/>
      <c r="DL27" s="29"/>
      <c r="DM27" s="29"/>
      <c r="DN27" s="29"/>
      <c r="DO27" s="29"/>
      <c r="DP27" s="29"/>
      <c r="DQ27" s="29"/>
      <c r="DR27" s="29"/>
      <c r="DS27" s="29"/>
      <c r="DT27" s="29"/>
      <c r="DU27" s="29"/>
      <c r="DV27" s="29"/>
      <c r="DW27" s="29"/>
      <c r="DX27" s="29"/>
      <c r="DY27" s="29"/>
      <c r="DZ27" s="29"/>
      <c r="EA27" s="29"/>
      <c r="EB27" s="29"/>
      <c r="EC27" s="29"/>
      <c r="ED27" s="29"/>
      <c r="EE27" s="29"/>
      <c r="EF27" s="29"/>
      <c r="EG27" s="29"/>
      <c r="EH27" s="29"/>
      <c r="EI27" s="29"/>
      <c r="EJ27" s="29"/>
      <c r="EK27" s="29"/>
      <c r="EL27" s="29"/>
      <c r="EM27" s="30"/>
      <c r="EN27" s="30"/>
      <c r="EO27" s="30"/>
      <c r="EP27" s="30"/>
    </row>
    <row r="28" spans="1:146" x14ac:dyDescent="0.2">
      <c r="A28" s="28">
        <v>1906</v>
      </c>
      <c r="C28" s="29">
        <v>72.719298245614041</v>
      </c>
      <c r="D28" s="29"/>
      <c r="E28" s="29"/>
      <c r="F28" s="29"/>
      <c r="G28" s="29"/>
      <c r="H28" s="29"/>
      <c r="I28" s="29"/>
      <c r="J28" s="29"/>
      <c r="K28" s="29"/>
      <c r="L28" s="29"/>
      <c r="M28" s="29">
        <v>0.35806451612903228</v>
      </c>
      <c r="N28" s="29">
        <v>0.1</v>
      </c>
      <c r="O28" s="29"/>
      <c r="P28" s="29"/>
      <c r="Q28" s="29"/>
      <c r="R28" s="29"/>
      <c r="S28" s="29"/>
      <c r="T28" s="29"/>
      <c r="U28" s="29"/>
      <c r="V28" s="29"/>
      <c r="W28" s="29"/>
      <c r="X28" s="29"/>
      <c r="Y28" s="29"/>
      <c r="Z28" s="29"/>
      <c r="AA28" s="29"/>
      <c r="AB28" s="29"/>
      <c r="AC28" s="29"/>
      <c r="AD28" s="29"/>
      <c r="AE28" s="29"/>
      <c r="AF28" s="29"/>
      <c r="AG28" s="29"/>
      <c r="AH28" s="29"/>
      <c r="AI28" s="29"/>
      <c r="AJ28" s="29"/>
      <c r="AK28" s="29"/>
      <c r="AL28" s="29">
        <v>3.4090909090909088E-2</v>
      </c>
      <c r="AM28" s="29"/>
      <c r="AN28" s="29"/>
      <c r="AO28" s="29">
        <v>13.461538461538462</v>
      </c>
      <c r="AP28" s="29"/>
      <c r="AQ28" s="29"/>
      <c r="AR28" s="29"/>
      <c r="AS28" s="29"/>
      <c r="AT28" s="29"/>
      <c r="AU28" s="29">
        <v>0.19117647058823531</v>
      </c>
      <c r="AV28" s="29">
        <v>11.470588235294118</v>
      </c>
      <c r="AW28" s="29"/>
      <c r="AX28" s="29"/>
      <c r="AY28" s="29">
        <v>118</v>
      </c>
      <c r="AZ28" s="29"/>
      <c r="BA28" s="29">
        <v>109.09090909090909</v>
      </c>
      <c r="BB28" s="29"/>
      <c r="BC28" s="29"/>
      <c r="BD28" s="29"/>
      <c r="BE28" s="29"/>
      <c r="BF28" s="29"/>
      <c r="BG28" s="29"/>
      <c r="BH28" s="29"/>
      <c r="BI28" s="29"/>
      <c r="BJ28" s="29"/>
      <c r="BK28" s="29"/>
      <c r="BL28" s="29"/>
      <c r="BM28" s="29"/>
      <c r="BN28" s="29"/>
      <c r="BO28" s="29"/>
      <c r="BP28" s="29"/>
      <c r="BQ28" s="29"/>
      <c r="BR28" s="29"/>
      <c r="BS28" s="29"/>
      <c r="BT28" s="29"/>
      <c r="BU28" s="29">
        <v>24.615384615384617</v>
      </c>
      <c r="BV28" s="29"/>
      <c r="BW28" s="29"/>
      <c r="BX28" s="29"/>
      <c r="BY28" s="29"/>
      <c r="BZ28" s="29"/>
      <c r="CA28" s="29"/>
      <c r="CB28" s="29"/>
      <c r="CC28" s="29"/>
      <c r="CD28" s="29"/>
      <c r="CE28" s="29"/>
      <c r="CF28" s="29"/>
      <c r="CG28" s="29">
        <v>45</v>
      </c>
      <c r="CH28" s="29"/>
      <c r="CI28" s="29">
        <v>8.7096774193548381</v>
      </c>
      <c r="CJ28" s="29"/>
      <c r="CK28" s="29">
        <v>2.0625</v>
      </c>
      <c r="CL28" s="29">
        <v>0.14285714285714285</v>
      </c>
      <c r="CM28" s="29"/>
      <c r="CN28" s="29"/>
      <c r="CO28" s="29"/>
      <c r="CP28" s="29"/>
      <c r="CQ28" s="29"/>
      <c r="CR28" s="29"/>
      <c r="CS28" s="29"/>
      <c r="CT28" s="29"/>
      <c r="CU28" s="29"/>
      <c r="CV28" s="29"/>
      <c r="CW28" s="29"/>
      <c r="CX28" s="29"/>
      <c r="CY28" s="29"/>
      <c r="CZ28" s="29"/>
      <c r="DA28" s="29"/>
      <c r="DB28" s="29"/>
      <c r="DC28" s="29"/>
      <c r="DD28" s="29"/>
      <c r="DE28" s="29"/>
      <c r="DF28" s="29"/>
      <c r="DG28" s="29"/>
      <c r="DH28" s="29"/>
      <c r="DI28" s="29"/>
      <c r="DJ28" s="29"/>
      <c r="DK28" s="29"/>
      <c r="DL28" s="29"/>
      <c r="DM28" s="29"/>
      <c r="DN28" s="29"/>
      <c r="DO28" s="29"/>
      <c r="DP28" s="29"/>
      <c r="DQ28" s="29"/>
      <c r="DR28" s="29"/>
      <c r="DS28" s="29"/>
      <c r="DT28" s="29"/>
      <c r="DU28" s="29"/>
      <c r="DV28" s="29"/>
      <c r="DW28" s="29"/>
      <c r="DX28" s="29"/>
      <c r="DY28" s="29"/>
      <c r="DZ28" s="29"/>
      <c r="EA28" s="29"/>
      <c r="EB28" s="29"/>
      <c r="EC28" s="29"/>
      <c r="ED28" s="29"/>
      <c r="EE28" s="29"/>
      <c r="EF28" s="29"/>
      <c r="EG28" s="29"/>
      <c r="EH28" s="29"/>
      <c r="EI28" s="29"/>
      <c r="EJ28" s="29"/>
      <c r="EK28" s="29"/>
      <c r="EL28" s="29"/>
      <c r="EM28" s="30"/>
      <c r="EN28" s="30"/>
      <c r="EO28" s="30"/>
      <c r="EP28" s="30"/>
    </row>
    <row r="29" spans="1:146" x14ac:dyDescent="0.2">
      <c r="A29" s="28">
        <v>1907</v>
      </c>
      <c r="C29" s="29"/>
      <c r="D29" s="29"/>
      <c r="E29" s="29"/>
      <c r="F29" s="29"/>
      <c r="G29" s="29"/>
      <c r="H29" s="29"/>
      <c r="I29" s="29"/>
      <c r="J29" s="29"/>
      <c r="K29" s="29"/>
      <c r="L29" s="29"/>
      <c r="M29" s="29">
        <v>0.3576923076923077</v>
      </c>
      <c r="N29" s="29">
        <v>0.1125</v>
      </c>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v>11.666666666666666</v>
      </c>
      <c r="AW29" s="29"/>
      <c r="AX29" s="29"/>
      <c r="AY29" s="29">
        <v>120</v>
      </c>
      <c r="AZ29" s="29"/>
      <c r="BA29" s="29">
        <v>112.5</v>
      </c>
      <c r="BB29" s="29"/>
      <c r="BC29" s="29"/>
      <c r="BD29" s="29"/>
      <c r="BE29" s="29"/>
      <c r="BF29" s="29"/>
      <c r="BG29" s="29"/>
      <c r="BH29" s="29"/>
      <c r="BI29" s="29"/>
      <c r="BJ29" s="29"/>
      <c r="BK29" s="29"/>
      <c r="BL29" s="29"/>
      <c r="BM29" s="29"/>
      <c r="BN29" s="29"/>
      <c r="BO29" s="29"/>
      <c r="BP29" s="29"/>
      <c r="BQ29" s="29"/>
      <c r="BR29" s="29"/>
      <c r="BS29" s="29"/>
      <c r="BT29" s="29"/>
      <c r="BU29" s="29">
        <v>28.571428571428573</v>
      </c>
      <c r="BV29" s="29"/>
      <c r="BW29" s="29"/>
      <c r="BX29" s="29"/>
      <c r="BY29" s="29"/>
      <c r="BZ29" s="29"/>
      <c r="CA29" s="29"/>
      <c r="CB29" s="29"/>
      <c r="CC29" s="29"/>
      <c r="CD29" s="29"/>
      <c r="CE29" s="29"/>
      <c r="CF29" s="29"/>
      <c r="CG29" s="29"/>
      <c r="CH29" s="29"/>
      <c r="CI29" s="29">
        <v>8.5294117647058822</v>
      </c>
      <c r="CJ29" s="29"/>
      <c r="CK29" s="29">
        <v>2</v>
      </c>
      <c r="CL29" s="29">
        <v>0.15277777777777776</v>
      </c>
      <c r="CM29" s="29"/>
      <c r="CN29" s="29"/>
      <c r="CO29" s="29"/>
      <c r="CP29" s="29"/>
      <c r="CQ29" s="29"/>
      <c r="CR29" s="29"/>
      <c r="CS29" s="29"/>
      <c r="CT29" s="29"/>
      <c r="CU29" s="29"/>
      <c r="CV29" s="29"/>
      <c r="CW29" s="29"/>
      <c r="CX29" s="29"/>
      <c r="CY29" s="29"/>
      <c r="CZ29" s="29"/>
      <c r="DA29" s="29"/>
      <c r="DB29" s="29"/>
      <c r="DC29" s="29"/>
      <c r="DD29" s="29"/>
      <c r="DE29" s="29"/>
      <c r="DF29" s="29"/>
      <c r="DG29" s="29"/>
      <c r="DH29" s="29"/>
      <c r="DI29" s="29"/>
      <c r="DJ29" s="29"/>
      <c r="DK29" s="29"/>
      <c r="DL29" s="29"/>
      <c r="DM29" s="29"/>
      <c r="DN29" s="29"/>
      <c r="DO29" s="29"/>
      <c r="DP29" s="29"/>
      <c r="DQ29" s="29"/>
      <c r="DR29" s="29"/>
      <c r="DS29" s="29"/>
      <c r="DT29" s="29"/>
      <c r="DU29" s="29"/>
      <c r="DV29" s="29"/>
      <c r="DW29" s="29"/>
      <c r="DX29" s="29"/>
      <c r="DY29" s="29"/>
      <c r="DZ29" s="29"/>
      <c r="EA29" s="29"/>
      <c r="EB29" s="29"/>
      <c r="EC29" s="29"/>
      <c r="ED29" s="29"/>
      <c r="EE29" s="29"/>
      <c r="EF29" s="29"/>
      <c r="EG29" s="29"/>
      <c r="EH29" s="29"/>
      <c r="EI29" s="29"/>
      <c r="EJ29" s="29"/>
      <c r="EK29" s="29"/>
      <c r="EL29" s="29"/>
      <c r="EM29" s="30"/>
      <c r="EN29" s="30"/>
      <c r="EO29" s="30"/>
      <c r="EP29" s="30"/>
    </row>
    <row r="30" spans="1:146" x14ac:dyDescent="0.2">
      <c r="A30" s="28">
        <v>1908</v>
      </c>
      <c r="C30" s="29">
        <v>64.0625</v>
      </c>
      <c r="D30" s="29"/>
      <c r="E30" s="29"/>
      <c r="F30" s="29"/>
      <c r="G30" s="29"/>
      <c r="H30" s="29"/>
      <c r="I30" s="29"/>
      <c r="J30" s="29"/>
      <c r="K30" s="29"/>
      <c r="L30" s="29"/>
      <c r="M30" s="29">
        <v>0.33333333333333331</v>
      </c>
      <c r="N30" s="29">
        <v>0.1</v>
      </c>
      <c r="O30" s="29"/>
      <c r="P30" s="29"/>
      <c r="Q30" s="29"/>
      <c r="R30" s="29"/>
      <c r="S30" s="29"/>
      <c r="T30" s="29"/>
      <c r="U30" s="29"/>
      <c r="V30" s="29"/>
      <c r="W30" s="29"/>
      <c r="X30" s="29"/>
      <c r="Y30" s="29"/>
      <c r="Z30" s="29"/>
      <c r="AA30" s="29"/>
      <c r="AB30" s="29"/>
      <c r="AC30" s="29"/>
      <c r="AD30" s="29"/>
      <c r="AE30" s="29"/>
      <c r="AF30" s="29"/>
      <c r="AG30" s="29"/>
      <c r="AH30" s="29"/>
      <c r="AI30" s="29"/>
      <c r="AJ30" s="29"/>
      <c r="AK30" s="29"/>
      <c r="AL30" s="29">
        <v>3.3333333333333333E-2</v>
      </c>
      <c r="AM30" s="29">
        <v>20</v>
      </c>
      <c r="AN30" s="29">
        <v>55.555555555555557</v>
      </c>
      <c r="AO30" s="29">
        <v>18.333333333333332</v>
      </c>
      <c r="AP30" s="29"/>
      <c r="AQ30" s="29"/>
      <c r="AR30" s="29"/>
      <c r="AS30" s="29"/>
      <c r="AT30" s="29"/>
      <c r="AU30" s="29">
        <v>0.19642857142857142</v>
      </c>
      <c r="AV30" s="29">
        <v>10.909090909090908</v>
      </c>
      <c r="AW30" s="29"/>
      <c r="AX30" s="29"/>
      <c r="AY30" s="29">
        <v>120</v>
      </c>
      <c r="AZ30" s="29"/>
      <c r="BA30" s="29">
        <v>100</v>
      </c>
      <c r="BB30" s="29"/>
      <c r="BC30" s="29"/>
      <c r="BD30" s="29"/>
      <c r="BE30" s="29"/>
      <c r="BF30" s="29"/>
      <c r="BG30" s="29"/>
      <c r="BH30" s="29"/>
      <c r="BI30" s="29"/>
      <c r="BJ30" s="29"/>
      <c r="BK30" s="29"/>
      <c r="BL30" s="29"/>
      <c r="BM30" s="29"/>
      <c r="BN30" s="29"/>
      <c r="BO30" s="29"/>
      <c r="BP30" s="29"/>
      <c r="BQ30" s="29"/>
      <c r="BR30" s="29"/>
      <c r="BS30" s="29"/>
      <c r="BT30" s="29"/>
      <c r="BU30" s="29">
        <v>26.086956521739129</v>
      </c>
      <c r="BV30" s="29"/>
      <c r="BW30" s="29"/>
      <c r="BX30" s="29"/>
      <c r="BY30" s="29"/>
      <c r="BZ30" s="29"/>
      <c r="CA30" s="29"/>
      <c r="CB30" s="29"/>
      <c r="CC30" s="29"/>
      <c r="CD30" s="29"/>
      <c r="CE30" s="29"/>
      <c r="CF30" s="29"/>
      <c r="CG30" s="29"/>
      <c r="CH30" s="29"/>
      <c r="CI30" s="29">
        <v>8.5714285714285712</v>
      </c>
      <c r="CJ30" s="29"/>
      <c r="CK30" s="29">
        <v>2.1052631578947372</v>
      </c>
      <c r="CL30" s="29"/>
      <c r="CM30" s="29"/>
      <c r="CN30" s="29"/>
      <c r="CO30" s="29"/>
      <c r="CP30" s="29"/>
      <c r="CQ30" s="29"/>
      <c r="CR30" s="29"/>
      <c r="CS30" s="29"/>
      <c r="CT30" s="29"/>
      <c r="CU30" s="29"/>
      <c r="CV30" s="29"/>
      <c r="CW30" s="29"/>
      <c r="CX30" s="29"/>
      <c r="CY30" s="29"/>
      <c r="CZ30" s="29"/>
      <c r="DA30" s="29"/>
      <c r="DB30" s="29"/>
      <c r="DC30" s="29"/>
      <c r="DD30" s="29"/>
      <c r="DE30" s="29"/>
      <c r="DF30" s="29"/>
      <c r="DG30" s="29"/>
      <c r="DH30" s="29"/>
      <c r="DI30" s="29"/>
      <c r="DJ30" s="29"/>
      <c r="DK30" s="29"/>
      <c r="DL30" s="29"/>
      <c r="DM30" s="29"/>
      <c r="DN30" s="29"/>
      <c r="DO30" s="29"/>
      <c r="DP30" s="29"/>
      <c r="DQ30" s="29"/>
      <c r="DR30" s="29"/>
      <c r="DS30" s="29"/>
      <c r="DT30" s="29"/>
      <c r="DU30" s="29"/>
      <c r="DV30" s="29"/>
      <c r="DW30" s="29"/>
      <c r="DX30" s="29"/>
      <c r="DY30" s="29"/>
      <c r="DZ30" s="29"/>
      <c r="EA30" s="29"/>
      <c r="EB30" s="29"/>
      <c r="EC30" s="29"/>
      <c r="ED30" s="29"/>
      <c r="EE30" s="29"/>
      <c r="EF30" s="29"/>
      <c r="EG30" s="29"/>
      <c r="EH30" s="29"/>
      <c r="EI30" s="29"/>
      <c r="EJ30" s="29"/>
      <c r="EK30" s="29"/>
      <c r="EL30" s="29"/>
      <c r="EM30" s="30"/>
      <c r="EN30" s="30"/>
      <c r="EO30" s="30"/>
      <c r="EP30" s="30"/>
    </row>
    <row r="31" spans="1:146" x14ac:dyDescent="0.2">
      <c r="A31" s="28">
        <v>1909</v>
      </c>
      <c r="C31" s="29">
        <v>63.492063492063494</v>
      </c>
      <c r="D31" s="29"/>
      <c r="E31" s="29"/>
      <c r="F31" s="29"/>
      <c r="G31" s="29"/>
      <c r="H31" s="29"/>
      <c r="I31" s="29"/>
      <c r="J31" s="29"/>
      <c r="K31" s="29"/>
      <c r="L31" s="29"/>
      <c r="M31" s="29">
        <v>0.33913043478260868</v>
      </c>
      <c r="N31" s="29">
        <v>0.1</v>
      </c>
      <c r="O31" s="29"/>
      <c r="P31" s="29"/>
      <c r="Q31" s="29"/>
      <c r="R31" s="29"/>
      <c r="S31" s="29"/>
      <c r="T31" s="29"/>
      <c r="U31" s="29"/>
      <c r="V31" s="29"/>
      <c r="W31" s="29"/>
      <c r="X31" s="29"/>
      <c r="Y31" s="29"/>
      <c r="Z31" s="29"/>
      <c r="AA31" s="29"/>
      <c r="AB31" s="29"/>
      <c r="AC31" s="29"/>
      <c r="AD31" s="29"/>
      <c r="AE31" s="29"/>
      <c r="AF31" s="29"/>
      <c r="AG31" s="29"/>
      <c r="AH31" s="29"/>
      <c r="AI31" s="29"/>
      <c r="AJ31" s="29"/>
      <c r="AK31" s="29"/>
      <c r="AL31" s="29">
        <v>3.4722222222222224E-2</v>
      </c>
      <c r="AM31" s="29">
        <v>20</v>
      </c>
      <c r="AN31" s="29">
        <v>87.5</v>
      </c>
      <c r="AO31" s="29">
        <v>22.3</v>
      </c>
      <c r="AP31" s="29"/>
      <c r="AQ31" s="29"/>
      <c r="AR31" s="29"/>
      <c r="AS31" s="29"/>
      <c r="AT31" s="29"/>
      <c r="AU31" s="29">
        <v>0.2</v>
      </c>
      <c r="AV31" s="29">
        <v>11.666666666666666</v>
      </c>
      <c r="AW31" s="29"/>
      <c r="AX31" s="29"/>
      <c r="AY31" s="29">
        <v>140</v>
      </c>
      <c r="AZ31" s="29"/>
      <c r="BA31" s="29">
        <v>100</v>
      </c>
      <c r="BB31" s="29"/>
      <c r="BC31" s="29"/>
      <c r="BD31" s="29"/>
      <c r="BE31" s="29"/>
      <c r="BF31" s="29"/>
      <c r="BG31" s="29"/>
      <c r="BH31" s="29"/>
      <c r="BI31" s="29"/>
      <c r="BJ31" s="29"/>
      <c r="BK31" s="29"/>
      <c r="BL31" s="29"/>
      <c r="BM31" s="29"/>
      <c r="BN31" s="29"/>
      <c r="BO31" s="29"/>
      <c r="BP31" s="29"/>
      <c r="BQ31" s="29"/>
      <c r="BR31" s="29"/>
      <c r="BS31" s="29"/>
      <c r="BT31" s="29"/>
      <c r="BU31" s="29">
        <v>28</v>
      </c>
      <c r="BV31" s="29"/>
      <c r="BW31" s="29"/>
      <c r="BX31" s="29"/>
      <c r="BY31" s="29"/>
      <c r="BZ31" s="29"/>
      <c r="CA31" s="29"/>
      <c r="CB31" s="29"/>
      <c r="CC31" s="29"/>
      <c r="CD31" s="29"/>
      <c r="CE31" s="29"/>
      <c r="CF31" s="29"/>
      <c r="CG31" s="29"/>
      <c r="CH31" s="29"/>
      <c r="CI31" s="29">
        <v>8.2352941176470598</v>
      </c>
      <c r="CJ31" s="29"/>
      <c r="CK31" s="29">
        <v>2.5</v>
      </c>
      <c r="CL31" s="29">
        <v>0.21739130434782608</v>
      </c>
      <c r="CM31" s="29"/>
      <c r="CN31" s="29"/>
      <c r="CO31" s="29"/>
      <c r="CP31" s="29"/>
      <c r="CQ31" s="29"/>
      <c r="CR31" s="29"/>
      <c r="CS31" s="29"/>
      <c r="CT31" s="29"/>
      <c r="CU31" s="29"/>
      <c r="CV31" s="29"/>
      <c r="CW31" s="29"/>
      <c r="CX31" s="29"/>
      <c r="CY31" s="29"/>
      <c r="CZ31" s="29"/>
      <c r="DA31" s="29"/>
      <c r="DB31" s="29"/>
      <c r="DC31" s="29"/>
      <c r="DD31" s="29"/>
      <c r="DE31" s="29"/>
      <c r="DF31" s="29"/>
      <c r="DG31" s="29"/>
      <c r="DH31" s="29"/>
      <c r="DI31" s="29"/>
      <c r="DJ31" s="29"/>
      <c r="DK31" s="29"/>
      <c r="DL31" s="29"/>
      <c r="DM31" s="29"/>
      <c r="DN31" s="29"/>
      <c r="DO31" s="29"/>
      <c r="DP31" s="29"/>
      <c r="DQ31" s="29"/>
      <c r="DR31" s="29"/>
      <c r="DS31" s="29"/>
      <c r="DT31" s="29"/>
      <c r="DU31" s="29"/>
      <c r="DV31" s="29"/>
      <c r="DW31" s="29"/>
      <c r="DX31" s="29"/>
      <c r="DY31" s="29"/>
      <c r="DZ31" s="29"/>
      <c r="EA31" s="29"/>
      <c r="EB31" s="29"/>
      <c r="EC31" s="29"/>
      <c r="ED31" s="29"/>
      <c r="EE31" s="29"/>
      <c r="EF31" s="29"/>
      <c r="EG31" s="29"/>
      <c r="EH31" s="29"/>
      <c r="EI31" s="29"/>
      <c r="EJ31" s="29"/>
      <c r="EK31" s="29"/>
      <c r="EL31" s="29"/>
    </row>
    <row r="32" spans="1:146" x14ac:dyDescent="0.2">
      <c r="A32" s="28">
        <v>1910</v>
      </c>
      <c r="C32" s="29">
        <v>61.475409836065566</v>
      </c>
      <c r="D32" s="29"/>
      <c r="E32" s="29"/>
      <c r="F32" s="29"/>
      <c r="G32" s="29"/>
      <c r="H32" s="29"/>
      <c r="I32" s="29"/>
      <c r="J32" s="29"/>
      <c r="K32" s="29"/>
      <c r="L32" s="29"/>
      <c r="M32" s="29">
        <v>0.33636363636363636</v>
      </c>
      <c r="N32" s="29">
        <v>0.1</v>
      </c>
      <c r="O32" s="29"/>
      <c r="P32" s="29"/>
      <c r="Q32" s="29"/>
      <c r="R32" s="29"/>
      <c r="S32" s="29"/>
      <c r="T32" s="29"/>
      <c r="U32" s="29"/>
      <c r="V32" s="29"/>
      <c r="W32" s="29"/>
      <c r="X32" s="29"/>
      <c r="Y32" s="29"/>
      <c r="Z32" s="29"/>
      <c r="AA32" s="29"/>
      <c r="AB32" s="29"/>
      <c r="AC32" s="29"/>
      <c r="AD32" s="29"/>
      <c r="AE32" s="29"/>
      <c r="AF32" s="29"/>
      <c r="AG32" s="29"/>
      <c r="AH32" s="29"/>
      <c r="AI32" s="29"/>
      <c r="AJ32" s="29"/>
      <c r="AK32" s="29"/>
      <c r="AL32" s="29">
        <v>3.4722222222222224E-2</v>
      </c>
      <c r="AM32" s="29">
        <v>20</v>
      </c>
      <c r="AN32" s="29">
        <v>74</v>
      </c>
      <c r="AO32" s="29">
        <v>19.375</v>
      </c>
      <c r="AP32" s="29"/>
      <c r="AQ32" s="29"/>
      <c r="AR32" s="29"/>
      <c r="AS32" s="29"/>
      <c r="AT32" s="29"/>
      <c r="AU32" s="29">
        <v>0.21875</v>
      </c>
      <c r="AV32" s="29">
        <v>11.666666666666666</v>
      </c>
      <c r="AW32" s="29"/>
      <c r="AX32" s="29"/>
      <c r="AY32" s="29">
        <v>136.36363636363637</v>
      </c>
      <c r="AZ32" s="29"/>
      <c r="BA32" s="29"/>
      <c r="BB32" s="29"/>
      <c r="BC32" s="29"/>
      <c r="BD32" s="29"/>
      <c r="BE32" s="29"/>
      <c r="BF32" s="29"/>
      <c r="BG32" s="29"/>
      <c r="BH32" s="29"/>
      <c r="BI32" s="29"/>
      <c r="BJ32" s="29"/>
      <c r="BK32" s="29"/>
      <c r="BL32" s="29"/>
      <c r="BM32" s="29"/>
      <c r="BN32" s="29"/>
      <c r="BO32" s="29"/>
      <c r="BP32" s="29"/>
      <c r="BQ32" s="29"/>
      <c r="BR32" s="29"/>
      <c r="BS32" s="29"/>
      <c r="BT32" s="29"/>
      <c r="BU32" s="29"/>
      <c r="BV32" s="29"/>
      <c r="BW32" s="29"/>
      <c r="BX32" s="29"/>
      <c r="BY32" s="29"/>
      <c r="BZ32" s="29"/>
      <c r="CA32" s="29"/>
      <c r="CB32" s="29"/>
      <c r="CC32" s="29"/>
      <c r="CD32" s="29"/>
      <c r="CE32" s="29"/>
      <c r="CF32" s="29"/>
      <c r="CG32" s="29"/>
      <c r="CH32" s="29"/>
      <c r="CI32" s="29">
        <v>8.1447963800904972</v>
      </c>
      <c r="CJ32" s="29"/>
      <c r="CK32" s="29">
        <v>2.5</v>
      </c>
      <c r="CL32" s="29"/>
      <c r="CM32" s="29"/>
      <c r="CN32" s="29"/>
      <c r="CO32" s="29"/>
      <c r="CP32" s="29"/>
      <c r="CQ32" s="29"/>
      <c r="CR32" s="29"/>
      <c r="CS32" s="29"/>
      <c r="CT32" s="29"/>
      <c r="CU32" s="29"/>
      <c r="CV32" s="29"/>
      <c r="CW32" s="29"/>
      <c r="CX32" s="29"/>
      <c r="CY32" s="29"/>
      <c r="CZ32" s="29"/>
      <c r="DA32" s="29"/>
      <c r="DB32" s="29"/>
      <c r="DC32" s="29"/>
      <c r="DD32" s="29"/>
      <c r="DE32" s="29"/>
      <c r="DF32" s="29"/>
      <c r="DG32" s="29"/>
      <c r="DH32" s="29"/>
      <c r="DI32" s="29"/>
      <c r="DJ32" s="29"/>
      <c r="DK32" s="29"/>
      <c r="DL32" s="29"/>
      <c r="DM32" s="29"/>
      <c r="DN32" s="29"/>
      <c r="DO32" s="29"/>
      <c r="DP32" s="29"/>
      <c r="DQ32" s="29"/>
      <c r="DR32" s="29"/>
      <c r="DS32" s="29"/>
      <c r="DT32" s="29"/>
      <c r="DU32" s="29"/>
      <c r="DV32" s="29"/>
      <c r="DW32" s="29"/>
      <c r="DX32" s="29"/>
      <c r="DY32" s="29"/>
      <c r="DZ32" s="29"/>
      <c r="EA32" s="29"/>
      <c r="EB32" s="29"/>
      <c r="EC32" s="29"/>
      <c r="ED32" s="29"/>
      <c r="EE32" s="29"/>
      <c r="EF32" s="29"/>
      <c r="EG32" s="29"/>
      <c r="EH32" s="29"/>
      <c r="EI32" s="29"/>
      <c r="EJ32" s="29"/>
      <c r="EK32" s="29"/>
      <c r="EL32" s="29"/>
    </row>
    <row r="33" spans="1:142" x14ac:dyDescent="0.2">
      <c r="A33" s="28">
        <v>1911</v>
      </c>
      <c r="C33" s="29">
        <v>60</v>
      </c>
      <c r="D33" s="29"/>
      <c r="E33" s="29"/>
      <c r="F33" s="29"/>
      <c r="G33" s="29"/>
      <c r="H33" s="29"/>
      <c r="I33" s="29"/>
      <c r="J33" s="29"/>
      <c r="K33" s="29"/>
      <c r="L33" s="29"/>
      <c r="M33" s="29">
        <v>0.33429752066115703</v>
      </c>
      <c r="N33" s="29">
        <v>8.3673469387755099E-3</v>
      </c>
      <c r="O33" s="29"/>
      <c r="P33" s="29"/>
      <c r="Q33" s="29"/>
      <c r="R33" s="29"/>
      <c r="S33" s="29"/>
      <c r="T33" s="29"/>
      <c r="U33" s="29"/>
      <c r="V33" s="29"/>
      <c r="W33" s="29"/>
      <c r="X33" s="29"/>
      <c r="Y33" s="29"/>
      <c r="Z33" s="29"/>
      <c r="AA33" s="29"/>
      <c r="AB33" s="29"/>
      <c r="AC33" s="29"/>
      <c r="AD33" s="29"/>
      <c r="AE33" s="29"/>
      <c r="AF33" s="29"/>
      <c r="AG33" s="29"/>
      <c r="AH33" s="29"/>
      <c r="AI33" s="29"/>
      <c r="AJ33" s="29"/>
      <c r="AK33" s="29"/>
      <c r="AL33" s="29">
        <v>3.7037037037037035E-2</v>
      </c>
      <c r="AM33" s="29">
        <v>20</v>
      </c>
      <c r="AN33" s="29">
        <v>80</v>
      </c>
      <c r="AO33" s="29">
        <v>19.204545454545453</v>
      </c>
      <c r="AP33" s="29"/>
      <c r="AQ33" s="29"/>
      <c r="AR33" s="29"/>
      <c r="AS33" s="29"/>
      <c r="AT33" s="29"/>
      <c r="AU33" s="29">
        <v>0.22058823529411767</v>
      </c>
      <c r="AV33" s="29">
        <v>11.363636363636363</v>
      </c>
      <c r="AW33" s="29"/>
      <c r="AX33" s="29"/>
      <c r="AY33" s="29">
        <v>140</v>
      </c>
      <c r="AZ33" s="29"/>
      <c r="BA33" s="29"/>
      <c r="BB33" s="29"/>
      <c r="BC33" s="29"/>
      <c r="BD33" s="29"/>
      <c r="BE33" s="29"/>
      <c r="BF33" s="29"/>
      <c r="BG33" s="29"/>
      <c r="BH33" s="29"/>
      <c r="BI33" s="29"/>
      <c r="BJ33" s="29"/>
      <c r="BK33" s="29"/>
      <c r="BL33" s="29"/>
      <c r="BM33" s="29"/>
      <c r="BN33" s="29"/>
      <c r="BO33" s="29"/>
      <c r="BP33" s="29"/>
      <c r="BQ33" s="29"/>
      <c r="BR33" s="29"/>
      <c r="BS33" s="29"/>
      <c r="BT33" s="29"/>
      <c r="BU33" s="29"/>
      <c r="BV33" s="29"/>
      <c r="BW33" s="29"/>
      <c r="BX33" s="29"/>
      <c r="BY33" s="29"/>
      <c r="BZ33" s="29"/>
      <c r="CA33" s="29"/>
      <c r="CB33" s="29"/>
      <c r="CC33" s="29"/>
      <c r="CD33" s="29"/>
      <c r="CE33" s="29"/>
      <c r="CF33" s="29"/>
      <c r="CG33" s="29"/>
      <c r="CH33" s="29"/>
      <c r="CI33" s="29">
        <v>8.25</v>
      </c>
      <c r="CJ33" s="29"/>
      <c r="CK33" s="29">
        <v>3</v>
      </c>
      <c r="CL33" s="29"/>
      <c r="CM33" s="29"/>
      <c r="CN33" s="29"/>
      <c r="CO33" s="29"/>
      <c r="CP33" s="29"/>
      <c r="CQ33" s="29"/>
      <c r="CR33" s="29"/>
      <c r="CS33" s="29"/>
      <c r="CT33" s="29"/>
      <c r="CU33" s="29"/>
      <c r="CV33" s="29"/>
      <c r="CW33" s="29"/>
      <c r="CX33" s="29"/>
      <c r="CY33" s="29"/>
      <c r="CZ33" s="29"/>
      <c r="DA33" s="29"/>
      <c r="DB33" s="29"/>
      <c r="DC33" s="29"/>
      <c r="DD33" s="29"/>
      <c r="DE33" s="29"/>
      <c r="DF33" s="29"/>
      <c r="DG33" s="29"/>
      <c r="DH33" s="29"/>
      <c r="DI33" s="29"/>
      <c r="DJ33" s="29"/>
      <c r="DK33" s="29"/>
      <c r="DL33" s="29"/>
      <c r="DM33" s="29"/>
      <c r="DN33" s="29"/>
      <c r="DO33" s="29"/>
      <c r="DP33" s="29"/>
      <c r="DQ33" s="29"/>
      <c r="DR33" s="29"/>
      <c r="DS33" s="29"/>
      <c r="DT33" s="29"/>
      <c r="DU33" s="29"/>
      <c r="DV33" s="29"/>
      <c r="DW33" s="29"/>
      <c r="DX33" s="29"/>
      <c r="DY33" s="29"/>
      <c r="DZ33" s="29"/>
      <c r="EA33" s="29"/>
      <c r="EB33" s="29"/>
      <c r="EC33" s="29"/>
      <c r="ED33" s="29"/>
      <c r="EE33" s="29"/>
      <c r="EF33" s="29"/>
      <c r="EG33" s="29"/>
      <c r="EH33" s="29"/>
      <c r="EI33" s="29"/>
      <c r="EJ33" s="29"/>
      <c r="EK33" s="29"/>
      <c r="EL33" s="29"/>
    </row>
    <row r="34" spans="1:142" x14ac:dyDescent="0.2">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29"/>
      <c r="BS34" s="29"/>
      <c r="BT34" s="29"/>
      <c r="BU34" s="29"/>
      <c r="BV34" s="29"/>
      <c r="BW34" s="29"/>
      <c r="BX34" s="29"/>
      <c r="BY34" s="29"/>
      <c r="BZ34" s="29"/>
      <c r="CA34" s="29"/>
      <c r="CB34" s="29"/>
      <c r="CC34" s="29"/>
      <c r="CD34" s="29"/>
      <c r="CE34" s="29"/>
      <c r="CF34" s="29"/>
      <c r="CG34" s="29"/>
      <c r="CH34" s="29"/>
      <c r="CI34" s="29"/>
      <c r="CJ34" s="29"/>
      <c r="CK34" s="29"/>
      <c r="CL34" s="29"/>
      <c r="CM34" s="29"/>
      <c r="CN34" s="29"/>
      <c r="CO34" s="29"/>
      <c r="CP34" s="29"/>
      <c r="CQ34" s="29"/>
      <c r="CR34" s="29"/>
      <c r="CS34" s="29"/>
      <c r="CT34" s="29"/>
      <c r="CU34" s="29"/>
      <c r="CV34" s="29"/>
      <c r="CW34" s="29"/>
      <c r="CX34" s="29"/>
      <c r="CY34" s="29"/>
      <c r="CZ34" s="29"/>
      <c r="DA34" s="29"/>
      <c r="DB34" s="29"/>
      <c r="DC34" s="29"/>
      <c r="DD34" s="29"/>
      <c r="DE34" s="29"/>
      <c r="DF34" s="29"/>
      <c r="DG34" s="29"/>
      <c r="DH34" s="29"/>
      <c r="DI34" s="29"/>
      <c r="DJ34" s="29"/>
    </row>
  </sheetData>
  <pageMargins left="0.75" right="0.75" top="1" bottom="1" header="0.5" footer="0.5"/>
  <pageSetup paperSize="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O38"/>
  <sheetViews>
    <sheetView zoomScaleNormal="100" zoomScaleSheetLayoutView="110" workbookViewId="0">
      <pane xSplit="2" ySplit="7" topLeftCell="C8" activePane="bottomRight" state="frozenSplit"/>
      <selection activeCell="AJ35" sqref="AJ35"/>
      <selection pane="topRight" activeCell="AJ35" sqref="AJ35"/>
      <selection pane="bottomLeft" activeCell="AJ35" sqref="AJ35"/>
      <selection pane="bottomRight" activeCell="I6" sqref="A6:XFD6"/>
    </sheetView>
  </sheetViews>
  <sheetFormatPr defaultColWidth="9.6640625" defaultRowHeight="12" x14ac:dyDescent="0.2"/>
  <cols>
    <col min="1" max="1" width="6.44140625" style="16" customWidth="1"/>
    <col min="2" max="2" width="13.88671875" style="15" customWidth="1"/>
    <col min="3" max="3" width="11.88671875" style="15" customWidth="1"/>
    <col min="4" max="4" width="12.77734375" style="15" bestFit="1" customWidth="1"/>
    <col min="5" max="6" width="9.6640625" style="15"/>
    <col min="7" max="7" width="15.44140625" style="15" customWidth="1"/>
    <col min="8" max="8" width="16.21875" style="15" customWidth="1"/>
    <col min="9" max="9" width="11.33203125" style="15" bestFit="1" customWidth="1"/>
    <col min="10" max="10" width="13.44140625" style="15" customWidth="1"/>
    <col min="11" max="11" width="9.6640625" style="15"/>
    <col min="12" max="12" width="11.6640625" style="15" bestFit="1" customWidth="1"/>
    <col min="13" max="19" width="9.6640625" style="15"/>
    <col min="20" max="20" width="13.44140625" style="15" customWidth="1"/>
    <col min="21" max="21" width="9.6640625" style="15"/>
    <col min="22" max="22" width="10.6640625" style="15" customWidth="1"/>
    <col min="23" max="23" width="11.21875" style="15" customWidth="1"/>
    <col min="24" max="24" width="10.21875" style="15" customWidth="1"/>
    <col min="25" max="25" width="10.77734375" style="15" customWidth="1"/>
    <col min="26" max="26" width="10.6640625" style="15" customWidth="1"/>
    <col min="27" max="27" width="7.5546875" style="15" customWidth="1"/>
    <col min="28" max="30" width="8.5546875" style="15" bestFit="1" customWidth="1"/>
    <col min="31" max="36" width="13.21875" style="15" customWidth="1"/>
    <col min="37" max="38" width="10.88671875" style="15" customWidth="1"/>
    <col min="39" max="39" width="11.109375" style="15" customWidth="1"/>
    <col min="40" max="189" width="9.6640625" style="15"/>
    <col min="190" max="190" width="6.44140625" style="15" customWidth="1"/>
    <col min="191" max="191" width="13.88671875" style="15" customWidth="1"/>
    <col min="192" max="192" width="11.88671875" style="15" customWidth="1"/>
    <col min="193" max="195" width="9.6640625" style="15"/>
    <col min="196" max="196" width="15.44140625" style="15" customWidth="1"/>
    <col min="197" max="197" width="16.21875" style="15" customWidth="1"/>
    <col min="198" max="209" width="9.6640625" style="15"/>
    <col min="210" max="210" width="12" style="15" customWidth="1"/>
    <col min="211" max="211" width="12.77734375" style="15" customWidth="1"/>
    <col min="212" max="212" width="11.109375" style="15" customWidth="1"/>
    <col min="213" max="213" width="12" style="15" customWidth="1"/>
    <col min="214" max="214" width="9.6640625" style="15"/>
    <col min="215" max="215" width="15.33203125" style="15" customWidth="1"/>
    <col min="216" max="216" width="15.21875" style="15" customWidth="1"/>
    <col min="217" max="217" width="21.44140625" style="15" customWidth="1"/>
    <col min="218" max="233" width="9.6640625" style="15"/>
    <col min="234" max="235" width="13.44140625" style="15" customWidth="1"/>
    <col min="236" max="236" width="9.6640625" style="15"/>
    <col min="237" max="237" width="13.88671875" style="15" customWidth="1"/>
    <col min="238" max="238" width="10.6640625" style="15" customWidth="1"/>
    <col min="239" max="239" width="17.33203125" style="15" customWidth="1"/>
    <col min="240" max="241" width="12.6640625" style="15" customWidth="1"/>
    <col min="242" max="242" width="11.21875" style="15" customWidth="1"/>
    <col min="243" max="243" width="18.33203125" style="15" customWidth="1"/>
    <col min="244" max="244" width="12.88671875" style="15" customWidth="1"/>
    <col min="245" max="246" width="13.21875" style="15" customWidth="1"/>
    <col min="247" max="247" width="10.88671875" style="15" customWidth="1"/>
    <col min="248" max="248" width="11.109375" style="15" customWidth="1"/>
    <col min="249" max="249" width="15.21875" style="15" customWidth="1"/>
    <col min="250" max="250" width="9.6640625" style="15"/>
    <col min="251" max="251" width="11" style="15" customWidth="1"/>
    <col min="252" max="252" width="10.77734375" style="15" customWidth="1"/>
    <col min="253" max="253" width="11.44140625" style="15" customWidth="1"/>
    <col min="254" max="254" width="4" style="15" customWidth="1"/>
    <col min="255" max="445" width="9.6640625" style="15"/>
    <col min="446" max="446" width="6.44140625" style="15" customWidth="1"/>
    <col min="447" max="447" width="13.88671875" style="15" customWidth="1"/>
    <col min="448" max="448" width="11.88671875" style="15" customWidth="1"/>
    <col min="449" max="451" width="9.6640625" style="15"/>
    <col min="452" max="452" width="15.44140625" style="15" customWidth="1"/>
    <col min="453" max="453" width="16.21875" style="15" customWidth="1"/>
    <col min="454" max="465" width="9.6640625" style="15"/>
    <col min="466" max="466" width="12" style="15" customWidth="1"/>
    <col min="467" max="467" width="12.77734375" style="15" customWidth="1"/>
    <col min="468" max="468" width="11.109375" style="15" customWidth="1"/>
    <col min="469" max="469" width="12" style="15" customWidth="1"/>
    <col min="470" max="470" width="9.6640625" style="15"/>
    <col min="471" max="471" width="15.33203125" style="15" customWidth="1"/>
    <col min="472" max="472" width="15.21875" style="15" customWidth="1"/>
    <col min="473" max="473" width="21.44140625" style="15" customWidth="1"/>
    <col min="474" max="489" width="9.6640625" style="15"/>
    <col min="490" max="491" width="13.44140625" style="15" customWidth="1"/>
    <col min="492" max="492" width="9.6640625" style="15"/>
    <col min="493" max="493" width="13.88671875" style="15" customWidth="1"/>
    <col min="494" max="494" width="10.6640625" style="15" customWidth="1"/>
    <col min="495" max="495" width="17.33203125" style="15" customWidth="1"/>
    <col min="496" max="497" width="12.6640625" style="15" customWidth="1"/>
    <col min="498" max="498" width="11.21875" style="15" customWidth="1"/>
    <col min="499" max="499" width="18.33203125" style="15" customWidth="1"/>
    <col min="500" max="500" width="12.88671875" style="15" customWidth="1"/>
    <col min="501" max="502" width="13.21875" style="15" customWidth="1"/>
    <col min="503" max="503" width="10.88671875" style="15" customWidth="1"/>
    <col min="504" max="504" width="11.109375" style="15" customWidth="1"/>
    <col min="505" max="505" width="15.21875" style="15" customWidth="1"/>
    <col min="506" max="506" width="9.6640625" style="15"/>
    <col min="507" max="507" width="11" style="15" customWidth="1"/>
    <col min="508" max="508" width="10.77734375" style="15" customWidth="1"/>
    <col min="509" max="509" width="11.44140625" style="15" customWidth="1"/>
    <col min="510" max="510" width="4" style="15" customWidth="1"/>
    <col min="511" max="701" width="9.6640625" style="15"/>
    <col min="702" max="702" width="6.44140625" style="15" customWidth="1"/>
    <col min="703" max="703" width="13.88671875" style="15" customWidth="1"/>
    <col min="704" max="704" width="11.88671875" style="15" customWidth="1"/>
    <col min="705" max="707" width="9.6640625" style="15"/>
    <col min="708" max="708" width="15.44140625" style="15" customWidth="1"/>
    <col min="709" max="709" width="16.21875" style="15" customWidth="1"/>
    <col min="710" max="721" width="9.6640625" style="15"/>
    <col min="722" max="722" width="12" style="15" customWidth="1"/>
    <col min="723" max="723" width="12.77734375" style="15" customWidth="1"/>
    <col min="724" max="724" width="11.109375" style="15" customWidth="1"/>
    <col min="725" max="725" width="12" style="15" customWidth="1"/>
    <col min="726" max="726" width="9.6640625" style="15"/>
    <col min="727" max="727" width="15.33203125" style="15" customWidth="1"/>
    <col min="728" max="728" width="15.21875" style="15" customWidth="1"/>
    <col min="729" max="729" width="21.44140625" style="15" customWidth="1"/>
    <col min="730" max="745" width="9.6640625" style="15"/>
    <col min="746" max="747" width="13.44140625" style="15" customWidth="1"/>
    <col min="748" max="748" width="9.6640625" style="15"/>
    <col min="749" max="749" width="13.88671875" style="15" customWidth="1"/>
    <col min="750" max="750" width="10.6640625" style="15" customWidth="1"/>
    <col min="751" max="751" width="17.33203125" style="15" customWidth="1"/>
    <col min="752" max="753" width="12.6640625" style="15" customWidth="1"/>
    <col min="754" max="754" width="11.21875" style="15" customWidth="1"/>
    <col min="755" max="755" width="18.33203125" style="15" customWidth="1"/>
    <col min="756" max="756" width="12.88671875" style="15" customWidth="1"/>
    <col min="757" max="758" width="13.21875" style="15" customWidth="1"/>
    <col min="759" max="759" width="10.88671875" style="15" customWidth="1"/>
    <col min="760" max="760" width="11.109375" style="15" customWidth="1"/>
    <col min="761" max="761" width="15.21875" style="15" customWidth="1"/>
    <col min="762" max="762" width="9.6640625" style="15"/>
    <col min="763" max="763" width="11" style="15" customWidth="1"/>
    <col min="764" max="764" width="10.77734375" style="15" customWidth="1"/>
    <col min="765" max="765" width="11.44140625" style="15" customWidth="1"/>
    <col min="766" max="766" width="4" style="15" customWidth="1"/>
    <col min="767" max="957" width="9.6640625" style="15"/>
    <col min="958" max="958" width="6.44140625" style="15" customWidth="1"/>
    <col min="959" max="959" width="13.88671875" style="15" customWidth="1"/>
    <col min="960" max="960" width="11.88671875" style="15" customWidth="1"/>
    <col min="961" max="963" width="9.6640625" style="15"/>
    <col min="964" max="964" width="15.44140625" style="15" customWidth="1"/>
    <col min="965" max="965" width="16.21875" style="15" customWidth="1"/>
    <col min="966" max="977" width="9.6640625" style="15"/>
    <col min="978" max="978" width="12" style="15" customWidth="1"/>
    <col min="979" max="979" width="12.77734375" style="15" customWidth="1"/>
    <col min="980" max="980" width="11.109375" style="15" customWidth="1"/>
    <col min="981" max="981" width="12" style="15" customWidth="1"/>
    <col min="982" max="982" width="9.6640625" style="15"/>
    <col min="983" max="983" width="15.33203125" style="15" customWidth="1"/>
    <col min="984" max="984" width="15.21875" style="15" customWidth="1"/>
    <col min="985" max="985" width="21.44140625" style="15" customWidth="1"/>
    <col min="986" max="1001" width="9.6640625" style="15"/>
    <col min="1002" max="1003" width="13.44140625" style="15" customWidth="1"/>
    <col min="1004" max="1004" width="9.6640625" style="15"/>
    <col min="1005" max="1005" width="13.88671875" style="15" customWidth="1"/>
    <col min="1006" max="1006" width="10.6640625" style="15" customWidth="1"/>
    <col min="1007" max="1007" width="17.33203125" style="15" customWidth="1"/>
    <col min="1008" max="1009" width="12.6640625" style="15" customWidth="1"/>
    <col min="1010" max="1010" width="11.21875" style="15" customWidth="1"/>
    <col min="1011" max="1011" width="18.33203125" style="15" customWidth="1"/>
    <col min="1012" max="1012" width="12.88671875" style="15" customWidth="1"/>
    <col min="1013" max="1014" width="13.21875" style="15" customWidth="1"/>
    <col min="1015" max="1015" width="10.88671875" style="15" customWidth="1"/>
    <col min="1016" max="1016" width="11.109375" style="15" customWidth="1"/>
    <col min="1017" max="1017" width="15.21875" style="15" customWidth="1"/>
    <col min="1018" max="1018" width="9.6640625" style="15"/>
    <col min="1019" max="1019" width="11" style="15" customWidth="1"/>
    <col min="1020" max="1020" width="10.77734375" style="15" customWidth="1"/>
    <col min="1021" max="1021" width="11.44140625" style="15" customWidth="1"/>
    <col min="1022" max="1022" width="4" style="15" customWidth="1"/>
    <col min="1023" max="1213" width="9.6640625" style="15"/>
    <col min="1214" max="1214" width="6.44140625" style="15" customWidth="1"/>
    <col min="1215" max="1215" width="13.88671875" style="15" customWidth="1"/>
    <col min="1216" max="1216" width="11.88671875" style="15" customWidth="1"/>
    <col min="1217" max="1219" width="9.6640625" style="15"/>
    <col min="1220" max="1220" width="15.44140625" style="15" customWidth="1"/>
    <col min="1221" max="1221" width="16.21875" style="15" customWidth="1"/>
    <col min="1222" max="1233" width="9.6640625" style="15"/>
    <col min="1234" max="1234" width="12" style="15" customWidth="1"/>
    <col min="1235" max="1235" width="12.77734375" style="15" customWidth="1"/>
    <col min="1236" max="1236" width="11.109375" style="15" customWidth="1"/>
    <col min="1237" max="1237" width="12" style="15" customWidth="1"/>
    <col min="1238" max="1238" width="9.6640625" style="15"/>
    <col min="1239" max="1239" width="15.33203125" style="15" customWidth="1"/>
    <col min="1240" max="1240" width="15.21875" style="15" customWidth="1"/>
    <col min="1241" max="1241" width="21.44140625" style="15" customWidth="1"/>
    <col min="1242" max="1257" width="9.6640625" style="15"/>
    <col min="1258" max="1259" width="13.44140625" style="15" customWidth="1"/>
    <col min="1260" max="1260" width="9.6640625" style="15"/>
    <col min="1261" max="1261" width="13.88671875" style="15" customWidth="1"/>
    <col min="1262" max="1262" width="10.6640625" style="15" customWidth="1"/>
    <col min="1263" max="1263" width="17.33203125" style="15" customWidth="1"/>
    <col min="1264" max="1265" width="12.6640625" style="15" customWidth="1"/>
    <col min="1266" max="1266" width="11.21875" style="15" customWidth="1"/>
    <col min="1267" max="1267" width="18.33203125" style="15" customWidth="1"/>
    <col min="1268" max="1268" width="12.88671875" style="15" customWidth="1"/>
    <col min="1269" max="1270" width="13.21875" style="15" customWidth="1"/>
    <col min="1271" max="1271" width="10.88671875" style="15" customWidth="1"/>
    <col min="1272" max="1272" width="11.109375" style="15" customWidth="1"/>
    <col min="1273" max="1273" width="15.21875" style="15" customWidth="1"/>
    <col min="1274" max="1274" width="9.6640625" style="15"/>
    <col min="1275" max="1275" width="11" style="15" customWidth="1"/>
    <col min="1276" max="1276" width="10.77734375" style="15" customWidth="1"/>
    <col min="1277" max="1277" width="11.44140625" style="15" customWidth="1"/>
    <col min="1278" max="1278" width="4" style="15" customWidth="1"/>
    <col min="1279" max="1469" width="9.6640625" style="15"/>
    <col min="1470" max="1470" width="6.44140625" style="15" customWidth="1"/>
    <col min="1471" max="1471" width="13.88671875" style="15" customWidth="1"/>
    <col min="1472" max="1472" width="11.88671875" style="15" customWidth="1"/>
    <col min="1473" max="1475" width="9.6640625" style="15"/>
    <col min="1476" max="1476" width="15.44140625" style="15" customWidth="1"/>
    <col min="1477" max="1477" width="16.21875" style="15" customWidth="1"/>
    <col min="1478" max="1489" width="9.6640625" style="15"/>
    <col min="1490" max="1490" width="12" style="15" customWidth="1"/>
    <col min="1491" max="1491" width="12.77734375" style="15" customWidth="1"/>
    <col min="1492" max="1492" width="11.109375" style="15" customWidth="1"/>
    <col min="1493" max="1493" width="12" style="15" customWidth="1"/>
    <col min="1494" max="1494" width="9.6640625" style="15"/>
    <col min="1495" max="1495" width="15.33203125" style="15" customWidth="1"/>
    <col min="1496" max="1496" width="15.21875" style="15" customWidth="1"/>
    <col min="1497" max="1497" width="21.44140625" style="15" customWidth="1"/>
    <col min="1498" max="1513" width="9.6640625" style="15"/>
    <col min="1514" max="1515" width="13.44140625" style="15" customWidth="1"/>
    <col min="1516" max="1516" width="9.6640625" style="15"/>
    <col min="1517" max="1517" width="13.88671875" style="15" customWidth="1"/>
    <col min="1518" max="1518" width="10.6640625" style="15" customWidth="1"/>
    <col min="1519" max="1519" width="17.33203125" style="15" customWidth="1"/>
    <col min="1520" max="1521" width="12.6640625" style="15" customWidth="1"/>
    <col min="1522" max="1522" width="11.21875" style="15" customWidth="1"/>
    <col min="1523" max="1523" width="18.33203125" style="15" customWidth="1"/>
    <col min="1524" max="1524" width="12.88671875" style="15" customWidth="1"/>
    <col min="1525" max="1526" width="13.21875" style="15" customWidth="1"/>
    <col min="1527" max="1527" width="10.88671875" style="15" customWidth="1"/>
    <col min="1528" max="1528" width="11.109375" style="15" customWidth="1"/>
    <col min="1529" max="1529" width="15.21875" style="15" customWidth="1"/>
    <col min="1530" max="1530" width="9.6640625" style="15"/>
    <col min="1531" max="1531" width="11" style="15" customWidth="1"/>
    <col min="1532" max="1532" width="10.77734375" style="15" customWidth="1"/>
    <col min="1533" max="1533" width="11.44140625" style="15" customWidth="1"/>
    <col min="1534" max="1534" width="4" style="15" customWidth="1"/>
    <col min="1535" max="1725" width="9.6640625" style="15"/>
    <col min="1726" max="1726" width="6.44140625" style="15" customWidth="1"/>
    <col min="1727" max="1727" width="13.88671875" style="15" customWidth="1"/>
    <col min="1728" max="1728" width="11.88671875" style="15" customWidth="1"/>
    <col min="1729" max="1731" width="9.6640625" style="15"/>
    <col min="1732" max="1732" width="15.44140625" style="15" customWidth="1"/>
    <col min="1733" max="1733" width="16.21875" style="15" customWidth="1"/>
    <col min="1734" max="1745" width="9.6640625" style="15"/>
    <col min="1746" max="1746" width="12" style="15" customWidth="1"/>
    <col min="1747" max="1747" width="12.77734375" style="15" customWidth="1"/>
    <col min="1748" max="1748" width="11.109375" style="15" customWidth="1"/>
    <col min="1749" max="1749" width="12" style="15" customWidth="1"/>
    <col min="1750" max="1750" width="9.6640625" style="15"/>
    <col min="1751" max="1751" width="15.33203125" style="15" customWidth="1"/>
    <col min="1752" max="1752" width="15.21875" style="15" customWidth="1"/>
    <col min="1753" max="1753" width="21.44140625" style="15" customWidth="1"/>
    <col min="1754" max="1769" width="9.6640625" style="15"/>
    <col min="1770" max="1771" width="13.44140625" style="15" customWidth="1"/>
    <col min="1772" max="1772" width="9.6640625" style="15"/>
    <col min="1773" max="1773" width="13.88671875" style="15" customWidth="1"/>
    <col min="1774" max="1774" width="10.6640625" style="15" customWidth="1"/>
    <col min="1775" max="1775" width="17.33203125" style="15" customWidth="1"/>
    <col min="1776" max="1777" width="12.6640625" style="15" customWidth="1"/>
    <col min="1778" max="1778" width="11.21875" style="15" customWidth="1"/>
    <col min="1779" max="1779" width="18.33203125" style="15" customWidth="1"/>
    <col min="1780" max="1780" width="12.88671875" style="15" customWidth="1"/>
    <col min="1781" max="1782" width="13.21875" style="15" customWidth="1"/>
    <col min="1783" max="1783" width="10.88671875" style="15" customWidth="1"/>
    <col min="1784" max="1784" width="11.109375" style="15" customWidth="1"/>
    <col min="1785" max="1785" width="15.21875" style="15" customWidth="1"/>
    <col min="1786" max="1786" width="9.6640625" style="15"/>
    <col min="1787" max="1787" width="11" style="15" customWidth="1"/>
    <col min="1788" max="1788" width="10.77734375" style="15" customWidth="1"/>
    <col min="1789" max="1789" width="11.44140625" style="15" customWidth="1"/>
    <col min="1790" max="1790" width="4" style="15" customWidth="1"/>
    <col min="1791" max="1981" width="9.6640625" style="15"/>
    <col min="1982" max="1982" width="6.44140625" style="15" customWidth="1"/>
    <col min="1983" max="1983" width="13.88671875" style="15" customWidth="1"/>
    <col min="1984" max="1984" width="11.88671875" style="15" customWidth="1"/>
    <col min="1985" max="1987" width="9.6640625" style="15"/>
    <col min="1988" max="1988" width="15.44140625" style="15" customWidth="1"/>
    <col min="1989" max="1989" width="16.21875" style="15" customWidth="1"/>
    <col min="1990" max="2001" width="9.6640625" style="15"/>
    <col min="2002" max="2002" width="12" style="15" customWidth="1"/>
    <col min="2003" max="2003" width="12.77734375" style="15" customWidth="1"/>
    <col min="2004" max="2004" width="11.109375" style="15" customWidth="1"/>
    <col min="2005" max="2005" width="12" style="15" customWidth="1"/>
    <col min="2006" max="2006" width="9.6640625" style="15"/>
    <col min="2007" max="2007" width="15.33203125" style="15" customWidth="1"/>
    <col min="2008" max="2008" width="15.21875" style="15" customWidth="1"/>
    <col min="2009" max="2009" width="21.44140625" style="15" customWidth="1"/>
    <col min="2010" max="2025" width="9.6640625" style="15"/>
    <col min="2026" max="2027" width="13.44140625" style="15" customWidth="1"/>
    <col min="2028" max="2028" width="9.6640625" style="15"/>
    <col min="2029" max="2029" width="13.88671875" style="15" customWidth="1"/>
    <col min="2030" max="2030" width="10.6640625" style="15" customWidth="1"/>
    <col min="2031" max="2031" width="17.33203125" style="15" customWidth="1"/>
    <col min="2032" max="2033" width="12.6640625" style="15" customWidth="1"/>
    <col min="2034" max="2034" width="11.21875" style="15" customWidth="1"/>
    <col min="2035" max="2035" width="18.33203125" style="15" customWidth="1"/>
    <col min="2036" max="2036" width="12.88671875" style="15" customWidth="1"/>
    <col min="2037" max="2038" width="13.21875" style="15" customWidth="1"/>
    <col min="2039" max="2039" width="10.88671875" style="15" customWidth="1"/>
    <col min="2040" max="2040" width="11.109375" style="15" customWidth="1"/>
    <col min="2041" max="2041" width="15.21875" style="15" customWidth="1"/>
    <col min="2042" max="2042" width="9.6640625" style="15"/>
    <col min="2043" max="2043" width="11" style="15" customWidth="1"/>
    <col min="2044" max="2044" width="10.77734375" style="15" customWidth="1"/>
    <col min="2045" max="2045" width="11.44140625" style="15" customWidth="1"/>
    <col min="2046" max="2046" width="4" style="15" customWidth="1"/>
    <col min="2047" max="2237" width="9.6640625" style="15"/>
    <col min="2238" max="2238" width="6.44140625" style="15" customWidth="1"/>
    <col min="2239" max="2239" width="13.88671875" style="15" customWidth="1"/>
    <col min="2240" max="2240" width="11.88671875" style="15" customWidth="1"/>
    <col min="2241" max="2243" width="9.6640625" style="15"/>
    <col min="2244" max="2244" width="15.44140625" style="15" customWidth="1"/>
    <col min="2245" max="2245" width="16.21875" style="15" customWidth="1"/>
    <col min="2246" max="2257" width="9.6640625" style="15"/>
    <col min="2258" max="2258" width="12" style="15" customWidth="1"/>
    <col min="2259" max="2259" width="12.77734375" style="15" customWidth="1"/>
    <col min="2260" max="2260" width="11.109375" style="15" customWidth="1"/>
    <col min="2261" max="2261" width="12" style="15" customWidth="1"/>
    <col min="2262" max="2262" width="9.6640625" style="15"/>
    <col min="2263" max="2263" width="15.33203125" style="15" customWidth="1"/>
    <col min="2264" max="2264" width="15.21875" style="15" customWidth="1"/>
    <col min="2265" max="2265" width="21.44140625" style="15" customWidth="1"/>
    <col min="2266" max="2281" width="9.6640625" style="15"/>
    <col min="2282" max="2283" width="13.44140625" style="15" customWidth="1"/>
    <col min="2284" max="2284" width="9.6640625" style="15"/>
    <col min="2285" max="2285" width="13.88671875" style="15" customWidth="1"/>
    <col min="2286" max="2286" width="10.6640625" style="15" customWidth="1"/>
    <col min="2287" max="2287" width="17.33203125" style="15" customWidth="1"/>
    <col min="2288" max="2289" width="12.6640625" style="15" customWidth="1"/>
    <col min="2290" max="2290" width="11.21875" style="15" customWidth="1"/>
    <col min="2291" max="2291" width="18.33203125" style="15" customWidth="1"/>
    <col min="2292" max="2292" width="12.88671875" style="15" customWidth="1"/>
    <col min="2293" max="2294" width="13.21875" style="15" customWidth="1"/>
    <col min="2295" max="2295" width="10.88671875" style="15" customWidth="1"/>
    <col min="2296" max="2296" width="11.109375" style="15" customWidth="1"/>
    <col min="2297" max="2297" width="15.21875" style="15" customWidth="1"/>
    <col min="2298" max="2298" width="9.6640625" style="15"/>
    <col min="2299" max="2299" width="11" style="15" customWidth="1"/>
    <col min="2300" max="2300" width="10.77734375" style="15" customWidth="1"/>
    <col min="2301" max="2301" width="11.44140625" style="15" customWidth="1"/>
    <col min="2302" max="2302" width="4" style="15" customWidth="1"/>
    <col min="2303" max="2493" width="9.6640625" style="15"/>
    <col min="2494" max="2494" width="6.44140625" style="15" customWidth="1"/>
    <col min="2495" max="2495" width="13.88671875" style="15" customWidth="1"/>
    <col min="2496" max="2496" width="11.88671875" style="15" customWidth="1"/>
    <col min="2497" max="2499" width="9.6640625" style="15"/>
    <col min="2500" max="2500" width="15.44140625" style="15" customWidth="1"/>
    <col min="2501" max="2501" width="16.21875" style="15" customWidth="1"/>
    <col min="2502" max="2513" width="9.6640625" style="15"/>
    <col min="2514" max="2514" width="12" style="15" customWidth="1"/>
    <col min="2515" max="2515" width="12.77734375" style="15" customWidth="1"/>
    <col min="2516" max="2516" width="11.109375" style="15" customWidth="1"/>
    <col min="2517" max="2517" width="12" style="15" customWidth="1"/>
    <col min="2518" max="2518" width="9.6640625" style="15"/>
    <col min="2519" max="2519" width="15.33203125" style="15" customWidth="1"/>
    <col min="2520" max="2520" width="15.21875" style="15" customWidth="1"/>
    <col min="2521" max="2521" width="21.44140625" style="15" customWidth="1"/>
    <col min="2522" max="2537" width="9.6640625" style="15"/>
    <col min="2538" max="2539" width="13.44140625" style="15" customWidth="1"/>
    <col min="2540" max="2540" width="9.6640625" style="15"/>
    <col min="2541" max="2541" width="13.88671875" style="15" customWidth="1"/>
    <col min="2542" max="2542" width="10.6640625" style="15" customWidth="1"/>
    <col min="2543" max="2543" width="17.33203125" style="15" customWidth="1"/>
    <col min="2544" max="2545" width="12.6640625" style="15" customWidth="1"/>
    <col min="2546" max="2546" width="11.21875" style="15" customWidth="1"/>
    <col min="2547" max="2547" width="18.33203125" style="15" customWidth="1"/>
    <col min="2548" max="2548" width="12.88671875" style="15" customWidth="1"/>
    <col min="2549" max="2550" width="13.21875" style="15" customWidth="1"/>
    <col min="2551" max="2551" width="10.88671875" style="15" customWidth="1"/>
    <col min="2552" max="2552" width="11.109375" style="15" customWidth="1"/>
    <col min="2553" max="2553" width="15.21875" style="15" customWidth="1"/>
    <col min="2554" max="2554" width="9.6640625" style="15"/>
    <col min="2555" max="2555" width="11" style="15" customWidth="1"/>
    <col min="2556" max="2556" width="10.77734375" style="15" customWidth="1"/>
    <col min="2557" max="2557" width="11.44140625" style="15" customWidth="1"/>
    <col min="2558" max="2558" width="4" style="15" customWidth="1"/>
    <col min="2559" max="2749" width="9.6640625" style="15"/>
    <col min="2750" max="2750" width="6.44140625" style="15" customWidth="1"/>
    <col min="2751" max="2751" width="13.88671875" style="15" customWidth="1"/>
    <col min="2752" max="2752" width="11.88671875" style="15" customWidth="1"/>
    <col min="2753" max="2755" width="9.6640625" style="15"/>
    <col min="2756" max="2756" width="15.44140625" style="15" customWidth="1"/>
    <col min="2757" max="2757" width="16.21875" style="15" customWidth="1"/>
    <col min="2758" max="2769" width="9.6640625" style="15"/>
    <col min="2770" max="2770" width="12" style="15" customWidth="1"/>
    <col min="2771" max="2771" width="12.77734375" style="15" customWidth="1"/>
    <col min="2772" max="2772" width="11.109375" style="15" customWidth="1"/>
    <col min="2773" max="2773" width="12" style="15" customWidth="1"/>
    <col min="2774" max="2774" width="9.6640625" style="15"/>
    <col min="2775" max="2775" width="15.33203125" style="15" customWidth="1"/>
    <col min="2776" max="2776" width="15.21875" style="15" customWidth="1"/>
    <col min="2777" max="2777" width="21.44140625" style="15" customWidth="1"/>
    <col min="2778" max="2793" width="9.6640625" style="15"/>
    <col min="2794" max="2795" width="13.44140625" style="15" customWidth="1"/>
    <col min="2796" max="2796" width="9.6640625" style="15"/>
    <col min="2797" max="2797" width="13.88671875" style="15" customWidth="1"/>
    <col min="2798" max="2798" width="10.6640625" style="15" customWidth="1"/>
    <col min="2799" max="2799" width="17.33203125" style="15" customWidth="1"/>
    <col min="2800" max="2801" width="12.6640625" style="15" customWidth="1"/>
    <col min="2802" max="2802" width="11.21875" style="15" customWidth="1"/>
    <col min="2803" max="2803" width="18.33203125" style="15" customWidth="1"/>
    <col min="2804" max="2804" width="12.88671875" style="15" customWidth="1"/>
    <col min="2805" max="2806" width="13.21875" style="15" customWidth="1"/>
    <col min="2807" max="2807" width="10.88671875" style="15" customWidth="1"/>
    <col min="2808" max="2808" width="11.109375" style="15" customWidth="1"/>
    <col min="2809" max="2809" width="15.21875" style="15" customWidth="1"/>
    <col min="2810" max="2810" width="9.6640625" style="15"/>
    <col min="2811" max="2811" width="11" style="15" customWidth="1"/>
    <col min="2812" max="2812" width="10.77734375" style="15" customWidth="1"/>
    <col min="2813" max="2813" width="11.44140625" style="15" customWidth="1"/>
    <col min="2814" max="2814" width="4" style="15" customWidth="1"/>
    <col min="2815" max="3005" width="9.6640625" style="15"/>
    <col min="3006" max="3006" width="6.44140625" style="15" customWidth="1"/>
    <col min="3007" max="3007" width="13.88671875" style="15" customWidth="1"/>
    <col min="3008" max="3008" width="11.88671875" style="15" customWidth="1"/>
    <col min="3009" max="3011" width="9.6640625" style="15"/>
    <col min="3012" max="3012" width="15.44140625" style="15" customWidth="1"/>
    <col min="3013" max="3013" width="16.21875" style="15" customWidth="1"/>
    <col min="3014" max="3025" width="9.6640625" style="15"/>
    <col min="3026" max="3026" width="12" style="15" customWidth="1"/>
    <col min="3027" max="3027" width="12.77734375" style="15" customWidth="1"/>
    <col min="3028" max="3028" width="11.109375" style="15" customWidth="1"/>
    <col min="3029" max="3029" width="12" style="15" customWidth="1"/>
    <col min="3030" max="3030" width="9.6640625" style="15"/>
    <col min="3031" max="3031" width="15.33203125" style="15" customWidth="1"/>
    <col min="3032" max="3032" width="15.21875" style="15" customWidth="1"/>
    <col min="3033" max="3033" width="21.44140625" style="15" customWidth="1"/>
    <col min="3034" max="3049" width="9.6640625" style="15"/>
    <col min="3050" max="3051" width="13.44140625" style="15" customWidth="1"/>
    <col min="3052" max="3052" width="9.6640625" style="15"/>
    <col min="3053" max="3053" width="13.88671875" style="15" customWidth="1"/>
    <col min="3054" max="3054" width="10.6640625" style="15" customWidth="1"/>
    <col min="3055" max="3055" width="17.33203125" style="15" customWidth="1"/>
    <col min="3056" max="3057" width="12.6640625" style="15" customWidth="1"/>
    <col min="3058" max="3058" width="11.21875" style="15" customWidth="1"/>
    <col min="3059" max="3059" width="18.33203125" style="15" customWidth="1"/>
    <col min="3060" max="3060" width="12.88671875" style="15" customWidth="1"/>
    <col min="3061" max="3062" width="13.21875" style="15" customWidth="1"/>
    <col min="3063" max="3063" width="10.88671875" style="15" customWidth="1"/>
    <col min="3064" max="3064" width="11.109375" style="15" customWidth="1"/>
    <col min="3065" max="3065" width="15.21875" style="15" customWidth="1"/>
    <col min="3066" max="3066" width="9.6640625" style="15"/>
    <col min="3067" max="3067" width="11" style="15" customWidth="1"/>
    <col min="3068" max="3068" width="10.77734375" style="15" customWidth="1"/>
    <col min="3069" max="3069" width="11.44140625" style="15" customWidth="1"/>
    <col min="3070" max="3070" width="4" style="15" customWidth="1"/>
    <col min="3071" max="3261" width="9.6640625" style="15"/>
    <col min="3262" max="3262" width="6.44140625" style="15" customWidth="1"/>
    <col min="3263" max="3263" width="13.88671875" style="15" customWidth="1"/>
    <col min="3264" max="3264" width="11.88671875" style="15" customWidth="1"/>
    <col min="3265" max="3267" width="9.6640625" style="15"/>
    <col min="3268" max="3268" width="15.44140625" style="15" customWidth="1"/>
    <col min="3269" max="3269" width="16.21875" style="15" customWidth="1"/>
    <col min="3270" max="3281" width="9.6640625" style="15"/>
    <col min="3282" max="3282" width="12" style="15" customWidth="1"/>
    <col min="3283" max="3283" width="12.77734375" style="15" customWidth="1"/>
    <col min="3284" max="3284" width="11.109375" style="15" customWidth="1"/>
    <col min="3285" max="3285" width="12" style="15" customWidth="1"/>
    <col min="3286" max="3286" width="9.6640625" style="15"/>
    <col min="3287" max="3287" width="15.33203125" style="15" customWidth="1"/>
    <col min="3288" max="3288" width="15.21875" style="15" customWidth="1"/>
    <col min="3289" max="3289" width="21.44140625" style="15" customWidth="1"/>
    <col min="3290" max="3305" width="9.6640625" style="15"/>
    <col min="3306" max="3307" width="13.44140625" style="15" customWidth="1"/>
    <col min="3308" max="3308" width="9.6640625" style="15"/>
    <col min="3309" max="3309" width="13.88671875" style="15" customWidth="1"/>
    <col min="3310" max="3310" width="10.6640625" style="15" customWidth="1"/>
    <col min="3311" max="3311" width="17.33203125" style="15" customWidth="1"/>
    <col min="3312" max="3313" width="12.6640625" style="15" customWidth="1"/>
    <col min="3314" max="3314" width="11.21875" style="15" customWidth="1"/>
    <col min="3315" max="3315" width="18.33203125" style="15" customWidth="1"/>
    <col min="3316" max="3316" width="12.88671875" style="15" customWidth="1"/>
    <col min="3317" max="3318" width="13.21875" style="15" customWidth="1"/>
    <col min="3319" max="3319" width="10.88671875" style="15" customWidth="1"/>
    <col min="3320" max="3320" width="11.109375" style="15" customWidth="1"/>
    <col min="3321" max="3321" width="15.21875" style="15" customWidth="1"/>
    <col min="3322" max="3322" width="9.6640625" style="15"/>
    <col min="3323" max="3323" width="11" style="15" customWidth="1"/>
    <col min="3324" max="3324" width="10.77734375" style="15" customWidth="1"/>
    <col min="3325" max="3325" width="11.44140625" style="15" customWidth="1"/>
    <col min="3326" max="3326" width="4" style="15" customWidth="1"/>
    <col min="3327" max="3517" width="9.6640625" style="15"/>
    <col min="3518" max="3518" width="6.44140625" style="15" customWidth="1"/>
    <col min="3519" max="3519" width="13.88671875" style="15" customWidth="1"/>
    <col min="3520" max="3520" width="11.88671875" style="15" customWidth="1"/>
    <col min="3521" max="3523" width="9.6640625" style="15"/>
    <col min="3524" max="3524" width="15.44140625" style="15" customWidth="1"/>
    <col min="3525" max="3525" width="16.21875" style="15" customWidth="1"/>
    <col min="3526" max="3537" width="9.6640625" style="15"/>
    <col min="3538" max="3538" width="12" style="15" customWidth="1"/>
    <col min="3539" max="3539" width="12.77734375" style="15" customWidth="1"/>
    <col min="3540" max="3540" width="11.109375" style="15" customWidth="1"/>
    <col min="3541" max="3541" width="12" style="15" customWidth="1"/>
    <col min="3542" max="3542" width="9.6640625" style="15"/>
    <col min="3543" max="3543" width="15.33203125" style="15" customWidth="1"/>
    <col min="3544" max="3544" width="15.21875" style="15" customWidth="1"/>
    <col min="3545" max="3545" width="21.44140625" style="15" customWidth="1"/>
    <col min="3546" max="3561" width="9.6640625" style="15"/>
    <col min="3562" max="3563" width="13.44140625" style="15" customWidth="1"/>
    <col min="3564" max="3564" width="9.6640625" style="15"/>
    <col min="3565" max="3565" width="13.88671875" style="15" customWidth="1"/>
    <col min="3566" max="3566" width="10.6640625" style="15" customWidth="1"/>
    <col min="3567" max="3567" width="17.33203125" style="15" customWidth="1"/>
    <col min="3568" max="3569" width="12.6640625" style="15" customWidth="1"/>
    <col min="3570" max="3570" width="11.21875" style="15" customWidth="1"/>
    <col min="3571" max="3571" width="18.33203125" style="15" customWidth="1"/>
    <col min="3572" max="3572" width="12.88671875" style="15" customWidth="1"/>
    <col min="3573" max="3574" width="13.21875" style="15" customWidth="1"/>
    <col min="3575" max="3575" width="10.88671875" style="15" customWidth="1"/>
    <col min="3576" max="3576" width="11.109375" style="15" customWidth="1"/>
    <col min="3577" max="3577" width="15.21875" style="15" customWidth="1"/>
    <col min="3578" max="3578" width="9.6640625" style="15"/>
    <col min="3579" max="3579" width="11" style="15" customWidth="1"/>
    <col min="3580" max="3580" width="10.77734375" style="15" customWidth="1"/>
    <col min="3581" max="3581" width="11.44140625" style="15" customWidth="1"/>
    <col min="3582" max="3582" width="4" style="15" customWidth="1"/>
    <col min="3583" max="3773" width="9.6640625" style="15"/>
    <col min="3774" max="3774" width="6.44140625" style="15" customWidth="1"/>
    <col min="3775" max="3775" width="13.88671875" style="15" customWidth="1"/>
    <col min="3776" max="3776" width="11.88671875" style="15" customWidth="1"/>
    <col min="3777" max="3779" width="9.6640625" style="15"/>
    <col min="3780" max="3780" width="15.44140625" style="15" customWidth="1"/>
    <col min="3781" max="3781" width="16.21875" style="15" customWidth="1"/>
    <col min="3782" max="3793" width="9.6640625" style="15"/>
    <col min="3794" max="3794" width="12" style="15" customWidth="1"/>
    <col min="3795" max="3795" width="12.77734375" style="15" customWidth="1"/>
    <col min="3796" max="3796" width="11.109375" style="15" customWidth="1"/>
    <col min="3797" max="3797" width="12" style="15" customWidth="1"/>
    <col min="3798" max="3798" width="9.6640625" style="15"/>
    <col min="3799" max="3799" width="15.33203125" style="15" customWidth="1"/>
    <col min="3800" max="3800" width="15.21875" style="15" customWidth="1"/>
    <col min="3801" max="3801" width="21.44140625" style="15" customWidth="1"/>
    <col min="3802" max="3817" width="9.6640625" style="15"/>
    <col min="3818" max="3819" width="13.44140625" style="15" customWidth="1"/>
    <col min="3820" max="3820" width="9.6640625" style="15"/>
    <col min="3821" max="3821" width="13.88671875" style="15" customWidth="1"/>
    <col min="3822" max="3822" width="10.6640625" style="15" customWidth="1"/>
    <col min="3823" max="3823" width="17.33203125" style="15" customWidth="1"/>
    <col min="3824" max="3825" width="12.6640625" style="15" customWidth="1"/>
    <col min="3826" max="3826" width="11.21875" style="15" customWidth="1"/>
    <col min="3827" max="3827" width="18.33203125" style="15" customWidth="1"/>
    <col min="3828" max="3828" width="12.88671875" style="15" customWidth="1"/>
    <col min="3829" max="3830" width="13.21875" style="15" customWidth="1"/>
    <col min="3831" max="3831" width="10.88671875" style="15" customWidth="1"/>
    <col min="3832" max="3832" width="11.109375" style="15" customWidth="1"/>
    <col min="3833" max="3833" width="15.21875" style="15" customWidth="1"/>
    <col min="3834" max="3834" width="9.6640625" style="15"/>
    <col min="3835" max="3835" width="11" style="15" customWidth="1"/>
    <col min="3836" max="3836" width="10.77734375" style="15" customWidth="1"/>
    <col min="3837" max="3837" width="11.44140625" style="15" customWidth="1"/>
    <col min="3838" max="3838" width="4" style="15" customWidth="1"/>
    <col min="3839" max="4029" width="9.6640625" style="15"/>
    <col min="4030" max="4030" width="6.44140625" style="15" customWidth="1"/>
    <col min="4031" max="4031" width="13.88671875" style="15" customWidth="1"/>
    <col min="4032" max="4032" width="11.88671875" style="15" customWidth="1"/>
    <col min="4033" max="4035" width="9.6640625" style="15"/>
    <col min="4036" max="4036" width="15.44140625" style="15" customWidth="1"/>
    <col min="4037" max="4037" width="16.21875" style="15" customWidth="1"/>
    <col min="4038" max="4049" width="9.6640625" style="15"/>
    <col min="4050" max="4050" width="12" style="15" customWidth="1"/>
    <col min="4051" max="4051" width="12.77734375" style="15" customWidth="1"/>
    <col min="4052" max="4052" width="11.109375" style="15" customWidth="1"/>
    <col min="4053" max="4053" width="12" style="15" customWidth="1"/>
    <col min="4054" max="4054" width="9.6640625" style="15"/>
    <col min="4055" max="4055" width="15.33203125" style="15" customWidth="1"/>
    <col min="4056" max="4056" width="15.21875" style="15" customWidth="1"/>
    <col min="4057" max="4057" width="21.44140625" style="15" customWidth="1"/>
    <col min="4058" max="4073" width="9.6640625" style="15"/>
    <col min="4074" max="4075" width="13.44140625" style="15" customWidth="1"/>
    <col min="4076" max="4076" width="9.6640625" style="15"/>
    <col min="4077" max="4077" width="13.88671875" style="15" customWidth="1"/>
    <col min="4078" max="4078" width="10.6640625" style="15" customWidth="1"/>
    <col min="4079" max="4079" width="17.33203125" style="15" customWidth="1"/>
    <col min="4080" max="4081" width="12.6640625" style="15" customWidth="1"/>
    <col min="4082" max="4082" width="11.21875" style="15" customWidth="1"/>
    <col min="4083" max="4083" width="18.33203125" style="15" customWidth="1"/>
    <col min="4084" max="4084" width="12.88671875" style="15" customWidth="1"/>
    <col min="4085" max="4086" width="13.21875" style="15" customWidth="1"/>
    <col min="4087" max="4087" width="10.88671875" style="15" customWidth="1"/>
    <col min="4088" max="4088" width="11.109375" style="15" customWidth="1"/>
    <col min="4089" max="4089" width="15.21875" style="15" customWidth="1"/>
    <col min="4090" max="4090" width="9.6640625" style="15"/>
    <col min="4091" max="4091" width="11" style="15" customWidth="1"/>
    <col min="4092" max="4092" width="10.77734375" style="15" customWidth="1"/>
    <col min="4093" max="4093" width="11.44140625" style="15" customWidth="1"/>
    <col min="4094" max="4094" width="4" style="15" customWidth="1"/>
    <col min="4095" max="4285" width="9.6640625" style="15"/>
    <col min="4286" max="4286" width="6.44140625" style="15" customWidth="1"/>
    <col min="4287" max="4287" width="13.88671875" style="15" customWidth="1"/>
    <col min="4288" max="4288" width="11.88671875" style="15" customWidth="1"/>
    <col min="4289" max="4291" width="9.6640625" style="15"/>
    <col min="4292" max="4292" width="15.44140625" style="15" customWidth="1"/>
    <col min="4293" max="4293" width="16.21875" style="15" customWidth="1"/>
    <col min="4294" max="4305" width="9.6640625" style="15"/>
    <col min="4306" max="4306" width="12" style="15" customWidth="1"/>
    <col min="4307" max="4307" width="12.77734375" style="15" customWidth="1"/>
    <col min="4308" max="4308" width="11.109375" style="15" customWidth="1"/>
    <col min="4309" max="4309" width="12" style="15" customWidth="1"/>
    <col min="4310" max="4310" width="9.6640625" style="15"/>
    <col min="4311" max="4311" width="15.33203125" style="15" customWidth="1"/>
    <col min="4312" max="4312" width="15.21875" style="15" customWidth="1"/>
    <col min="4313" max="4313" width="21.44140625" style="15" customWidth="1"/>
    <col min="4314" max="4329" width="9.6640625" style="15"/>
    <col min="4330" max="4331" width="13.44140625" style="15" customWidth="1"/>
    <col min="4332" max="4332" width="9.6640625" style="15"/>
    <col min="4333" max="4333" width="13.88671875" style="15" customWidth="1"/>
    <col min="4334" max="4334" width="10.6640625" style="15" customWidth="1"/>
    <col min="4335" max="4335" width="17.33203125" style="15" customWidth="1"/>
    <col min="4336" max="4337" width="12.6640625" style="15" customWidth="1"/>
    <col min="4338" max="4338" width="11.21875" style="15" customWidth="1"/>
    <col min="4339" max="4339" width="18.33203125" style="15" customWidth="1"/>
    <col min="4340" max="4340" width="12.88671875" style="15" customWidth="1"/>
    <col min="4341" max="4342" width="13.21875" style="15" customWidth="1"/>
    <col min="4343" max="4343" width="10.88671875" style="15" customWidth="1"/>
    <col min="4344" max="4344" width="11.109375" style="15" customWidth="1"/>
    <col min="4345" max="4345" width="15.21875" style="15" customWidth="1"/>
    <col min="4346" max="4346" width="9.6640625" style="15"/>
    <col min="4347" max="4347" width="11" style="15" customWidth="1"/>
    <col min="4348" max="4348" width="10.77734375" style="15" customWidth="1"/>
    <col min="4349" max="4349" width="11.44140625" style="15" customWidth="1"/>
    <col min="4350" max="4350" width="4" style="15" customWidth="1"/>
    <col min="4351" max="4541" width="9.6640625" style="15"/>
    <col min="4542" max="4542" width="6.44140625" style="15" customWidth="1"/>
    <col min="4543" max="4543" width="13.88671875" style="15" customWidth="1"/>
    <col min="4544" max="4544" width="11.88671875" style="15" customWidth="1"/>
    <col min="4545" max="4547" width="9.6640625" style="15"/>
    <col min="4548" max="4548" width="15.44140625" style="15" customWidth="1"/>
    <col min="4549" max="4549" width="16.21875" style="15" customWidth="1"/>
    <col min="4550" max="4561" width="9.6640625" style="15"/>
    <col min="4562" max="4562" width="12" style="15" customWidth="1"/>
    <col min="4563" max="4563" width="12.77734375" style="15" customWidth="1"/>
    <col min="4564" max="4564" width="11.109375" style="15" customWidth="1"/>
    <col min="4565" max="4565" width="12" style="15" customWidth="1"/>
    <col min="4566" max="4566" width="9.6640625" style="15"/>
    <col min="4567" max="4567" width="15.33203125" style="15" customWidth="1"/>
    <col min="4568" max="4568" width="15.21875" style="15" customWidth="1"/>
    <col min="4569" max="4569" width="21.44140625" style="15" customWidth="1"/>
    <col min="4570" max="4585" width="9.6640625" style="15"/>
    <col min="4586" max="4587" width="13.44140625" style="15" customWidth="1"/>
    <col min="4588" max="4588" width="9.6640625" style="15"/>
    <col min="4589" max="4589" width="13.88671875" style="15" customWidth="1"/>
    <col min="4590" max="4590" width="10.6640625" style="15" customWidth="1"/>
    <col min="4591" max="4591" width="17.33203125" style="15" customWidth="1"/>
    <col min="4592" max="4593" width="12.6640625" style="15" customWidth="1"/>
    <col min="4594" max="4594" width="11.21875" style="15" customWidth="1"/>
    <col min="4595" max="4595" width="18.33203125" style="15" customWidth="1"/>
    <col min="4596" max="4596" width="12.88671875" style="15" customWidth="1"/>
    <col min="4597" max="4598" width="13.21875" style="15" customWidth="1"/>
    <col min="4599" max="4599" width="10.88671875" style="15" customWidth="1"/>
    <col min="4600" max="4600" width="11.109375" style="15" customWidth="1"/>
    <col min="4601" max="4601" width="15.21875" style="15" customWidth="1"/>
    <col min="4602" max="4602" width="9.6640625" style="15"/>
    <col min="4603" max="4603" width="11" style="15" customWidth="1"/>
    <col min="4604" max="4604" width="10.77734375" style="15" customWidth="1"/>
    <col min="4605" max="4605" width="11.44140625" style="15" customWidth="1"/>
    <col min="4606" max="4606" width="4" style="15" customWidth="1"/>
    <col min="4607" max="4797" width="9.6640625" style="15"/>
    <col min="4798" max="4798" width="6.44140625" style="15" customWidth="1"/>
    <col min="4799" max="4799" width="13.88671875" style="15" customWidth="1"/>
    <col min="4800" max="4800" width="11.88671875" style="15" customWidth="1"/>
    <col min="4801" max="4803" width="9.6640625" style="15"/>
    <col min="4804" max="4804" width="15.44140625" style="15" customWidth="1"/>
    <col min="4805" max="4805" width="16.21875" style="15" customWidth="1"/>
    <col min="4806" max="4817" width="9.6640625" style="15"/>
    <col min="4818" max="4818" width="12" style="15" customWidth="1"/>
    <col min="4819" max="4819" width="12.77734375" style="15" customWidth="1"/>
    <col min="4820" max="4820" width="11.109375" style="15" customWidth="1"/>
    <col min="4821" max="4821" width="12" style="15" customWidth="1"/>
    <col min="4822" max="4822" width="9.6640625" style="15"/>
    <col min="4823" max="4823" width="15.33203125" style="15" customWidth="1"/>
    <col min="4824" max="4824" width="15.21875" style="15" customWidth="1"/>
    <col min="4825" max="4825" width="21.44140625" style="15" customWidth="1"/>
    <col min="4826" max="4841" width="9.6640625" style="15"/>
    <col min="4842" max="4843" width="13.44140625" style="15" customWidth="1"/>
    <col min="4844" max="4844" width="9.6640625" style="15"/>
    <col min="4845" max="4845" width="13.88671875" style="15" customWidth="1"/>
    <col min="4846" max="4846" width="10.6640625" style="15" customWidth="1"/>
    <col min="4847" max="4847" width="17.33203125" style="15" customWidth="1"/>
    <col min="4848" max="4849" width="12.6640625" style="15" customWidth="1"/>
    <col min="4850" max="4850" width="11.21875" style="15" customWidth="1"/>
    <col min="4851" max="4851" width="18.33203125" style="15" customWidth="1"/>
    <col min="4852" max="4852" width="12.88671875" style="15" customWidth="1"/>
    <col min="4853" max="4854" width="13.21875" style="15" customWidth="1"/>
    <col min="4855" max="4855" width="10.88671875" style="15" customWidth="1"/>
    <col min="4856" max="4856" width="11.109375" style="15" customWidth="1"/>
    <col min="4857" max="4857" width="15.21875" style="15" customWidth="1"/>
    <col min="4858" max="4858" width="9.6640625" style="15"/>
    <col min="4859" max="4859" width="11" style="15" customWidth="1"/>
    <col min="4860" max="4860" width="10.77734375" style="15" customWidth="1"/>
    <col min="4861" max="4861" width="11.44140625" style="15" customWidth="1"/>
    <col min="4862" max="4862" width="4" style="15" customWidth="1"/>
    <col min="4863" max="5053" width="9.6640625" style="15"/>
    <col min="5054" max="5054" width="6.44140625" style="15" customWidth="1"/>
    <col min="5055" max="5055" width="13.88671875" style="15" customWidth="1"/>
    <col min="5056" max="5056" width="11.88671875" style="15" customWidth="1"/>
    <col min="5057" max="5059" width="9.6640625" style="15"/>
    <col min="5060" max="5060" width="15.44140625" style="15" customWidth="1"/>
    <col min="5061" max="5061" width="16.21875" style="15" customWidth="1"/>
    <col min="5062" max="5073" width="9.6640625" style="15"/>
    <col min="5074" max="5074" width="12" style="15" customWidth="1"/>
    <col min="5075" max="5075" width="12.77734375" style="15" customWidth="1"/>
    <col min="5076" max="5076" width="11.109375" style="15" customWidth="1"/>
    <col min="5077" max="5077" width="12" style="15" customWidth="1"/>
    <col min="5078" max="5078" width="9.6640625" style="15"/>
    <col min="5079" max="5079" width="15.33203125" style="15" customWidth="1"/>
    <col min="5080" max="5080" width="15.21875" style="15" customWidth="1"/>
    <col min="5081" max="5081" width="21.44140625" style="15" customWidth="1"/>
    <col min="5082" max="5097" width="9.6640625" style="15"/>
    <col min="5098" max="5099" width="13.44140625" style="15" customWidth="1"/>
    <col min="5100" max="5100" width="9.6640625" style="15"/>
    <col min="5101" max="5101" width="13.88671875" style="15" customWidth="1"/>
    <col min="5102" max="5102" width="10.6640625" style="15" customWidth="1"/>
    <col min="5103" max="5103" width="17.33203125" style="15" customWidth="1"/>
    <col min="5104" max="5105" width="12.6640625" style="15" customWidth="1"/>
    <col min="5106" max="5106" width="11.21875" style="15" customWidth="1"/>
    <col min="5107" max="5107" width="18.33203125" style="15" customWidth="1"/>
    <col min="5108" max="5108" width="12.88671875" style="15" customWidth="1"/>
    <col min="5109" max="5110" width="13.21875" style="15" customWidth="1"/>
    <col min="5111" max="5111" width="10.88671875" style="15" customWidth="1"/>
    <col min="5112" max="5112" width="11.109375" style="15" customWidth="1"/>
    <col min="5113" max="5113" width="15.21875" style="15" customWidth="1"/>
    <col min="5114" max="5114" width="9.6640625" style="15"/>
    <col min="5115" max="5115" width="11" style="15" customWidth="1"/>
    <col min="5116" max="5116" width="10.77734375" style="15" customWidth="1"/>
    <col min="5117" max="5117" width="11.44140625" style="15" customWidth="1"/>
    <col min="5118" max="5118" width="4" style="15" customWidth="1"/>
    <col min="5119" max="5309" width="9.6640625" style="15"/>
    <col min="5310" max="5310" width="6.44140625" style="15" customWidth="1"/>
    <col min="5311" max="5311" width="13.88671875" style="15" customWidth="1"/>
    <col min="5312" max="5312" width="11.88671875" style="15" customWidth="1"/>
    <col min="5313" max="5315" width="9.6640625" style="15"/>
    <col min="5316" max="5316" width="15.44140625" style="15" customWidth="1"/>
    <col min="5317" max="5317" width="16.21875" style="15" customWidth="1"/>
    <col min="5318" max="5329" width="9.6640625" style="15"/>
    <col min="5330" max="5330" width="12" style="15" customWidth="1"/>
    <col min="5331" max="5331" width="12.77734375" style="15" customWidth="1"/>
    <col min="5332" max="5332" width="11.109375" style="15" customWidth="1"/>
    <col min="5333" max="5333" width="12" style="15" customWidth="1"/>
    <col min="5334" max="5334" width="9.6640625" style="15"/>
    <col min="5335" max="5335" width="15.33203125" style="15" customWidth="1"/>
    <col min="5336" max="5336" width="15.21875" style="15" customWidth="1"/>
    <col min="5337" max="5337" width="21.44140625" style="15" customWidth="1"/>
    <col min="5338" max="5353" width="9.6640625" style="15"/>
    <col min="5354" max="5355" width="13.44140625" style="15" customWidth="1"/>
    <col min="5356" max="5356" width="9.6640625" style="15"/>
    <col min="5357" max="5357" width="13.88671875" style="15" customWidth="1"/>
    <col min="5358" max="5358" width="10.6640625" style="15" customWidth="1"/>
    <col min="5359" max="5359" width="17.33203125" style="15" customWidth="1"/>
    <col min="5360" max="5361" width="12.6640625" style="15" customWidth="1"/>
    <col min="5362" max="5362" width="11.21875" style="15" customWidth="1"/>
    <col min="5363" max="5363" width="18.33203125" style="15" customWidth="1"/>
    <col min="5364" max="5364" width="12.88671875" style="15" customWidth="1"/>
    <col min="5365" max="5366" width="13.21875" style="15" customWidth="1"/>
    <col min="5367" max="5367" width="10.88671875" style="15" customWidth="1"/>
    <col min="5368" max="5368" width="11.109375" style="15" customWidth="1"/>
    <col min="5369" max="5369" width="15.21875" style="15" customWidth="1"/>
    <col min="5370" max="5370" width="9.6640625" style="15"/>
    <col min="5371" max="5371" width="11" style="15" customWidth="1"/>
    <col min="5372" max="5372" width="10.77734375" style="15" customWidth="1"/>
    <col min="5373" max="5373" width="11.44140625" style="15" customWidth="1"/>
    <col min="5374" max="5374" width="4" style="15" customWidth="1"/>
    <col min="5375" max="5565" width="9.6640625" style="15"/>
    <col min="5566" max="5566" width="6.44140625" style="15" customWidth="1"/>
    <col min="5567" max="5567" width="13.88671875" style="15" customWidth="1"/>
    <col min="5568" max="5568" width="11.88671875" style="15" customWidth="1"/>
    <col min="5569" max="5571" width="9.6640625" style="15"/>
    <col min="5572" max="5572" width="15.44140625" style="15" customWidth="1"/>
    <col min="5573" max="5573" width="16.21875" style="15" customWidth="1"/>
    <col min="5574" max="5585" width="9.6640625" style="15"/>
    <col min="5586" max="5586" width="12" style="15" customWidth="1"/>
    <col min="5587" max="5587" width="12.77734375" style="15" customWidth="1"/>
    <col min="5588" max="5588" width="11.109375" style="15" customWidth="1"/>
    <col min="5589" max="5589" width="12" style="15" customWidth="1"/>
    <col min="5590" max="5590" width="9.6640625" style="15"/>
    <col min="5591" max="5591" width="15.33203125" style="15" customWidth="1"/>
    <col min="5592" max="5592" width="15.21875" style="15" customWidth="1"/>
    <col min="5593" max="5593" width="21.44140625" style="15" customWidth="1"/>
    <col min="5594" max="5609" width="9.6640625" style="15"/>
    <col min="5610" max="5611" width="13.44140625" style="15" customWidth="1"/>
    <col min="5612" max="5612" width="9.6640625" style="15"/>
    <col min="5613" max="5613" width="13.88671875" style="15" customWidth="1"/>
    <col min="5614" max="5614" width="10.6640625" style="15" customWidth="1"/>
    <col min="5615" max="5615" width="17.33203125" style="15" customWidth="1"/>
    <col min="5616" max="5617" width="12.6640625" style="15" customWidth="1"/>
    <col min="5618" max="5618" width="11.21875" style="15" customWidth="1"/>
    <col min="5619" max="5619" width="18.33203125" style="15" customWidth="1"/>
    <col min="5620" max="5620" width="12.88671875" style="15" customWidth="1"/>
    <col min="5621" max="5622" width="13.21875" style="15" customWidth="1"/>
    <col min="5623" max="5623" width="10.88671875" style="15" customWidth="1"/>
    <col min="5624" max="5624" width="11.109375" style="15" customWidth="1"/>
    <col min="5625" max="5625" width="15.21875" style="15" customWidth="1"/>
    <col min="5626" max="5626" width="9.6640625" style="15"/>
    <col min="5627" max="5627" width="11" style="15" customWidth="1"/>
    <col min="5628" max="5628" width="10.77734375" style="15" customWidth="1"/>
    <col min="5629" max="5629" width="11.44140625" style="15" customWidth="1"/>
    <col min="5630" max="5630" width="4" style="15" customWidth="1"/>
    <col min="5631" max="5821" width="9.6640625" style="15"/>
    <col min="5822" max="5822" width="6.44140625" style="15" customWidth="1"/>
    <col min="5823" max="5823" width="13.88671875" style="15" customWidth="1"/>
    <col min="5824" max="5824" width="11.88671875" style="15" customWidth="1"/>
    <col min="5825" max="5827" width="9.6640625" style="15"/>
    <col min="5828" max="5828" width="15.44140625" style="15" customWidth="1"/>
    <col min="5829" max="5829" width="16.21875" style="15" customWidth="1"/>
    <col min="5830" max="5841" width="9.6640625" style="15"/>
    <col min="5842" max="5842" width="12" style="15" customWidth="1"/>
    <col min="5843" max="5843" width="12.77734375" style="15" customWidth="1"/>
    <col min="5844" max="5844" width="11.109375" style="15" customWidth="1"/>
    <col min="5845" max="5845" width="12" style="15" customWidth="1"/>
    <col min="5846" max="5846" width="9.6640625" style="15"/>
    <col min="5847" max="5847" width="15.33203125" style="15" customWidth="1"/>
    <col min="5848" max="5848" width="15.21875" style="15" customWidth="1"/>
    <col min="5849" max="5849" width="21.44140625" style="15" customWidth="1"/>
    <col min="5850" max="5865" width="9.6640625" style="15"/>
    <col min="5866" max="5867" width="13.44140625" style="15" customWidth="1"/>
    <col min="5868" max="5868" width="9.6640625" style="15"/>
    <col min="5869" max="5869" width="13.88671875" style="15" customWidth="1"/>
    <col min="5870" max="5870" width="10.6640625" style="15" customWidth="1"/>
    <col min="5871" max="5871" width="17.33203125" style="15" customWidth="1"/>
    <col min="5872" max="5873" width="12.6640625" style="15" customWidth="1"/>
    <col min="5874" max="5874" width="11.21875" style="15" customWidth="1"/>
    <col min="5875" max="5875" width="18.33203125" style="15" customWidth="1"/>
    <col min="5876" max="5876" width="12.88671875" style="15" customWidth="1"/>
    <col min="5877" max="5878" width="13.21875" style="15" customWidth="1"/>
    <col min="5879" max="5879" width="10.88671875" style="15" customWidth="1"/>
    <col min="5880" max="5880" width="11.109375" style="15" customWidth="1"/>
    <col min="5881" max="5881" width="15.21875" style="15" customWidth="1"/>
    <col min="5882" max="5882" width="9.6640625" style="15"/>
    <col min="5883" max="5883" width="11" style="15" customWidth="1"/>
    <col min="5884" max="5884" width="10.77734375" style="15" customWidth="1"/>
    <col min="5885" max="5885" width="11.44140625" style="15" customWidth="1"/>
    <col min="5886" max="5886" width="4" style="15" customWidth="1"/>
    <col min="5887" max="6077" width="9.6640625" style="15"/>
    <col min="6078" max="6078" width="6.44140625" style="15" customWidth="1"/>
    <col min="6079" max="6079" width="13.88671875" style="15" customWidth="1"/>
    <col min="6080" max="6080" width="11.88671875" style="15" customWidth="1"/>
    <col min="6081" max="6083" width="9.6640625" style="15"/>
    <col min="6084" max="6084" width="15.44140625" style="15" customWidth="1"/>
    <col min="6085" max="6085" width="16.21875" style="15" customWidth="1"/>
    <col min="6086" max="6097" width="9.6640625" style="15"/>
    <col min="6098" max="6098" width="12" style="15" customWidth="1"/>
    <col min="6099" max="6099" width="12.77734375" style="15" customWidth="1"/>
    <col min="6100" max="6100" width="11.109375" style="15" customWidth="1"/>
    <col min="6101" max="6101" width="12" style="15" customWidth="1"/>
    <col min="6102" max="6102" width="9.6640625" style="15"/>
    <col min="6103" max="6103" width="15.33203125" style="15" customWidth="1"/>
    <col min="6104" max="6104" width="15.21875" style="15" customWidth="1"/>
    <col min="6105" max="6105" width="21.44140625" style="15" customWidth="1"/>
    <col min="6106" max="6121" width="9.6640625" style="15"/>
    <col min="6122" max="6123" width="13.44140625" style="15" customWidth="1"/>
    <col min="6124" max="6124" width="9.6640625" style="15"/>
    <col min="6125" max="6125" width="13.88671875" style="15" customWidth="1"/>
    <col min="6126" max="6126" width="10.6640625" style="15" customWidth="1"/>
    <col min="6127" max="6127" width="17.33203125" style="15" customWidth="1"/>
    <col min="6128" max="6129" width="12.6640625" style="15" customWidth="1"/>
    <col min="6130" max="6130" width="11.21875" style="15" customWidth="1"/>
    <col min="6131" max="6131" width="18.33203125" style="15" customWidth="1"/>
    <col min="6132" max="6132" width="12.88671875" style="15" customWidth="1"/>
    <col min="6133" max="6134" width="13.21875" style="15" customWidth="1"/>
    <col min="6135" max="6135" width="10.88671875" style="15" customWidth="1"/>
    <col min="6136" max="6136" width="11.109375" style="15" customWidth="1"/>
    <col min="6137" max="6137" width="15.21875" style="15" customWidth="1"/>
    <col min="6138" max="6138" width="9.6640625" style="15"/>
    <col min="6139" max="6139" width="11" style="15" customWidth="1"/>
    <col min="6140" max="6140" width="10.77734375" style="15" customWidth="1"/>
    <col min="6141" max="6141" width="11.44140625" style="15" customWidth="1"/>
    <col min="6142" max="6142" width="4" style="15" customWidth="1"/>
    <col min="6143" max="6333" width="9.6640625" style="15"/>
    <col min="6334" max="6334" width="6.44140625" style="15" customWidth="1"/>
    <col min="6335" max="6335" width="13.88671875" style="15" customWidth="1"/>
    <col min="6336" max="6336" width="11.88671875" style="15" customWidth="1"/>
    <col min="6337" max="6339" width="9.6640625" style="15"/>
    <col min="6340" max="6340" width="15.44140625" style="15" customWidth="1"/>
    <col min="6341" max="6341" width="16.21875" style="15" customWidth="1"/>
    <col min="6342" max="6353" width="9.6640625" style="15"/>
    <col min="6354" max="6354" width="12" style="15" customWidth="1"/>
    <col min="6355" max="6355" width="12.77734375" style="15" customWidth="1"/>
    <col min="6356" max="6356" width="11.109375" style="15" customWidth="1"/>
    <col min="6357" max="6357" width="12" style="15" customWidth="1"/>
    <col min="6358" max="6358" width="9.6640625" style="15"/>
    <col min="6359" max="6359" width="15.33203125" style="15" customWidth="1"/>
    <col min="6360" max="6360" width="15.21875" style="15" customWidth="1"/>
    <col min="6361" max="6361" width="21.44140625" style="15" customWidth="1"/>
    <col min="6362" max="6377" width="9.6640625" style="15"/>
    <col min="6378" max="6379" width="13.44140625" style="15" customWidth="1"/>
    <col min="6380" max="6380" width="9.6640625" style="15"/>
    <col min="6381" max="6381" width="13.88671875" style="15" customWidth="1"/>
    <col min="6382" max="6382" width="10.6640625" style="15" customWidth="1"/>
    <col min="6383" max="6383" width="17.33203125" style="15" customWidth="1"/>
    <col min="6384" max="6385" width="12.6640625" style="15" customWidth="1"/>
    <col min="6386" max="6386" width="11.21875" style="15" customWidth="1"/>
    <col min="6387" max="6387" width="18.33203125" style="15" customWidth="1"/>
    <col min="6388" max="6388" width="12.88671875" style="15" customWidth="1"/>
    <col min="6389" max="6390" width="13.21875" style="15" customWidth="1"/>
    <col min="6391" max="6391" width="10.88671875" style="15" customWidth="1"/>
    <col min="6392" max="6392" width="11.109375" style="15" customWidth="1"/>
    <col min="6393" max="6393" width="15.21875" style="15" customWidth="1"/>
    <col min="6394" max="6394" width="9.6640625" style="15"/>
    <col min="6395" max="6395" width="11" style="15" customWidth="1"/>
    <col min="6396" max="6396" width="10.77734375" style="15" customWidth="1"/>
    <col min="6397" max="6397" width="11.44140625" style="15" customWidth="1"/>
    <col min="6398" max="6398" width="4" style="15" customWidth="1"/>
    <col min="6399" max="6589" width="9.6640625" style="15"/>
    <col min="6590" max="6590" width="6.44140625" style="15" customWidth="1"/>
    <col min="6591" max="6591" width="13.88671875" style="15" customWidth="1"/>
    <col min="6592" max="6592" width="11.88671875" style="15" customWidth="1"/>
    <col min="6593" max="6595" width="9.6640625" style="15"/>
    <col min="6596" max="6596" width="15.44140625" style="15" customWidth="1"/>
    <col min="6597" max="6597" width="16.21875" style="15" customWidth="1"/>
    <col min="6598" max="6609" width="9.6640625" style="15"/>
    <col min="6610" max="6610" width="12" style="15" customWidth="1"/>
    <col min="6611" max="6611" width="12.77734375" style="15" customWidth="1"/>
    <col min="6612" max="6612" width="11.109375" style="15" customWidth="1"/>
    <col min="6613" max="6613" width="12" style="15" customWidth="1"/>
    <col min="6614" max="6614" width="9.6640625" style="15"/>
    <col min="6615" max="6615" width="15.33203125" style="15" customWidth="1"/>
    <col min="6616" max="6616" width="15.21875" style="15" customWidth="1"/>
    <col min="6617" max="6617" width="21.44140625" style="15" customWidth="1"/>
    <col min="6618" max="6633" width="9.6640625" style="15"/>
    <col min="6634" max="6635" width="13.44140625" style="15" customWidth="1"/>
    <col min="6636" max="6636" width="9.6640625" style="15"/>
    <col min="6637" max="6637" width="13.88671875" style="15" customWidth="1"/>
    <col min="6638" max="6638" width="10.6640625" style="15" customWidth="1"/>
    <col min="6639" max="6639" width="17.33203125" style="15" customWidth="1"/>
    <col min="6640" max="6641" width="12.6640625" style="15" customWidth="1"/>
    <col min="6642" max="6642" width="11.21875" style="15" customWidth="1"/>
    <col min="6643" max="6643" width="18.33203125" style="15" customWidth="1"/>
    <col min="6644" max="6644" width="12.88671875" style="15" customWidth="1"/>
    <col min="6645" max="6646" width="13.21875" style="15" customWidth="1"/>
    <col min="6647" max="6647" width="10.88671875" style="15" customWidth="1"/>
    <col min="6648" max="6648" width="11.109375" style="15" customWidth="1"/>
    <col min="6649" max="6649" width="15.21875" style="15" customWidth="1"/>
    <col min="6650" max="6650" width="9.6640625" style="15"/>
    <col min="6651" max="6651" width="11" style="15" customWidth="1"/>
    <col min="6652" max="6652" width="10.77734375" style="15" customWidth="1"/>
    <col min="6653" max="6653" width="11.44140625" style="15" customWidth="1"/>
    <col min="6654" max="6654" width="4" style="15" customWidth="1"/>
    <col min="6655" max="6845" width="9.6640625" style="15"/>
    <col min="6846" max="6846" width="6.44140625" style="15" customWidth="1"/>
    <col min="6847" max="6847" width="13.88671875" style="15" customWidth="1"/>
    <col min="6848" max="6848" width="11.88671875" style="15" customWidth="1"/>
    <col min="6849" max="6851" width="9.6640625" style="15"/>
    <col min="6852" max="6852" width="15.44140625" style="15" customWidth="1"/>
    <col min="6853" max="6853" width="16.21875" style="15" customWidth="1"/>
    <col min="6854" max="6865" width="9.6640625" style="15"/>
    <col min="6866" max="6866" width="12" style="15" customWidth="1"/>
    <col min="6867" max="6867" width="12.77734375" style="15" customWidth="1"/>
    <col min="6868" max="6868" width="11.109375" style="15" customWidth="1"/>
    <col min="6869" max="6869" width="12" style="15" customWidth="1"/>
    <col min="6870" max="6870" width="9.6640625" style="15"/>
    <col min="6871" max="6871" width="15.33203125" style="15" customWidth="1"/>
    <col min="6872" max="6872" width="15.21875" style="15" customWidth="1"/>
    <col min="6873" max="6873" width="21.44140625" style="15" customWidth="1"/>
    <col min="6874" max="6889" width="9.6640625" style="15"/>
    <col min="6890" max="6891" width="13.44140625" style="15" customWidth="1"/>
    <col min="6892" max="6892" width="9.6640625" style="15"/>
    <col min="6893" max="6893" width="13.88671875" style="15" customWidth="1"/>
    <col min="6894" max="6894" width="10.6640625" style="15" customWidth="1"/>
    <col min="6895" max="6895" width="17.33203125" style="15" customWidth="1"/>
    <col min="6896" max="6897" width="12.6640625" style="15" customWidth="1"/>
    <col min="6898" max="6898" width="11.21875" style="15" customWidth="1"/>
    <col min="6899" max="6899" width="18.33203125" style="15" customWidth="1"/>
    <col min="6900" max="6900" width="12.88671875" style="15" customWidth="1"/>
    <col min="6901" max="6902" width="13.21875" style="15" customWidth="1"/>
    <col min="6903" max="6903" width="10.88671875" style="15" customWidth="1"/>
    <col min="6904" max="6904" width="11.109375" style="15" customWidth="1"/>
    <col min="6905" max="6905" width="15.21875" style="15" customWidth="1"/>
    <col min="6906" max="6906" width="9.6640625" style="15"/>
    <col min="6907" max="6907" width="11" style="15" customWidth="1"/>
    <col min="6908" max="6908" width="10.77734375" style="15" customWidth="1"/>
    <col min="6909" max="6909" width="11.44140625" style="15" customWidth="1"/>
    <col min="6910" max="6910" width="4" style="15" customWidth="1"/>
    <col min="6911" max="7101" width="9.6640625" style="15"/>
    <col min="7102" max="7102" width="6.44140625" style="15" customWidth="1"/>
    <col min="7103" max="7103" width="13.88671875" style="15" customWidth="1"/>
    <col min="7104" max="7104" width="11.88671875" style="15" customWidth="1"/>
    <col min="7105" max="7107" width="9.6640625" style="15"/>
    <col min="7108" max="7108" width="15.44140625" style="15" customWidth="1"/>
    <col min="7109" max="7109" width="16.21875" style="15" customWidth="1"/>
    <col min="7110" max="7121" width="9.6640625" style="15"/>
    <col min="7122" max="7122" width="12" style="15" customWidth="1"/>
    <col min="7123" max="7123" width="12.77734375" style="15" customWidth="1"/>
    <col min="7124" max="7124" width="11.109375" style="15" customWidth="1"/>
    <col min="7125" max="7125" width="12" style="15" customWidth="1"/>
    <col min="7126" max="7126" width="9.6640625" style="15"/>
    <col min="7127" max="7127" width="15.33203125" style="15" customWidth="1"/>
    <col min="7128" max="7128" width="15.21875" style="15" customWidth="1"/>
    <col min="7129" max="7129" width="21.44140625" style="15" customWidth="1"/>
    <col min="7130" max="7145" width="9.6640625" style="15"/>
    <col min="7146" max="7147" width="13.44140625" style="15" customWidth="1"/>
    <col min="7148" max="7148" width="9.6640625" style="15"/>
    <col min="7149" max="7149" width="13.88671875" style="15" customWidth="1"/>
    <col min="7150" max="7150" width="10.6640625" style="15" customWidth="1"/>
    <col min="7151" max="7151" width="17.33203125" style="15" customWidth="1"/>
    <col min="7152" max="7153" width="12.6640625" style="15" customWidth="1"/>
    <col min="7154" max="7154" width="11.21875" style="15" customWidth="1"/>
    <col min="7155" max="7155" width="18.33203125" style="15" customWidth="1"/>
    <col min="7156" max="7156" width="12.88671875" style="15" customWidth="1"/>
    <col min="7157" max="7158" width="13.21875" style="15" customWidth="1"/>
    <col min="7159" max="7159" width="10.88671875" style="15" customWidth="1"/>
    <col min="7160" max="7160" width="11.109375" style="15" customWidth="1"/>
    <col min="7161" max="7161" width="15.21875" style="15" customWidth="1"/>
    <col min="7162" max="7162" width="9.6640625" style="15"/>
    <col min="7163" max="7163" width="11" style="15" customWidth="1"/>
    <col min="7164" max="7164" width="10.77734375" style="15" customWidth="1"/>
    <col min="7165" max="7165" width="11.44140625" style="15" customWidth="1"/>
    <col min="7166" max="7166" width="4" style="15" customWidth="1"/>
    <col min="7167" max="7357" width="9.6640625" style="15"/>
    <col min="7358" max="7358" width="6.44140625" style="15" customWidth="1"/>
    <col min="7359" max="7359" width="13.88671875" style="15" customWidth="1"/>
    <col min="7360" max="7360" width="11.88671875" style="15" customWidth="1"/>
    <col min="7361" max="7363" width="9.6640625" style="15"/>
    <col min="7364" max="7364" width="15.44140625" style="15" customWidth="1"/>
    <col min="7365" max="7365" width="16.21875" style="15" customWidth="1"/>
    <col min="7366" max="7377" width="9.6640625" style="15"/>
    <col min="7378" max="7378" width="12" style="15" customWidth="1"/>
    <col min="7379" max="7379" width="12.77734375" style="15" customWidth="1"/>
    <col min="7380" max="7380" width="11.109375" style="15" customWidth="1"/>
    <col min="7381" max="7381" width="12" style="15" customWidth="1"/>
    <col min="7382" max="7382" width="9.6640625" style="15"/>
    <col min="7383" max="7383" width="15.33203125" style="15" customWidth="1"/>
    <col min="7384" max="7384" width="15.21875" style="15" customWidth="1"/>
    <col min="7385" max="7385" width="21.44140625" style="15" customWidth="1"/>
    <col min="7386" max="7401" width="9.6640625" style="15"/>
    <col min="7402" max="7403" width="13.44140625" style="15" customWidth="1"/>
    <col min="7404" max="7404" width="9.6640625" style="15"/>
    <col min="7405" max="7405" width="13.88671875" style="15" customWidth="1"/>
    <col min="7406" max="7406" width="10.6640625" style="15" customWidth="1"/>
    <col min="7407" max="7407" width="17.33203125" style="15" customWidth="1"/>
    <col min="7408" max="7409" width="12.6640625" style="15" customWidth="1"/>
    <col min="7410" max="7410" width="11.21875" style="15" customWidth="1"/>
    <col min="7411" max="7411" width="18.33203125" style="15" customWidth="1"/>
    <col min="7412" max="7412" width="12.88671875" style="15" customWidth="1"/>
    <col min="7413" max="7414" width="13.21875" style="15" customWidth="1"/>
    <col min="7415" max="7415" width="10.88671875" style="15" customWidth="1"/>
    <col min="7416" max="7416" width="11.109375" style="15" customWidth="1"/>
    <col min="7417" max="7417" width="15.21875" style="15" customWidth="1"/>
    <col min="7418" max="7418" width="9.6640625" style="15"/>
    <col min="7419" max="7419" width="11" style="15" customWidth="1"/>
    <col min="7420" max="7420" width="10.77734375" style="15" customWidth="1"/>
    <col min="7421" max="7421" width="11.44140625" style="15" customWidth="1"/>
    <col min="7422" max="7422" width="4" style="15" customWidth="1"/>
    <col min="7423" max="7613" width="9.6640625" style="15"/>
    <col min="7614" max="7614" width="6.44140625" style="15" customWidth="1"/>
    <col min="7615" max="7615" width="13.88671875" style="15" customWidth="1"/>
    <col min="7616" max="7616" width="11.88671875" style="15" customWidth="1"/>
    <col min="7617" max="7619" width="9.6640625" style="15"/>
    <col min="7620" max="7620" width="15.44140625" style="15" customWidth="1"/>
    <col min="7621" max="7621" width="16.21875" style="15" customWidth="1"/>
    <col min="7622" max="7633" width="9.6640625" style="15"/>
    <col min="7634" max="7634" width="12" style="15" customWidth="1"/>
    <col min="7635" max="7635" width="12.77734375" style="15" customWidth="1"/>
    <col min="7636" max="7636" width="11.109375" style="15" customWidth="1"/>
    <col min="7637" max="7637" width="12" style="15" customWidth="1"/>
    <col min="7638" max="7638" width="9.6640625" style="15"/>
    <col min="7639" max="7639" width="15.33203125" style="15" customWidth="1"/>
    <col min="7640" max="7640" width="15.21875" style="15" customWidth="1"/>
    <col min="7641" max="7641" width="21.44140625" style="15" customWidth="1"/>
    <col min="7642" max="7657" width="9.6640625" style="15"/>
    <col min="7658" max="7659" width="13.44140625" style="15" customWidth="1"/>
    <col min="7660" max="7660" width="9.6640625" style="15"/>
    <col min="7661" max="7661" width="13.88671875" style="15" customWidth="1"/>
    <col min="7662" max="7662" width="10.6640625" style="15" customWidth="1"/>
    <col min="7663" max="7663" width="17.33203125" style="15" customWidth="1"/>
    <col min="7664" max="7665" width="12.6640625" style="15" customWidth="1"/>
    <col min="7666" max="7666" width="11.21875" style="15" customWidth="1"/>
    <col min="7667" max="7667" width="18.33203125" style="15" customWidth="1"/>
    <col min="7668" max="7668" width="12.88671875" style="15" customWidth="1"/>
    <col min="7669" max="7670" width="13.21875" style="15" customWidth="1"/>
    <col min="7671" max="7671" width="10.88671875" style="15" customWidth="1"/>
    <col min="7672" max="7672" width="11.109375" style="15" customWidth="1"/>
    <col min="7673" max="7673" width="15.21875" style="15" customWidth="1"/>
    <col min="7674" max="7674" width="9.6640625" style="15"/>
    <col min="7675" max="7675" width="11" style="15" customWidth="1"/>
    <col min="7676" max="7676" width="10.77734375" style="15" customWidth="1"/>
    <col min="7677" max="7677" width="11.44140625" style="15" customWidth="1"/>
    <col min="7678" max="7678" width="4" style="15" customWidth="1"/>
    <col min="7679" max="7869" width="9.6640625" style="15"/>
    <col min="7870" max="7870" width="6.44140625" style="15" customWidth="1"/>
    <col min="7871" max="7871" width="13.88671875" style="15" customWidth="1"/>
    <col min="7872" max="7872" width="11.88671875" style="15" customWidth="1"/>
    <col min="7873" max="7875" width="9.6640625" style="15"/>
    <col min="7876" max="7876" width="15.44140625" style="15" customWidth="1"/>
    <col min="7877" max="7877" width="16.21875" style="15" customWidth="1"/>
    <col min="7878" max="7889" width="9.6640625" style="15"/>
    <col min="7890" max="7890" width="12" style="15" customWidth="1"/>
    <col min="7891" max="7891" width="12.77734375" style="15" customWidth="1"/>
    <col min="7892" max="7892" width="11.109375" style="15" customWidth="1"/>
    <col min="7893" max="7893" width="12" style="15" customWidth="1"/>
    <col min="7894" max="7894" width="9.6640625" style="15"/>
    <col min="7895" max="7895" width="15.33203125" style="15" customWidth="1"/>
    <col min="7896" max="7896" width="15.21875" style="15" customWidth="1"/>
    <col min="7897" max="7897" width="21.44140625" style="15" customWidth="1"/>
    <col min="7898" max="7913" width="9.6640625" style="15"/>
    <col min="7914" max="7915" width="13.44140625" style="15" customWidth="1"/>
    <col min="7916" max="7916" width="9.6640625" style="15"/>
    <col min="7917" max="7917" width="13.88671875" style="15" customWidth="1"/>
    <col min="7918" max="7918" width="10.6640625" style="15" customWidth="1"/>
    <col min="7919" max="7919" width="17.33203125" style="15" customWidth="1"/>
    <col min="7920" max="7921" width="12.6640625" style="15" customWidth="1"/>
    <col min="7922" max="7922" width="11.21875" style="15" customWidth="1"/>
    <col min="7923" max="7923" width="18.33203125" style="15" customWidth="1"/>
    <col min="7924" max="7924" width="12.88671875" style="15" customWidth="1"/>
    <col min="7925" max="7926" width="13.21875" style="15" customWidth="1"/>
    <col min="7927" max="7927" width="10.88671875" style="15" customWidth="1"/>
    <col min="7928" max="7928" width="11.109375" style="15" customWidth="1"/>
    <col min="7929" max="7929" width="15.21875" style="15" customWidth="1"/>
    <col min="7930" max="7930" width="9.6640625" style="15"/>
    <col min="7931" max="7931" width="11" style="15" customWidth="1"/>
    <col min="7932" max="7932" width="10.77734375" style="15" customWidth="1"/>
    <col min="7933" max="7933" width="11.44140625" style="15" customWidth="1"/>
    <col min="7934" max="7934" width="4" style="15" customWidth="1"/>
    <col min="7935" max="8125" width="9.6640625" style="15"/>
    <col min="8126" max="8126" width="6.44140625" style="15" customWidth="1"/>
    <col min="8127" max="8127" width="13.88671875" style="15" customWidth="1"/>
    <col min="8128" max="8128" width="11.88671875" style="15" customWidth="1"/>
    <col min="8129" max="8131" width="9.6640625" style="15"/>
    <col min="8132" max="8132" width="15.44140625" style="15" customWidth="1"/>
    <col min="8133" max="8133" width="16.21875" style="15" customWidth="1"/>
    <col min="8134" max="8145" width="9.6640625" style="15"/>
    <col min="8146" max="8146" width="12" style="15" customWidth="1"/>
    <col min="8147" max="8147" width="12.77734375" style="15" customWidth="1"/>
    <col min="8148" max="8148" width="11.109375" style="15" customWidth="1"/>
    <col min="8149" max="8149" width="12" style="15" customWidth="1"/>
    <col min="8150" max="8150" width="9.6640625" style="15"/>
    <col min="8151" max="8151" width="15.33203125" style="15" customWidth="1"/>
    <col min="8152" max="8152" width="15.21875" style="15" customWidth="1"/>
    <col min="8153" max="8153" width="21.44140625" style="15" customWidth="1"/>
    <col min="8154" max="8169" width="9.6640625" style="15"/>
    <col min="8170" max="8171" width="13.44140625" style="15" customWidth="1"/>
    <col min="8172" max="8172" width="9.6640625" style="15"/>
    <col min="8173" max="8173" width="13.88671875" style="15" customWidth="1"/>
    <col min="8174" max="8174" width="10.6640625" style="15" customWidth="1"/>
    <col min="8175" max="8175" width="17.33203125" style="15" customWidth="1"/>
    <col min="8176" max="8177" width="12.6640625" style="15" customWidth="1"/>
    <col min="8178" max="8178" width="11.21875" style="15" customWidth="1"/>
    <col min="8179" max="8179" width="18.33203125" style="15" customWidth="1"/>
    <col min="8180" max="8180" width="12.88671875" style="15" customWidth="1"/>
    <col min="8181" max="8182" width="13.21875" style="15" customWidth="1"/>
    <col min="8183" max="8183" width="10.88671875" style="15" customWidth="1"/>
    <col min="8184" max="8184" width="11.109375" style="15" customWidth="1"/>
    <col min="8185" max="8185" width="15.21875" style="15" customWidth="1"/>
    <col min="8186" max="8186" width="9.6640625" style="15"/>
    <col min="8187" max="8187" width="11" style="15" customWidth="1"/>
    <col min="8188" max="8188" width="10.77734375" style="15" customWidth="1"/>
    <col min="8189" max="8189" width="11.44140625" style="15" customWidth="1"/>
    <col min="8190" max="8190" width="4" style="15" customWidth="1"/>
    <col min="8191" max="8381" width="9.6640625" style="15"/>
    <col min="8382" max="8382" width="6.44140625" style="15" customWidth="1"/>
    <col min="8383" max="8383" width="13.88671875" style="15" customWidth="1"/>
    <col min="8384" max="8384" width="11.88671875" style="15" customWidth="1"/>
    <col min="8385" max="8387" width="9.6640625" style="15"/>
    <col min="8388" max="8388" width="15.44140625" style="15" customWidth="1"/>
    <col min="8389" max="8389" width="16.21875" style="15" customWidth="1"/>
    <col min="8390" max="8401" width="9.6640625" style="15"/>
    <col min="8402" max="8402" width="12" style="15" customWidth="1"/>
    <col min="8403" max="8403" width="12.77734375" style="15" customWidth="1"/>
    <col min="8404" max="8404" width="11.109375" style="15" customWidth="1"/>
    <col min="8405" max="8405" width="12" style="15" customWidth="1"/>
    <col min="8406" max="8406" width="9.6640625" style="15"/>
    <col min="8407" max="8407" width="15.33203125" style="15" customWidth="1"/>
    <col min="8408" max="8408" width="15.21875" style="15" customWidth="1"/>
    <col min="8409" max="8409" width="21.44140625" style="15" customWidth="1"/>
    <col min="8410" max="8425" width="9.6640625" style="15"/>
    <col min="8426" max="8427" width="13.44140625" style="15" customWidth="1"/>
    <col min="8428" max="8428" width="9.6640625" style="15"/>
    <col min="8429" max="8429" width="13.88671875" style="15" customWidth="1"/>
    <col min="8430" max="8430" width="10.6640625" style="15" customWidth="1"/>
    <col min="8431" max="8431" width="17.33203125" style="15" customWidth="1"/>
    <col min="8432" max="8433" width="12.6640625" style="15" customWidth="1"/>
    <col min="8434" max="8434" width="11.21875" style="15" customWidth="1"/>
    <col min="8435" max="8435" width="18.33203125" style="15" customWidth="1"/>
    <col min="8436" max="8436" width="12.88671875" style="15" customWidth="1"/>
    <col min="8437" max="8438" width="13.21875" style="15" customWidth="1"/>
    <col min="8439" max="8439" width="10.88671875" style="15" customWidth="1"/>
    <col min="8440" max="8440" width="11.109375" style="15" customWidth="1"/>
    <col min="8441" max="8441" width="15.21875" style="15" customWidth="1"/>
    <col min="8442" max="8442" width="9.6640625" style="15"/>
    <col min="8443" max="8443" width="11" style="15" customWidth="1"/>
    <col min="8444" max="8444" width="10.77734375" style="15" customWidth="1"/>
    <col min="8445" max="8445" width="11.44140625" style="15" customWidth="1"/>
    <col min="8446" max="8446" width="4" style="15" customWidth="1"/>
    <col min="8447" max="8637" width="9.6640625" style="15"/>
    <col min="8638" max="8638" width="6.44140625" style="15" customWidth="1"/>
    <col min="8639" max="8639" width="13.88671875" style="15" customWidth="1"/>
    <col min="8640" max="8640" width="11.88671875" style="15" customWidth="1"/>
    <col min="8641" max="8643" width="9.6640625" style="15"/>
    <col min="8644" max="8644" width="15.44140625" style="15" customWidth="1"/>
    <col min="8645" max="8645" width="16.21875" style="15" customWidth="1"/>
    <col min="8646" max="8657" width="9.6640625" style="15"/>
    <col min="8658" max="8658" width="12" style="15" customWidth="1"/>
    <col min="8659" max="8659" width="12.77734375" style="15" customWidth="1"/>
    <col min="8660" max="8660" width="11.109375" style="15" customWidth="1"/>
    <col min="8661" max="8661" width="12" style="15" customWidth="1"/>
    <col min="8662" max="8662" width="9.6640625" style="15"/>
    <col min="8663" max="8663" width="15.33203125" style="15" customWidth="1"/>
    <col min="8664" max="8664" width="15.21875" style="15" customWidth="1"/>
    <col min="8665" max="8665" width="21.44140625" style="15" customWidth="1"/>
    <col min="8666" max="8681" width="9.6640625" style="15"/>
    <col min="8682" max="8683" width="13.44140625" style="15" customWidth="1"/>
    <col min="8684" max="8684" width="9.6640625" style="15"/>
    <col min="8685" max="8685" width="13.88671875" style="15" customWidth="1"/>
    <col min="8686" max="8686" width="10.6640625" style="15" customWidth="1"/>
    <col min="8687" max="8687" width="17.33203125" style="15" customWidth="1"/>
    <col min="8688" max="8689" width="12.6640625" style="15" customWidth="1"/>
    <col min="8690" max="8690" width="11.21875" style="15" customWidth="1"/>
    <col min="8691" max="8691" width="18.33203125" style="15" customWidth="1"/>
    <col min="8692" max="8692" width="12.88671875" style="15" customWidth="1"/>
    <col min="8693" max="8694" width="13.21875" style="15" customWidth="1"/>
    <col min="8695" max="8695" width="10.88671875" style="15" customWidth="1"/>
    <col min="8696" max="8696" width="11.109375" style="15" customWidth="1"/>
    <col min="8697" max="8697" width="15.21875" style="15" customWidth="1"/>
    <col min="8698" max="8698" width="9.6640625" style="15"/>
    <col min="8699" max="8699" width="11" style="15" customWidth="1"/>
    <col min="8700" max="8700" width="10.77734375" style="15" customWidth="1"/>
    <col min="8701" max="8701" width="11.44140625" style="15" customWidth="1"/>
    <col min="8702" max="8702" width="4" style="15" customWidth="1"/>
    <col min="8703" max="8893" width="9.6640625" style="15"/>
    <col min="8894" max="8894" width="6.44140625" style="15" customWidth="1"/>
    <col min="8895" max="8895" width="13.88671875" style="15" customWidth="1"/>
    <col min="8896" max="8896" width="11.88671875" style="15" customWidth="1"/>
    <col min="8897" max="8899" width="9.6640625" style="15"/>
    <col min="8900" max="8900" width="15.44140625" style="15" customWidth="1"/>
    <col min="8901" max="8901" width="16.21875" style="15" customWidth="1"/>
    <col min="8902" max="8913" width="9.6640625" style="15"/>
    <col min="8914" max="8914" width="12" style="15" customWidth="1"/>
    <col min="8915" max="8915" width="12.77734375" style="15" customWidth="1"/>
    <col min="8916" max="8916" width="11.109375" style="15" customWidth="1"/>
    <col min="8917" max="8917" width="12" style="15" customWidth="1"/>
    <col min="8918" max="8918" width="9.6640625" style="15"/>
    <col min="8919" max="8919" width="15.33203125" style="15" customWidth="1"/>
    <col min="8920" max="8920" width="15.21875" style="15" customWidth="1"/>
    <col min="8921" max="8921" width="21.44140625" style="15" customWidth="1"/>
    <col min="8922" max="8937" width="9.6640625" style="15"/>
    <col min="8938" max="8939" width="13.44140625" style="15" customWidth="1"/>
    <col min="8940" max="8940" width="9.6640625" style="15"/>
    <col min="8941" max="8941" width="13.88671875" style="15" customWidth="1"/>
    <col min="8942" max="8942" width="10.6640625" style="15" customWidth="1"/>
    <col min="8943" max="8943" width="17.33203125" style="15" customWidth="1"/>
    <col min="8944" max="8945" width="12.6640625" style="15" customWidth="1"/>
    <col min="8946" max="8946" width="11.21875" style="15" customWidth="1"/>
    <col min="8947" max="8947" width="18.33203125" style="15" customWidth="1"/>
    <col min="8948" max="8948" width="12.88671875" style="15" customWidth="1"/>
    <col min="8949" max="8950" width="13.21875" style="15" customWidth="1"/>
    <col min="8951" max="8951" width="10.88671875" style="15" customWidth="1"/>
    <col min="8952" max="8952" width="11.109375" style="15" customWidth="1"/>
    <col min="8953" max="8953" width="15.21875" style="15" customWidth="1"/>
    <col min="8954" max="8954" width="9.6640625" style="15"/>
    <col min="8955" max="8955" width="11" style="15" customWidth="1"/>
    <col min="8956" max="8956" width="10.77734375" style="15" customWidth="1"/>
    <col min="8957" max="8957" width="11.44140625" style="15" customWidth="1"/>
    <col min="8958" max="8958" width="4" style="15" customWidth="1"/>
    <col min="8959" max="9149" width="9.6640625" style="15"/>
    <col min="9150" max="9150" width="6.44140625" style="15" customWidth="1"/>
    <col min="9151" max="9151" width="13.88671875" style="15" customWidth="1"/>
    <col min="9152" max="9152" width="11.88671875" style="15" customWidth="1"/>
    <col min="9153" max="9155" width="9.6640625" style="15"/>
    <col min="9156" max="9156" width="15.44140625" style="15" customWidth="1"/>
    <col min="9157" max="9157" width="16.21875" style="15" customWidth="1"/>
    <col min="9158" max="9169" width="9.6640625" style="15"/>
    <col min="9170" max="9170" width="12" style="15" customWidth="1"/>
    <col min="9171" max="9171" width="12.77734375" style="15" customWidth="1"/>
    <col min="9172" max="9172" width="11.109375" style="15" customWidth="1"/>
    <col min="9173" max="9173" width="12" style="15" customWidth="1"/>
    <col min="9174" max="9174" width="9.6640625" style="15"/>
    <col min="9175" max="9175" width="15.33203125" style="15" customWidth="1"/>
    <col min="9176" max="9176" width="15.21875" style="15" customWidth="1"/>
    <col min="9177" max="9177" width="21.44140625" style="15" customWidth="1"/>
    <col min="9178" max="9193" width="9.6640625" style="15"/>
    <col min="9194" max="9195" width="13.44140625" style="15" customWidth="1"/>
    <col min="9196" max="9196" width="9.6640625" style="15"/>
    <col min="9197" max="9197" width="13.88671875" style="15" customWidth="1"/>
    <col min="9198" max="9198" width="10.6640625" style="15" customWidth="1"/>
    <col min="9199" max="9199" width="17.33203125" style="15" customWidth="1"/>
    <col min="9200" max="9201" width="12.6640625" style="15" customWidth="1"/>
    <col min="9202" max="9202" width="11.21875" style="15" customWidth="1"/>
    <col min="9203" max="9203" width="18.33203125" style="15" customWidth="1"/>
    <col min="9204" max="9204" width="12.88671875" style="15" customWidth="1"/>
    <col min="9205" max="9206" width="13.21875" style="15" customWidth="1"/>
    <col min="9207" max="9207" width="10.88671875" style="15" customWidth="1"/>
    <col min="9208" max="9208" width="11.109375" style="15" customWidth="1"/>
    <col min="9209" max="9209" width="15.21875" style="15" customWidth="1"/>
    <col min="9210" max="9210" width="9.6640625" style="15"/>
    <col min="9211" max="9211" width="11" style="15" customWidth="1"/>
    <col min="9212" max="9212" width="10.77734375" style="15" customWidth="1"/>
    <col min="9213" max="9213" width="11.44140625" style="15" customWidth="1"/>
    <col min="9214" max="9214" width="4" style="15" customWidth="1"/>
    <col min="9215" max="9405" width="9.6640625" style="15"/>
    <col min="9406" max="9406" width="6.44140625" style="15" customWidth="1"/>
    <col min="9407" max="9407" width="13.88671875" style="15" customWidth="1"/>
    <col min="9408" max="9408" width="11.88671875" style="15" customWidth="1"/>
    <col min="9409" max="9411" width="9.6640625" style="15"/>
    <col min="9412" max="9412" width="15.44140625" style="15" customWidth="1"/>
    <col min="9413" max="9413" width="16.21875" style="15" customWidth="1"/>
    <col min="9414" max="9425" width="9.6640625" style="15"/>
    <col min="9426" max="9426" width="12" style="15" customWidth="1"/>
    <col min="9427" max="9427" width="12.77734375" style="15" customWidth="1"/>
    <col min="9428" max="9428" width="11.109375" style="15" customWidth="1"/>
    <col min="9429" max="9429" width="12" style="15" customWidth="1"/>
    <col min="9430" max="9430" width="9.6640625" style="15"/>
    <col min="9431" max="9431" width="15.33203125" style="15" customWidth="1"/>
    <col min="9432" max="9432" width="15.21875" style="15" customWidth="1"/>
    <col min="9433" max="9433" width="21.44140625" style="15" customWidth="1"/>
    <col min="9434" max="9449" width="9.6640625" style="15"/>
    <col min="9450" max="9451" width="13.44140625" style="15" customWidth="1"/>
    <col min="9452" max="9452" width="9.6640625" style="15"/>
    <col min="9453" max="9453" width="13.88671875" style="15" customWidth="1"/>
    <col min="9454" max="9454" width="10.6640625" style="15" customWidth="1"/>
    <col min="9455" max="9455" width="17.33203125" style="15" customWidth="1"/>
    <col min="9456" max="9457" width="12.6640625" style="15" customWidth="1"/>
    <col min="9458" max="9458" width="11.21875" style="15" customWidth="1"/>
    <col min="9459" max="9459" width="18.33203125" style="15" customWidth="1"/>
    <col min="9460" max="9460" width="12.88671875" style="15" customWidth="1"/>
    <col min="9461" max="9462" width="13.21875" style="15" customWidth="1"/>
    <col min="9463" max="9463" width="10.88671875" style="15" customWidth="1"/>
    <col min="9464" max="9464" width="11.109375" style="15" customWidth="1"/>
    <col min="9465" max="9465" width="15.21875" style="15" customWidth="1"/>
    <col min="9466" max="9466" width="9.6640625" style="15"/>
    <col min="9467" max="9467" width="11" style="15" customWidth="1"/>
    <col min="9468" max="9468" width="10.77734375" style="15" customWidth="1"/>
    <col min="9469" max="9469" width="11.44140625" style="15" customWidth="1"/>
    <col min="9470" max="9470" width="4" style="15" customWidth="1"/>
    <col min="9471" max="9661" width="9.6640625" style="15"/>
    <col min="9662" max="9662" width="6.44140625" style="15" customWidth="1"/>
    <col min="9663" max="9663" width="13.88671875" style="15" customWidth="1"/>
    <col min="9664" max="9664" width="11.88671875" style="15" customWidth="1"/>
    <col min="9665" max="9667" width="9.6640625" style="15"/>
    <col min="9668" max="9668" width="15.44140625" style="15" customWidth="1"/>
    <col min="9669" max="9669" width="16.21875" style="15" customWidth="1"/>
    <col min="9670" max="9681" width="9.6640625" style="15"/>
    <col min="9682" max="9682" width="12" style="15" customWidth="1"/>
    <col min="9683" max="9683" width="12.77734375" style="15" customWidth="1"/>
    <col min="9684" max="9684" width="11.109375" style="15" customWidth="1"/>
    <col min="9685" max="9685" width="12" style="15" customWidth="1"/>
    <col min="9686" max="9686" width="9.6640625" style="15"/>
    <col min="9687" max="9687" width="15.33203125" style="15" customWidth="1"/>
    <col min="9688" max="9688" width="15.21875" style="15" customWidth="1"/>
    <col min="9689" max="9689" width="21.44140625" style="15" customWidth="1"/>
    <col min="9690" max="9705" width="9.6640625" style="15"/>
    <col min="9706" max="9707" width="13.44140625" style="15" customWidth="1"/>
    <col min="9708" max="9708" width="9.6640625" style="15"/>
    <col min="9709" max="9709" width="13.88671875" style="15" customWidth="1"/>
    <col min="9710" max="9710" width="10.6640625" style="15" customWidth="1"/>
    <col min="9711" max="9711" width="17.33203125" style="15" customWidth="1"/>
    <col min="9712" max="9713" width="12.6640625" style="15" customWidth="1"/>
    <col min="9714" max="9714" width="11.21875" style="15" customWidth="1"/>
    <col min="9715" max="9715" width="18.33203125" style="15" customWidth="1"/>
    <col min="9716" max="9716" width="12.88671875" style="15" customWidth="1"/>
    <col min="9717" max="9718" width="13.21875" style="15" customWidth="1"/>
    <col min="9719" max="9719" width="10.88671875" style="15" customWidth="1"/>
    <col min="9720" max="9720" width="11.109375" style="15" customWidth="1"/>
    <col min="9721" max="9721" width="15.21875" style="15" customWidth="1"/>
    <col min="9722" max="9722" width="9.6640625" style="15"/>
    <col min="9723" max="9723" width="11" style="15" customWidth="1"/>
    <col min="9724" max="9724" width="10.77734375" style="15" customWidth="1"/>
    <col min="9725" max="9725" width="11.44140625" style="15" customWidth="1"/>
    <col min="9726" max="9726" width="4" style="15" customWidth="1"/>
    <col min="9727" max="9917" width="9.6640625" style="15"/>
    <col min="9918" max="9918" width="6.44140625" style="15" customWidth="1"/>
    <col min="9919" max="9919" width="13.88671875" style="15" customWidth="1"/>
    <col min="9920" max="9920" width="11.88671875" style="15" customWidth="1"/>
    <col min="9921" max="9923" width="9.6640625" style="15"/>
    <col min="9924" max="9924" width="15.44140625" style="15" customWidth="1"/>
    <col min="9925" max="9925" width="16.21875" style="15" customWidth="1"/>
    <col min="9926" max="9937" width="9.6640625" style="15"/>
    <col min="9938" max="9938" width="12" style="15" customWidth="1"/>
    <col min="9939" max="9939" width="12.77734375" style="15" customWidth="1"/>
    <col min="9940" max="9940" width="11.109375" style="15" customWidth="1"/>
    <col min="9941" max="9941" width="12" style="15" customWidth="1"/>
    <col min="9942" max="9942" width="9.6640625" style="15"/>
    <col min="9943" max="9943" width="15.33203125" style="15" customWidth="1"/>
    <col min="9944" max="9944" width="15.21875" style="15" customWidth="1"/>
    <col min="9945" max="9945" width="21.44140625" style="15" customWidth="1"/>
    <col min="9946" max="9961" width="9.6640625" style="15"/>
    <col min="9962" max="9963" width="13.44140625" style="15" customWidth="1"/>
    <col min="9964" max="9964" width="9.6640625" style="15"/>
    <col min="9965" max="9965" width="13.88671875" style="15" customWidth="1"/>
    <col min="9966" max="9966" width="10.6640625" style="15" customWidth="1"/>
    <col min="9967" max="9967" width="17.33203125" style="15" customWidth="1"/>
    <col min="9968" max="9969" width="12.6640625" style="15" customWidth="1"/>
    <col min="9970" max="9970" width="11.21875" style="15" customWidth="1"/>
    <col min="9971" max="9971" width="18.33203125" style="15" customWidth="1"/>
    <col min="9972" max="9972" width="12.88671875" style="15" customWidth="1"/>
    <col min="9973" max="9974" width="13.21875" style="15" customWidth="1"/>
    <col min="9975" max="9975" width="10.88671875" style="15" customWidth="1"/>
    <col min="9976" max="9976" width="11.109375" style="15" customWidth="1"/>
    <col min="9977" max="9977" width="15.21875" style="15" customWidth="1"/>
    <col min="9978" max="9978" width="9.6640625" style="15"/>
    <col min="9979" max="9979" width="11" style="15" customWidth="1"/>
    <col min="9980" max="9980" width="10.77734375" style="15" customWidth="1"/>
    <col min="9981" max="9981" width="11.44140625" style="15" customWidth="1"/>
    <col min="9982" max="9982" width="4" style="15" customWidth="1"/>
    <col min="9983" max="10173" width="9.6640625" style="15"/>
    <col min="10174" max="10174" width="6.44140625" style="15" customWidth="1"/>
    <col min="10175" max="10175" width="13.88671875" style="15" customWidth="1"/>
    <col min="10176" max="10176" width="11.88671875" style="15" customWidth="1"/>
    <col min="10177" max="10179" width="9.6640625" style="15"/>
    <col min="10180" max="10180" width="15.44140625" style="15" customWidth="1"/>
    <col min="10181" max="10181" width="16.21875" style="15" customWidth="1"/>
    <col min="10182" max="10193" width="9.6640625" style="15"/>
    <col min="10194" max="10194" width="12" style="15" customWidth="1"/>
    <col min="10195" max="10195" width="12.77734375" style="15" customWidth="1"/>
    <col min="10196" max="10196" width="11.109375" style="15" customWidth="1"/>
    <col min="10197" max="10197" width="12" style="15" customWidth="1"/>
    <col min="10198" max="10198" width="9.6640625" style="15"/>
    <col min="10199" max="10199" width="15.33203125" style="15" customWidth="1"/>
    <col min="10200" max="10200" width="15.21875" style="15" customWidth="1"/>
    <col min="10201" max="10201" width="21.44140625" style="15" customWidth="1"/>
    <col min="10202" max="10217" width="9.6640625" style="15"/>
    <col min="10218" max="10219" width="13.44140625" style="15" customWidth="1"/>
    <col min="10220" max="10220" width="9.6640625" style="15"/>
    <col min="10221" max="10221" width="13.88671875" style="15" customWidth="1"/>
    <col min="10222" max="10222" width="10.6640625" style="15" customWidth="1"/>
    <col min="10223" max="10223" width="17.33203125" style="15" customWidth="1"/>
    <col min="10224" max="10225" width="12.6640625" style="15" customWidth="1"/>
    <col min="10226" max="10226" width="11.21875" style="15" customWidth="1"/>
    <col min="10227" max="10227" width="18.33203125" style="15" customWidth="1"/>
    <col min="10228" max="10228" width="12.88671875" style="15" customWidth="1"/>
    <col min="10229" max="10230" width="13.21875" style="15" customWidth="1"/>
    <col min="10231" max="10231" width="10.88671875" style="15" customWidth="1"/>
    <col min="10232" max="10232" width="11.109375" style="15" customWidth="1"/>
    <col min="10233" max="10233" width="15.21875" style="15" customWidth="1"/>
    <col min="10234" max="10234" width="9.6640625" style="15"/>
    <col min="10235" max="10235" width="11" style="15" customWidth="1"/>
    <col min="10236" max="10236" width="10.77734375" style="15" customWidth="1"/>
    <col min="10237" max="10237" width="11.44140625" style="15" customWidth="1"/>
    <col min="10238" max="10238" width="4" style="15" customWidth="1"/>
    <col min="10239" max="10429" width="9.6640625" style="15"/>
    <col min="10430" max="10430" width="6.44140625" style="15" customWidth="1"/>
    <col min="10431" max="10431" width="13.88671875" style="15" customWidth="1"/>
    <col min="10432" max="10432" width="11.88671875" style="15" customWidth="1"/>
    <col min="10433" max="10435" width="9.6640625" style="15"/>
    <col min="10436" max="10436" width="15.44140625" style="15" customWidth="1"/>
    <col min="10437" max="10437" width="16.21875" style="15" customWidth="1"/>
    <col min="10438" max="10449" width="9.6640625" style="15"/>
    <col min="10450" max="10450" width="12" style="15" customWidth="1"/>
    <col min="10451" max="10451" width="12.77734375" style="15" customWidth="1"/>
    <col min="10452" max="10452" width="11.109375" style="15" customWidth="1"/>
    <col min="10453" max="10453" width="12" style="15" customWidth="1"/>
    <col min="10454" max="10454" width="9.6640625" style="15"/>
    <col min="10455" max="10455" width="15.33203125" style="15" customWidth="1"/>
    <col min="10456" max="10456" width="15.21875" style="15" customWidth="1"/>
    <col min="10457" max="10457" width="21.44140625" style="15" customWidth="1"/>
    <col min="10458" max="10473" width="9.6640625" style="15"/>
    <col min="10474" max="10475" width="13.44140625" style="15" customWidth="1"/>
    <col min="10476" max="10476" width="9.6640625" style="15"/>
    <col min="10477" max="10477" width="13.88671875" style="15" customWidth="1"/>
    <col min="10478" max="10478" width="10.6640625" style="15" customWidth="1"/>
    <col min="10479" max="10479" width="17.33203125" style="15" customWidth="1"/>
    <col min="10480" max="10481" width="12.6640625" style="15" customWidth="1"/>
    <col min="10482" max="10482" width="11.21875" style="15" customWidth="1"/>
    <col min="10483" max="10483" width="18.33203125" style="15" customWidth="1"/>
    <col min="10484" max="10484" width="12.88671875" style="15" customWidth="1"/>
    <col min="10485" max="10486" width="13.21875" style="15" customWidth="1"/>
    <col min="10487" max="10487" width="10.88671875" style="15" customWidth="1"/>
    <col min="10488" max="10488" width="11.109375" style="15" customWidth="1"/>
    <col min="10489" max="10489" width="15.21875" style="15" customWidth="1"/>
    <col min="10490" max="10490" width="9.6640625" style="15"/>
    <col min="10491" max="10491" width="11" style="15" customWidth="1"/>
    <col min="10492" max="10492" width="10.77734375" style="15" customWidth="1"/>
    <col min="10493" max="10493" width="11.44140625" style="15" customWidth="1"/>
    <col min="10494" max="10494" width="4" style="15" customWidth="1"/>
    <col min="10495" max="10685" width="9.6640625" style="15"/>
    <col min="10686" max="10686" width="6.44140625" style="15" customWidth="1"/>
    <col min="10687" max="10687" width="13.88671875" style="15" customWidth="1"/>
    <col min="10688" max="10688" width="11.88671875" style="15" customWidth="1"/>
    <col min="10689" max="10691" width="9.6640625" style="15"/>
    <col min="10692" max="10692" width="15.44140625" style="15" customWidth="1"/>
    <col min="10693" max="10693" width="16.21875" style="15" customWidth="1"/>
    <col min="10694" max="10705" width="9.6640625" style="15"/>
    <col min="10706" max="10706" width="12" style="15" customWidth="1"/>
    <col min="10707" max="10707" width="12.77734375" style="15" customWidth="1"/>
    <col min="10708" max="10708" width="11.109375" style="15" customWidth="1"/>
    <col min="10709" max="10709" width="12" style="15" customWidth="1"/>
    <col min="10710" max="10710" width="9.6640625" style="15"/>
    <col min="10711" max="10711" width="15.33203125" style="15" customWidth="1"/>
    <col min="10712" max="10712" width="15.21875" style="15" customWidth="1"/>
    <col min="10713" max="10713" width="21.44140625" style="15" customWidth="1"/>
    <col min="10714" max="10729" width="9.6640625" style="15"/>
    <col min="10730" max="10731" width="13.44140625" style="15" customWidth="1"/>
    <col min="10732" max="10732" width="9.6640625" style="15"/>
    <col min="10733" max="10733" width="13.88671875" style="15" customWidth="1"/>
    <col min="10734" max="10734" width="10.6640625" style="15" customWidth="1"/>
    <col min="10735" max="10735" width="17.33203125" style="15" customWidth="1"/>
    <col min="10736" max="10737" width="12.6640625" style="15" customWidth="1"/>
    <col min="10738" max="10738" width="11.21875" style="15" customWidth="1"/>
    <col min="10739" max="10739" width="18.33203125" style="15" customWidth="1"/>
    <col min="10740" max="10740" width="12.88671875" style="15" customWidth="1"/>
    <col min="10741" max="10742" width="13.21875" style="15" customWidth="1"/>
    <col min="10743" max="10743" width="10.88671875" style="15" customWidth="1"/>
    <col min="10744" max="10744" width="11.109375" style="15" customWidth="1"/>
    <col min="10745" max="10745" width="15.21875" style="15" customWidth="1"/>
    <col min="10746" max="10746" width="9.6640625" style="15"/>
    <col min="10747" max="10747" width="11" style="15" customWidth="1"/>
    <col min="10748" max="10748" width="10.77734375" style="15" customWidth="1"/>
    <col min="10749" max="10749" width="11.44140625" style="15" customWidth="1"/>
    <col min="10750" max="10750" width="4" style="15" customWidth="1"/>
    <col min="10751" max="10941" width="9.6640625" style="15"/>
    <col min="10942" max="10942" width="6.44140625" style="15" customWidth="1"/>
    <col min="10943" max="10943" width="13.88671875" style="15" customWidth="1"/>
    <col min="10944" max="10944" width="11.88671875" style="15" customWidth="1"/>
    <col min="10945" max="10947" width="9.6640625" style="15"/>
    <col min="10948" max="10948" width="15.44140625" style="15" customWidth="1"/>
    <col min="10949" max="10949" width="16.21875" style="15" customWidth="1"/>
    <col min="10950" max="10961" width="9.6640625" style="15"/>
    <col min="10962" max="10962" width="12" style="15" customWidth="1"/>
    <col min="10963" max="10963" width="12.77734375" style="15" customWidth="1"/>
    <col min="10964" max="10964" width="11.109375" style="15" customWidth="1"/>
    <col min="10965" max="10965" width="12" style="15" customWidth="1"/>
    <col min="10966" max="10966" width="9.6640625" style="15"/>
    <col min="10967" max="10967" width="15.33203125" style="15" customWidth="1"/>
    <col min="10968" max="10968" width="15.21875" style="15" customWidth="1"/>
    <col min="10969" max="10969" width="21.44140625" style="15" customWidth="1"/>
    <col min="10970" max="10985" width="9.6640625" style="15"/>
    <col min="10986" max="10987" width="13.44140625" style="15" customWidth="1"/>
    <col min="10988" max="10988" width="9.6640625" style="15"/>
    <col min="10989" max="10989" width="13.88671875" style="15" customWidth="1"/>
    <col min="10990" max="10990" width="10.6640625" style="15" customWidth="1"/>
    <col min="10991" max="10991" width="17.33203125" style="15" customWidth="1"/>
    <col min="10992" max="10993" width="12.6640625" style="15" customWidth="1"/>
    <col min="10994" max="10994" width="11.21875" style="15" customWidth="1"/>
    <col min="10995" max="10995" width="18.33203125" style="15" customWidth="1"/>
    <col min="10996" max="10996" width="12.88671875" style="15" customWidth="1"/>
    <col min="10997" max="10998" width="13.21875" style="15" customWidth="1"/>
    <col min="10999" max="10999" width="10.88671875" style="15" customWidth="1"/>
    <col min="11000" max="11000" width="11.109375" style="15" customWidth="1"/>
    <col min="11001" max="11001" width="15.21875" style="15" customWidth="1"/>
    <col min="11002" max="11002" width="9.6640625" style="15"/>
    <col min="11003" max="11003" width="11" style="15" customWidth="1"/>
    <col min="11004" max="11004" width="10.77734375" style="15" customWidth="1"/>
    <col min="11005" max="11005" width="11.44140625" style="15" customWidth="1"/>
    <col min="11006" max="11006" width="4" style="15" customWidth="1"/>
    <col min="11007" max="11197" width="9.6640625" style="15"/>
    <col min="11198" max="11198" width="6.44140625" style="15" customWidth="1"/>
    <col min="11199" max="11199" width="13.88671875" style="15" customWidth="1"/>
    <col min="11200" max="11200" width="11.88671875" style="15" customWidth="1"/>
    <col min="11201" max="11203" width="9.6640625" style="15"/>
    <col min="11204" max="11204" width="15.44140625" style="15" customWidth="1"/>
    <col min="11205" max="11205" width="16.21875" style="15" customWidth="1"/>
    <col min="11206" max="11217" width="9.6640625" style="15"/>
    <col min="11218" max="11218" width="12" style="15" customWidth="1"/>
    <col min="11219" max="11219" width="12.77734375" style="15" customWidth="1"/>
    <col min="11220" max="11220" width="11.109375" style="15" customWidth="1"/>
    <col min="11221" max="11221" width="12" style="15" customWidth="1"/>
    <col min="11222" max="11222" width="9.6640625" style="15"/>
    <col min="11223" max="11223" width="15.33203125" style="15" customWidth="1"/>
    <col min="11224" max="11224" width="15.21875" style="15" customWidth="1"/>
    <col min="11225" max="11225" width="21.44140625" style="15" customWidth="1"/>
    <col min="11226" max="11241" width="9.6640625" style="15"/>
    <col min="11242" max="11243" width="13.44140625" style="15" customWidth="1"/>
    <col min="11244" max="11244" width="9.6640625" style="15"/>
    <col min="11245" max="11245" width="13.88671875" style="15" customWidth="1"/>
    <col min="11246" max="11246" width="10.6640625" style="15" customWidth="1"/>
    <col min="11247" max="11247" width="17.33203125" style="15" customWidth="1"/>
    <col min="11248" max="11249" width="12.6640625" style="15" customWidth="1"/>
    <col min="11250" max="11250" width="11.21875" style="15" customWidth="1"/>
    <col min="11251" max="11251" width="18.33203125" style="15" customWidth="1"/>
    <col min="11252" max="11252" width="12.88671875" style="15" customWidth="1"/>
    <col min="11253" max="11254" width="13.21875" style="15" customWidth="1"/>
    <col min="11255" max="11255" width="10.88671875" style="15" customWidth="1"/>
    <col min="11256" max="11256" width="11.109375" style="15" customWidth="1"/>
    <col min="11257" max="11257" width="15.21875" style="15" customWidth="1"/>
    <col min="11258" max="11258" width="9.6640625" style="15"/>
    <col min="11259" max="11259" width="11" style="15" customWidth="1"/>
    <col min="11260" max="11260" width="10.77734375" style="15" customWidth="1"/>
    <col min="11261" max="11261" width="11.44140625" style="15" customWidth="1"/>
    <col min="11262" max="11262" width="4" style="15" customWidth="1"/>
    <col min="11263" max="11453" width="9.6640625" style="15"/>
    <col min="11454" max="11454" width="6.44140625" style="15" customWidth="1"/>
    <col min="11455" max="11455" width="13.88671875" style="15" customWidth="1"/>
    <col min="11456" max="11456" width="11.88671875" style="15" customWidth="1"/>
    <col min="11457" max="11459" width="9.6640625" style="15"/>
    <col min="11460" max="11460" width="15.44140625" style="15" customWidth="1"/>
    <col min="11461" max="11461" width="16.21875" style="15" customWidth="1"/>
    <col min="11462" max="11473" width="9.6640625" style="15"/>
    <col min="11474" max="11474" width="12" style="15" customWidth="1"/>
    <col min="11475" max="11475" width="12.77734375" style="15" customWidth="1"/>
    <col min="11476" max="11476" width="11.109375" style="15" customWidth="1"/>
    <col min="11477" max="11477" width="12" style="15" customWidth="1"/>
    <col min="11478" max="11478" width="9.6640625" style="15"/>
    <col min="11479" max="11479" width="15.33203125" style="15" customWidth="1"/>
    <col min="11480" max="11480" width="15.21875" style="15" customWidth="1"/>
    <col min="11481" max="11481" width="21.44140625" style="15" customWidth="1"/>
    <col min="11482" max="11497" width="9.6640625" style="15"/>
    <col min="11498" max="11499" width="13.44140625" style="15" customWidth="1"/>
    <col min="11500" max="11500" width="9.6640625" style="15"/>
    <col min="11501" max="11501" width="13.88671875" style="15" customWidth="1"/>
    <col min="11502" max="11502" width="10.6640625" style="15" customWidth="1"/>
    <col min="11503" max="11503" width="17.33203125" style="15" customWidth="1"/>
    <col min="11504" max="11505" width="12.6640625" style="15" customWidth="1"/>
    <col min="11506" max="11506" width="11.21875" style="15" customWidth="1"/>
    <col min="11507" max="11507" width="18.33203125" style="15" customWidth="1"/>
    <col min="11508" max="11508" width="12.88671875" style="15" customWidth="1"/>
    <col min="11509" max="11510" width="13.21875" style="15" customWidth="1"/>
    <col min="11511" max="11511" width="10.88671875" style="15" customWidth="1"/>
    <col min="11512" max="11512" width="11.109375" style="15" customWidth="1"/>
    <col min="11513" max="11513" width="15.21875" style="15" customWidth="1"/>
    <col min="11514" max="11514" width="9.6640625" style="15"/>
    <col min="11515" max="11515" width="11" style="15" customWidth="1"/>
    <col min="11516" max="11516" width="10.77734375" style="15" customWidth="1"/>
    <col min="11517" max="11517" width="11.44140625" style="15" customWidth="1"/>
    <col min="11518" max="11518" width="4" style="15" customWidth="1"/>
    <col min="11519" max="11709" width="9.6640625" style="15"/>
    <col min="11710" max="11710" width="6.44140625" style="15" customWidth="1"/>
    <col min="11711" max="11711" width="13.88671875" style="15" customWidth="1"/>
    <col min="11712" max="11712" width="11.88671875" style="15" customWidth="1"/>
    <col min="11713" max="11715" width="9.6640625" style="15"/>
    <col min="11716" max="11716" width="15.44140625" style="15" customWidth="1"/>
    <col min="11717" max="11717" width="16.21875" style="15" customWidth="1"/>
    <col min="11718" max="11729" width="9.6640625" style="15"/>
    <col min="11730" max="11730" width="12" style="15" customWidth="1"/>
    <col min="11731" max="11731" width="12.77734375" style="15" customWidth="1"/>
    <col min="11732" max="11732" width="11.109375" style="15" customWidth="1"/>
    <col min="11733" max="11733" width="12" style="15" customWidth="1"/>
    <col min="11734" max="11734" width="9.6640625" style="15"/>
    <col min="11735" max="11735" width="15.33203125" style="15" customWidth="1"/>
    <col min="11736" max="11736" width="15.21875" style="15" customWidth="1"/>
    <col min="11737" max="11737" width="21.44140625" style="15" customWidth="1"/>
    <col min="11738" max="11753" width="9.6640625" style="15"/>
    <col min="11754" max="11755" width="13.44140625" style="15" customWidth="1"/>
    <col min="11756" max="11756" width="9.6640625" style="15"/>
    <col min="11757" max="11757" width="13.88671875" style="15" customWidth="1"/>
    <col min="11758" max="11758" width="10.6640625" style="15" customWidth="1"/>
    <col min="11759" max="11759" width="17.33203125" style="15" customWidth="1"/>
    <col min="11760" max="11761" width="12.6640625" style="15" customWidth="1"/>
    <col min="11762" max="11762" width="11.21875" style="15" customWidth="1"/>
    <col min="11763" max="11763" width="18.33203125" style="15" customWidth="1"/>
    <col min="11764" max="11764" width="12.88671875" style="15" customWidth="1"/>
    <col min="11765" max="11766" width="13.21875" style="15" customWidth="1"/>
    <col min="11767" max="11767" width="10.88671875" style="15" customWidth="1"/>
    <col min="11768" max="11768" width="11.109375" style="15" customWidth="1"/>
    <col min="11769" max="11769" width="15.21875" style="15" customWidth="1"/>
    <col min="11770" max="11770" width="9.6640625" style="15"/>
    <col min="11771" max="11771" width="11" style="15" customWidth="1"/>
    <col min="11772" max="11772" width="10.77734375" style="15" customWidth="1"/>
    <col min="11773" max="11773" width="11.44140625" style="15" customWidth="1"/>
    <col min="11774" max="11774" width="4" style="15" customWidth="1"/>
    <col min="11775" max="11965" width="9.6640625" style="15"/>
    <col min="11966" max="11966" width="6.44140625" style="15" customWidth="1"/>
    <col min="11967" max="11967" width="13.88671875" style="15" customWidth="1"/>
    <col min="11968" max="11968" width="11.88671875" style="15" customWidth="1"/>
    <col min="11969" max="11971" width="9.6640625" style="15"/>
    <col min="11972" max="11972" width="15.44140625" style="15" customWidth="1"/>
    <col min="11973" max="11973" width="16.21875" style="15" customWidth="1"/>
    <col min="11974" max="11985" width="9.6640625" style="15"/>
    <col min="11986" max="11986" width="12" style="15" customWidth="1"/>
    <col min="11987" max="11987" width="12.77734375" style="15" customWidth="1"/>
    <col min="11988" max="11988" width="11.109375" style="15" customWidth="1"/>
    <col min="11989" max="11989" width="12" style="15" customWidth="1"/>
    <col min="11990" max="11990" width="9.6640625" style="15"/>
    <col min="11991" max="11991" width="15.33203125" style="15" customWidth="1"/>
    <col min="11992" max="11992" width="15.21875" style="15" customWidth="1"/>
    <col min="11993" max="11993" width="21.44140625" style="15" customWidth="1"/>
    <col min="11994" max="12009" width="9.6640625" style="15"/>
    <col min="12010" max="12011" width="13.44140625" style="15" customWidth="1"/>
    <col min="12012" max="12012" width="9.6640625" style="15"/>
    <col min="12013" max="12013" width="13.88671875" style="15" customWidth="1"/>
    <col min="12014" max="12014" width="10.6640625" style="15" customWidth="1"/>
    <col min="12015" max="12015" width="17.33203125" style="15" customWidth="1"/>
    <col min="12016" max="12017" width="12.6640625" style="15" customWidth="1"/>
    <col min="12018" max="12018" width="11.21875" style="15" customWidth="1"/>
    <col min="12019" max="12019" width="18.33203125" style="15" customWidth="1"/>
    <col min="12020" max="12020" width="12.88671875" style="15" customWidth="1"/>
    <col min="12021" max="12022" width="13.21875" style="15" customWidth="1"/>
    <col min="12023" max="12023" width="10.88671875" style="15" customWidth="1"/>
    <col min="12024" max="12024" width="11.109375" style="15" customWidth="1"/>
    <col min="12025" max="12025" width="15.21875" style="15" customWidth="1"/>
    <col min="12026" max="12026" width="9.6640625" style="15"/>
    <col min="12027" max="12027" width="11" style="15" customWidth="1"/>
    <col min="12028" max="12028" width="10.77734375" style="15" customWidth="1"/>
    <col min="12029" max="12029" width="11.44140625" style="15" customWidth="1"/>
    <col min="12030" max="12030" width="4" style="15" customWidth="1"/>
    <col min="12031" max="12221" width="9.6640625" style="15"/>
    <col min="12222" max="12222" width="6.44140625" style="15" customWidth="1"/>
    <col min="12223" max="12223" width="13.88671875" style="15" customWidth="1"/>
    <col min="12224" max="12224" width="11.88671875" style="15" customWidth="1"/>
    <col min="12225" max="12227" width="9.6640625" style="15"/>
    <col min="12228" max="12228" width="15.44140625" style="15" customWidth="1"/>
    <col min="12229" max="12229" width="16.21875" style="15" customWidth="1"/>
    <col min="12230" max="12241" width="9.6640625" style="15"/>
    <col min="12242" max="12242" width="12" style="15" customWidth="1"/>
    <col min="12243" max="12243" width="12.77734375" style="15" customWidth="1"/>
    <col min="12244" max="12244" width="11.109375" style="15" customWidth="1"/>
    <col min="12245" max="12245" width="12" style="15" customWidth="1"/>
    <col min="12246" max="12246" width="9.6640625" style="15"/>
    <col min="12247" max="12247" width="15.33203125" style="15" customWidth="1"/>
    <col min="12248" max="12248" width="15.21875" style="15" customWidth="1"/>
    <col min="12249" max="12249" width="21.44140625" style="15" customWidth="1"/>
    <col min="12250" max="12265" width="9.6640625" style="15"/>
    <col min="12266" max="12267" width="13.44140625" style="15" customWidth="1"/>
    <col min="12268" max="12268" width="9.6640625" style="15"/>
    <col min="12269" max="12269" width="13.88671875" style="15" customWidth="1"/>
    <col min="12270" max="12270" width="10.6640625" style="15" customWidth="1"/>
    <col min="12271" max="12271" width="17.33203125" style="15" customWidth="1"/>
    <col min="12272" max="12273" width="12.6640625" style="15" customWidth="1"/>
    <col min="12274" max="12274" width="11.21875" style="15" customWidth="1"/>
    <col min="12275" max="12275" width="18.33203125" style="15" customWidth="1"/>
    <col min="12276" max="12276" width="12.88671875" style="15" customWidth="1"/>
    <col min="12277" max="12278" width="13.21875" style="15" customWidth="1"/>
    <col min="12279" max="12279" width="10.88671875" style="15" customWidth="1"/>
    <col min="12280" max="12280" width="11.109375" style="15" customWidth="1"/>
    <col min="12281" max="12281" width="15.21875" style="15" customWidth="1"/>
    <col min="12282" max="12282" width="9.6640625" style="15"/>
    <col min="12283" max="12283" width="11" style="15" customWidth="1"/>
    <col min="12284" max="12284" width="10.77734375" style="15" customWidth="1"/>
    <col min="12285" max="12285" width="11.44140625" style="15" customWidth="1"/>
    <col min="12286" max="12286" width="4" style="15" customWidth="1"/>
    <col min="12287" max="12477" width="9.6640625" style="15"/>
    <col min="12478" max="12478" width="6.44140625" style="15" customWidth="1"/>
    <col min="12479" max="12479" width="13.88671875" style="15" customWidth="1"/>
    <col min="12480" max="12480" width="11.88671875" style="15" customWidth="1"/>
    <col min="12481" max="12483" width="9.6640625" style="15"/>
    <col min="12484" max="12484" width="15.44140625" style="15" customWidth="1"/>
    <col min="12485" max="12485" width="16.21875" style="15" customWidth="1"/>
    <col min="12486" max="12497" width="9.6640625" style="15"/>
    <col min="12498" max="12498" width="12" style="15" customWidth="1"/>
    <col min="12499" max="12499" width="12.77734375" style="15" customWidth="1"/>
    <col min="12500" max="12500" width="11.109375" style="15" customWidth="1"/>
    <col min="12501" max="12501" width="12" style="15" customWidth="1"/>
    <col min="12502" max="12502" width="9.6640625" style="15"/>
    <col min="12503" max="12503" width="15.33203125" style="15" customWidth="1"/>
    <col min="12504" max="12504" width="15.21875" style="15" customWidth="1"/>
    <col min="12505" max="12505" width="21.44140625" style="15" customWidth="1"/>
    <col min="12506" max="12521" width="9.6640625" style="15"/>
    <col min="12522" max="12523" width="13.44140625" style="15" customWidth="1"/>
    <col min="12524" max="12524" width="9.6640625" style="15"/>
    <col min="12525" max="12525" width="13.88671875" style="15" customWidth="1"/>
    <col min="12526" max="12526" width="10.6640625" style="15" customWidth="1"/>
    <col min="12527" max="12527" width="17.33203125" style="15" customWidth="1"/>
    <col min="12528" max="12529" width="12.6640625" style="15" customWidth="1"/>
    <col min="12530" max="12530" width="11.21875" style="15" customWidth="1"/>
    <col min="12531" max="12531" width="18.33203125" style="15" customWidth="1"/>
    <col min="12532" max="12532" width="12.88671875" style="15" customWidth="1"/>
    <col min="12533" max="12534" width="13.21875" style="15" customWidth="1"/>
    <col min="12535" max="12535" width="10.88671875" style="15" customWidth="1"/>
    <col min="12536" max="12536" width="11.109375" style="15" customWidth="1"/>
    <col min="12537" max="12537" width="15.21875" style="15" customWidth="1"/>
    <col min="12538" max="12538" width="9.6640625" style="15"/>
    <col min="12539" max="12539" width="11" style="15" customWidth="1"/>
    <col min="12540" max="12540" width="10.77734375" style="15" customWidth="1"/>
    <col min="12541" max="12541" width="11.44140625" style="15" customWidth="1"/>
    <col min="12542" max="12542" width="4" style="15" customWidth="1"/>
    <col min="12543" max="12733" width="9.6640625" style="15"/>
    <col min="12734" max="12734" width="6.44140625" style="15" customWidth="1"/>
    <col min="12735" max="12735" width="13.88671875" style="15" customWidth="1"/>
    <col min="12736" max="12736" width="11.88671875" style="15" customWidth="1"/>
    <col min="12737" max="12739" width="9.6640625" style="15"/>
    <col min="12740" max="12740" width="15.44140625" style="15" customWidth="1"/>
    <col min="12741" max="12741" width="16.21875" style="15" customWidth="1"/>
    <col min="12742" max="12753" width="9.6640625" style="15"/>
    <col min="12754" max="12754" width="12" style="15" customWidth="1"/>
    <col min="12755" max="12755" width="12.77734375" style="15" customWidth="1"/>
    <col min="12756" max="12756" width="11.109375" style="15" customWidth="1"/>
    <col min="12757" max="12757" width="12" style="15" customWidth="1"/>
    <col min="12758" max="12758" width="9.6640625" style="15"/>
    <col min="12759" max="12759" width="15.33203125" style="15" customWidth="1"/>
    <col min="12760" max="12760" width="15.21875" style="15" customWidth="1"/>
    <col min="12761" max="12761" width="21.44140625" style="15" customWidth="1"/>
    <col min="12762" max="12777" width="9.6640625" style="15"/>
    <col min="12778" max="12779" width="13.44140625" style="15" customWidth="1"/>
    <col min="12780" max="12780" width="9.6640625" style="15"/>
    <col min="12781" max="12781" width="13.88671875" style="15" customWidth="1"/>
    <col min="12782" max="12782" width="10.6640625" style="15" customWidth="1"/>
    <col min="12783" max="12783" width="17.33203125" style="15" customWidth="1"/>
    <col min="12784" max="12785" width="12.6640625" style="15" customWidth="1"/>
    <col min="12786" max="12786" width="11.21875" style="15" customWidth="1"/>
    <col min="12787" max="12787" width="18.33203125" style="15" customWidth="1"/>
    <col min="12788" max="12788" width="12.88671875" style="15" customWidth="1"/>
    <col min="12789" max="12790" width="13.21875" style="15" customWidth="1"/>
    <col min="12791" max="12791" width="10.88671875" style="15" customWidth="1"/>
    <col min="12792" max="12792" width="11.109375" style="15" customWidth="1"/>
    <col min="12793" max="12793" width="15.21875" style="15" customWidth="1"/>
    <col min="12794" max="12794" width="9.6640625" style="15"/>
    <col min="12795" max="12795" width="11" style="15" customWidth="1"/>
    <col min="12796" max="12796" width="10.77734375" style="15" customWidth="1"/>
    <col min="12797" max="12797" width="11.44140625" style="15" customWidth="1"/>
    <col min="12798" max="12798" width="4" style="15" customWidth="1"/>
    <col min="12799" max="12989" width="9.6640625" style="15"/>
    <col min="12990" max="12990" width="6.44140625" style="15" customWidth="1"/>
    <col min="12991" max="12991" width="13.88671875" style="15" customWidth="1"/>
    <col min="12992" max="12992" width="11.88671875" style="15" customWidth="1"/>
    <col min="12993" max="12995" width="9.6640625" style="15"/>
    <col min="12996" max="12996" width="15.44140625" style="15" customWidth="1"/>
    <col min="12997" max="12997" width="16.21875" style="15" customWidth="1"/>
    <col min="12998" max="13009" width="9.6640625" style="15"/>
    <col min="13010" max="13010" width="12" style="15" customWidth="1"/>
    <col min="13011" max="13011" width="12.77734375" style="15" customWidth="1"/>
    <col min="13012" max="13012" width="11.109375" style="15" customWidth="1"/>
    <col min="13013" max="13013" width="12" style="15" customWidth="1"/>
    <col min="13014" max="13014" width="9.6640625" style="15"/>
    <col min="13015" max="13015" width="15.33203125" style="15" customWidth="1"/>
    <col min="13016" max="13016" width="15.21875" style="15" customWidth="1"/>
    <col min="13017" max="13017" width="21.44140625" style="15" customWidth="1"/>
    <col min="13018" max="13033" width="9.6640625" style="15"/>
    <col min="13034" max="13035" width="13.44140625" style="15" customWidth="1"/>
    <col min="13036" max="13036" width="9.6640625" style="15"/>
    <col min="13037" max="13037" width="13.88671875" style="15" customWidth="1"/>
    <col min="13038" max="13038" width="10.6640625" style="15" customWidth="1"/>
    <col min="13039" max="13039" width="17.33203125" style="15" customWidth="1"/>
    <col min="13040" max="13041" width="12.6640625" style="15" customWidth="1"/>
    <col min="13042" max="13042" width="11.21875" style="15" customWidth="1"/>
    <col min="13043" max="13043" width="18.33203125" style="15" customWidth="1"/>
    <col min="13044" max="13044" width="12.88671875" style="15" customWidth="1"/>
    <col min="13045" max="13046" width="13.21875" style="15" customWidth="1"/>
    <col min="13047" max="13047" width="10.88671875" style="15" customWidth="1"/>
    <col min="13048" max="13048" width="11.109375" style="15" customWidth="1"/>
    <col min="13049" max="13049" width="15.21875" style="15" customWidth="1"/>
    <col min="13050" max="13050" width="9.6640625" style="15"/>
    <col min="13051" max="13051" width="11" style="15" customWidth="1"/>
    <col min="13052" max="13052" width="10.77734375" style="15" customWidth="1"/>
    <col min="13053" max="13053" width="11.44140625" style="15" customWidth="1"/>
    <col min="13054" max="13054" width="4" style="15" customWidth="1"/>
    <col min="13055" max="13245" width="9.6640625" style="15"/>
    <col min="13246" max="13246" width="6.44140625" style="15" customWidth="1"/>
    <col min="13247" max="13247" width="13.88671875" style="15" customWidth="1"/>
    <col min="13248" max="13248" width="11.88671875" style="15" customWidth="1"/>
    <col min="13249" max="13251" width="9.6640625" style="15"/>
    <col min="13252" max="13252" width="15.44140625" style="15" customWidth="1"/>
    <col min="13253" max="13253" width="16.21875" style="15" customWidth="1"/>
    <col min="13254" max="13265" width="9.6640625" style="15"/>
    <col min="13266" max="13266" width="12" style="15" customWidth="1"/>
    <col min="13267" max="13267" width="12.77734375" style="15" customWidth="1"/>
    <col min="13268" max="13268" width="11.109375" style="15" customWidth="1"/>
    <col min="13269" max="13269" width="12" style="15" customWidth="1"/>
    <col min="13270" max="13270" width="9.6640625" style="15"/>
    <col min="13271" max="13271" width="15.33203125" style="15" customWidth="1"/>
    <col min="13272" max="13272" width="15.21875" style="15" customWidth="1"/>
    <col min="13273" max="13273" width="21.44140625" style="15" customWidth="1"/>
    <col min="13274" max="13289" width="9.6640625" style="15"/>
    <col min="13290" max="13291" width="13.44140625" style="15" customWidth="1"/>
    <col min="13292" max="13292" width="9.6640625" style="15"/>
    <col min="13293" max="13293" width="13.88671875" style="15" customWidth="1"/>
    <col min="13294" max="13294" width="10.6640625" style="15" customWidth="1"/>
    <col min="13295" max="13295" width="17.33203125" style="15" customWidth="1"/>
    <col min="13296" max="13297" width="12.6640625" style="15" customWidth="1"/>
    <col min="13298" max="13298" width="11.21875" style="15" customWidth="1"/>
    <col min="13299" max="13299" width="18.33203125" style="15" customWidth="1"/>
    <col min="13300" max="13300" width="12.88671875" style="15" customWidth="1"/>
    <col min="13301" max="13302" width="13.21875" style="15" customWidth="1"/>
    <col min="13303" max="13303" width="10.88671875" style="15" customWidth="1"/>
    <col min="13304" max="13304" width="11.109375" style="15" customWidth="1"/>
    <col min="13305" max="13305" width="15.21875" style="15" customWidth="1"/>
    <col min="13306" max="13306" width="9.6640625" style="15"/>
    <col min="13307" max="13307" width="11" style="15" customWidth="1"/>
    <col min="13308" max="13308" width="10.77734375" style="15" customWidth="1"/>
    <col min="13309" max="13309" width="11.44140625" style="15" customWidth="1"/>
    <col min="13310" max="13310" width="4" style="15" customWidth="1"/>
    <col min="13311" max="13501" width="9.6640625" style="15"/>
    <col min="13502" max="13502" width="6.44140625" style="15" customWidth="1"/>
    <col min="13503" max="13503" width="13.88671875" style="15" customWidth="1"/>
    <col min="13504" max="13504" width="11.88671875" style="15" customWidth="1"/>
    <col min="13505" max="13507" width="9.6640625" style="15"/>
    <col min="13508" max="13508" width="15.44140625" style="15" customWidth="1"/>
    <col min="13509" max="13509" width="16.21875" style="15" customWidth="1"/>
    <col min="13510" max="13521" width="9.6640625" style="15"/>
    <col min="13522" max="13522" width="12" style="15" customWidth="1"/>
    <col min="13523" max="13523" width="12.77734375" style="15" customWidth="1"/>
    <col min="13524" max="13524" width="11.109375" style="15" customWidth="1"/>
    <col min="13525" max="13525" width="12" style="15" customWidth="1"/>
    <col min="13526" max="13526" width="9.6640625" style="15"/>
    <col min="13527" max="13527" width="15.33203125" style="15" customWidth="1"/>
    <col min="13528" max="13528" width="15.21875" style="15" customWidth="1"/>
    <col min="13529" max="13529" width="21.44140625" style="15" customWidth="1"/>
    <col min="13530" max="13545" width="9.6640625" style="15"/>
    <col min="13546" max="13547" width="13.44140625" style="15" customWidth="1"/>
    <col min="13548" max="13548" width="9.6640625" style="15"/>
    <col min="13549" max="13549" width="13.88671875" style="15" customWidth="1"/>
    <col min="13550" max="13550" width="10.6640625" style="15" customWidth="1"/>
    <col min="13551" max="13551" width="17.33203125" style="15" customWidth="1"/>
    <col min="13552" max="13553" width="12.6640625" style="15" customWidth="1"/>
    <col min="13554" max="13554" width="11.21875" style="15" customWidth="1"/>
    <col min="13555" max="13555" width="18.33203125" style="15" customWidth="1"/>
    <col min="13556" max="13556" width="12.88671875" style="15" customWidth="1"/>
    <col min="13557" max="13558" width="13.21875" style="15" customWidth="1"/>
    <col min="13559" max="13559" width="10.88671875" style="15" customWidth="1"/>
    <col min="13560" max="13560" width="11.109375" style="15" customWidth="1"/>
    <col min="13561" max="13561" width="15.21875" style="15" customWidth="1"/>
    <col min="13562" max="13562" width="9.6640625" style="15"/>
    <col min="13563" max="13563" width="11" style="15" customWidth="1"/>
    <col min="13564" max="13564" width="10.77734375" style="15" customWidth="1"/>
    <col min="13565" max="13565" width="11.44140625" style="15" customWidth="1"/>
    <col min="13566" max="13566" width="4" style="15" customWidth="1"/>
    <col min="13567" max="13757" width="9.6640625" style="15"/>
    <col min="13758" max="13758" width="6.44140625" style="15" customWidth="1"/>
    <col min="13759" max="13759" width="13.88671875" style="15" customWidth="1"/>
    <col min="13760" max="13760" width="11.88671875" style="15" customWidth="1"/>
    <col min="13761" max="13763" width="9.6640625" style="15"/>
    <col min="13764" max="13764" width="15.44140625" style="15" customWidth="1"/>
    <col min="13765" max="13765" width="16.21875" style="15" customWidth="1"/>
    <col min="13766" max="13777" width="9.6640625" style="15"/>
    <col min="13778" max="13778" width="12" style="15" customWidth="1"/>
    <col min="13779" max="13779" width="12.77734375" style="15" customWidth="1"/>
    <col min="13780" max="13780" width="11.109375" style="15" customWidth="1"/>
    <col min="13781" max="13781" width="12" style="15" customWidth="1"/>
    <col min="13782" max="13782" width="9.6640625" style="15"/>
    <col min="13783" max="13783" width="15.33203125" style="15" customWidth="1"/>
    <col min="13784" max="13784" width="15.21875" style="15" customWidth="1"/>
    <col min="13785" max="13785" width="21.44140625" style="15" customWidth="1"/>
    <col min="13786" max="13801" width="9.6640625" style="15"/>
    <col min="13802" max="13803" width="13.44140625" style="15" customWidth="1"/>
    <col min="13804" max="13804" width="9.6640625" style="15"/>
    <col min="13805" max="13805" width="13.88671875" style="15" customWidth="1"/>
    <col min="13806" max="13806" width="10.6640625" style="15" customWidth="1"/>
    <col min="13807" max="13807" width="17.33203125" style="15" customWidth="1"/>
    <col min="13808" max="13809" width="12.6640625" style="15" customWidth="1"/>
    <col min="13810" max="13810" width="11.21875" style="15" customWidth="1"/>
    <col min="13811" max="13811" width="18.33203125" style="15" customWidth="1"/>
    <col min="13812" max="13812" width="12.88671875" style="15" customWidth="1"/>
    <col min="13813" max="13814" width="13.21875" style="15" customWidth="1"/>
    <col min="13815" max="13815" width="10.88671875" style="15" customWidth="1"/>
    <col min="13816" max="13816" width="11.109375" style="15" customWidth="1"/>
    <col min="13817" max="13817" width="15.21875" style="15" customWidth="1"/>
    <col min="13818" max="13818" width="9.6640625" style="15"/>
    <col min="13819" max="13819" width="11" style="15" customWidth="1"/>
    <col min="13820" max="13820" width="10.77734375" style="15" customWidth="1"/>
    <col min="13821" max="13821" width="11.44140625" style="15" customWidth="1"/>
    <col min="13822" max="13822" width="4" style="15" customWidth="1"/>
    <col min="13823" max="14013" width="9.6640625" style="15"/>
    <col min="14014" max="14014" width="6.44140625" style="15" customWidth="1"/>
    <col min="14015" max="14015" width="13.88671875" style="15" customWidth="1"/>
    <col min="14016" max="14016" width="11.88671875" style="15" customWidth="1"/>
    <col min="14017" max="14019" width="9.6640625" style="15"/>
    <col min="14020" max="14020" width="15.44140625" style="15" customWidth="1"/>
    <col min="14021" max="14021" width="16.21875" style="15" customWidth="1"/>
    <col min="14022" max="14033" width="9.6640625" style="15"/>
    <col min="14034" max="14034" width="12" style="15" customWidth="1"/>
    <col min="14035" max="14035" width="12.77734375" style="15" customWidth="1"/>
    <col min="14036" max="14036" width="11.109375" style="15" customWidth="1"/>
    <col min="14037" max="14037" width="12" style="15" customWidth="1"/>
    <col min="14038" max="14038" width="9.6640625" style="15"/>
    <col min="14039" max="14039" width="15.33203125" style="15" customWidth="1"/>
    <col min="14040" max="14040" width="15.21875" style="15" customWidth="1"/>
    <col min="14041" max="14041" width="21.44140625" style="15" customWidth="1"/>
    <col min="14042" max="14057" width="9.6640625" style="15"/>
    <col min="14058" max="14059" width="13.44140625" style="15" customWidth="1"/>
    <col min="14060" max="14060" width="9.6640625" style="15"/>
    <col min="14061" max="14061" width="13.88671875" style="15" customWidth="1"/>
    <col min="14062" max="14062" width="10.6640625" style="15" customWidth="1"/>
    <col min="14063" max="14063" width="17.33203125" style="15" customWidth="1"/>
    <col min="14064" max="14065" width="12.6640625" style="15" customWidth="1"/>
    <col min="14066" max="14066" width="11.21875" style="15" customWidth="1"/>
    <col min="14067" max="14067" width="18.33203125" style="15" customWidth="1"/>
    <col min="14068" max="14068" width="12.88671875" style="15" customWidth="1"/>
    <col min="14069" max="14070" width="13.21875" style="15" customWidth="1"/>
    <col min="14071" max="14071" width="10.88671875" style="15" customWidth="1"/>
    <col min="14072" max="14072" width="11.109375" style="15" customWidth="1"/>
    <col min="14073" max="14073" width="15.21875" style="15" customWidth="1"/>
    <col min="14074" max="14074" width="9.6640625" style="15"/>
    <col min="14075" max="14075" width="11" style="15" customWidth="1"/>
    <col min="14076" max="14076" width="10.77734375" style="15" customWidth="1"/>
    <col min="14077" max="14077" width="11.44140625" style="15" customWidth="1"/>
    <col min="14078" max="14078" width="4" style="15" customWidth="1"/>
    <col min="14079" max="14269" width="9.6640625" style="15"/>
    <col min="14270" max="14270" width="6.44140625" style="15" customWidth="1"/>
    <col min="14271" max="14271" width="13.88671875" style="15" customWidth="1"/>
    <col min="14272" max="14272" width="11.88671875" style="15" customWidth="1"/>
    <col min="14273" max="14275" width="9.6640625" style="15"/>
    <col min="14276" max="14276" width="15.44140625" style="15" customWidth="1"/>
    <col min="14277" max="14277" width="16.21875" style="15" customWidth="1"/>
    <col min="14278" max="14289" width="9.6640625" style="15"/>
    <col min="14290" max="14290" width="12" style="15" customWidth="1"/>
    <col min="14291" max="14291" width="12.77734375" style="15" customWidth="1"/>
    <col min="14292" max="14292" width="11.109375" style="15" customWidth="1"/>
    <col min="14293" max="14293" width="12" style="15" customWidth="1"/>
    <col min="14294" max="14294" width="9.6640625" style="15"/>
    <col min="14295" max="14295" width="15.33203125" style="15" customWidth="1"/>
    <col min="14296" max="14296" width="15.21875" style="15" customWidth="1"/>
    <col min="14297" max="14297" width="21.44140625" style="15" customWidth="1"/>
    <col min="14298" max="14313" width="9.6640625" style="15"/>
    <col min="14314" max="14315" width="13.44140625" style="15" customWidth="1"/>
    <col min="14316" max="14316" width="9.6640625" style="15"/>
    <col min="14317" max="14317" width="13.88671875" style="15" customWidth="1"/>
    <col min="14318" max="14318" width="10.6640625" style="15" customWidth="1"/>
    <col min="14319" max="14319" width="17.33203125" style="15" customWidth="1"/>
    <col min="14320" max="14321" width="12.6640625" style="15" customWidth="1"/>
    <col min="14322" max="14322" width="11.21875" style="15" customWidth="1"/>
    <col min="14323" max="14323" width="18.33203125" style="15" customWidth="1"/>
    <col min="14324" max="14324" width="12.88671875" style="15" customWidth="1"/>
    <col min="14325" max="14326" width="13.21875" style="15" customWidth="1"/>
    <col min="14327" max="14327" width="10.88671875" style="15" customWidth="1"/>
    <col min="14328" max="14328" width="11.109375" style="15" customWidth="1"/>
    <col min="14329" max="14329" width="15.21875" style="15" customWidth="1"/>
    <col min="14330" max="14330" width="9.6640625" style="15"/>
    <col min="14331" max="14331" width="11" style="15" customWidth="1"/>
    <col min="14332" max="14332" width="10.77734375" style="15" customWidth="1"/>
    <col min="14333" max="14333" width="11.44140625" style="15" customWidth="1"/>
    <col min="14334" max="14334" width="4" style="15" customWidth="1"/>
    <col min="14335" max="14525" width="9.6640625" style="15"/>
    <col min="14526" max="14526" width="6.44140625" style="15" customWidth="1"/>
    <col min="14527" max="14527" width="13.88671875" style="15" customWidth="1"/>
    <col min="14528" max="14528" width="11.88671875" style="15" customWidth="1"/>
    <col min="14529" max="14531" width="9.6640625" style="15"/>
    <col min="14532" max="14532" width="15.44140625" style="15" customWidth="1"/>
    <col min="14533" max="14533" width="16.21875" style="15" customWidth="1"/>
    <col min="14534" max="14545" width="9.6640625" style="15"/>
    <col min="14546" max="14546" width="12" style="15" customWidth="1"/>
    <col min="14547" max="14547" width="12.77734375" style="15" customWidth="1"/>
    <col min="14548" max="14548" width="11.109375" style="15" customWidth="1"/>
    <col min="14549" max="14549" width="12" style="15" customWidth="1"/>
    <col min="14550" max="14550" width="9.6640625" style="15"/>
    <col min="14551" max="14551" width="15.33203125" style="15" customWidth="1"/>
    <col min="14552" max="14552" width="15.21875" style="15" customWidth="1"/>
    <col min="14553" max="14553" width="21.44140625" style="15" customWidth="1"/>
    <col min="14554" max="14569" width="9.6640625" style="15"/>
    <col min="14570" max="14571" width="13.44140625" style="15" customWidth="1"/>
    <col min="14572" max="14572" width="9.6640625" style="15"/>
    <col min="14573" max="14573" width="13.88671875" style="15" customWidth="1"/>
    <col min="14574" max="14574" width="10.6640625" style="15" customWidth="1"/>
    <col min="14575" max="14575" width="17.33203125" style="15" customWidth="1"/>
    <col min="14576" max="14577" width="12.6640625" style="15" customWidth="1"/>
    <col min="14578" max="14578" width="11.21875" style="15" customWidth="1"/>
    <col min="14579" max="14579" width="18.33203125" style="15" customWidth="1"/>
    <col min="14580" max="14580" width="12.88671875" style="15" customWidth="1"/>
    <col min="14581" max="14582" width="13.21875" style="15" customWidth="1"/>
    <col min="14583" max="14583" width="10.88671875" style="15" customWidth="1"/>
    <col min="14584" max="14584" width="11.109375" style="15" customWidth="1"/>
    <col min="14585" max="14585" width="15.21875" style="15" customWidth="1"/>
    <col min="14586" max="14586" width="9.6640625" style="15"/>
    <col min="14587" max="14587" width="11" style="15" customWidth="1"/>
    <col min="14588" max="14588" width="10.77734375" style="15" customWidth="1"/>
    <col min="14589" max="14589" width="11.44140625" style="15" customWidth="1"/>
    <col min="14590" max="14590" width="4" style="15" customWidth="1"/>
    <col min="14591" max="14781" width="9.6640625" style="15"/>
    <col min="14782" max="14782" width="6.44140625" style="15" customWidth="1"/>
    <col min="14783" max="14783" width="13.88671875" style="15" customWidth="1"/>
    <col min="14784" max="14784" width="11.88671875" style="15" customWidth="1"/>
    <col min="14785" max="14787" width="9.6640625" style="15"/>
    <col min="14788" max="14788" width="15.44140625" style="15" customWidth="1"/>
    <col min="14789" max="14789" width="16.21875" style="15" customWidth="1"/>
    <col min="14790" max="14801" width="9.6640625" style="15"/>
    <col min="14802" max="14802" width="12" style="15" customWidth="1"/>
    <col min="14803" max="14803" width="12.77734375" style="15" customWidth="1"/>
    <col min="14804" max="14804" width="11.109375" style="15" customWidth="1"/>
    <col min="14805" max="14805" width="12" style="15" customWidth="1"/>
    <col min="14806" max="14806" width="9.6640625" style="15"/>
    <col min="14807" max="14807" width="15.33203125" style="15" customWidth="1"/>
    <col min="14808" max="14808" width="15.21875" style="15" customWidth="1"/>
    <col min="14809" max="14809" width="21.44140625" style="15" customWidth="1"/>
    <col min="14810" max="14825" width="9.6640625" style="15"/>
    <col min="14826" max="14827" width="13.44140625" style="15" customWidth="1"/>
    <col min="14828" max="14828" width="9.6640625" style="15"/>
    <col min="14829" max="14829" width="13.88671875" style="15" customWidth="1"/>
    <col min="14830" max="14830" width="10.6640625" style="15" customWidth="1"/>
    <col min="14831" max="14831" width="17.33203125" style="15" customWidth="1"/>
    <col min="14832" max="14833" width="12.6640625" style="15" customWidth="1"/>
    <col min="14834" max="14834" width="11.21875" style="15" customWidth="1"/>
    <col min="14835" max="14835" width="18.33203125" style="15" customWidth="1"/>
    <col min="14836" max="14836" width="12.88671875" style="15" customWidth="1"/>
    <col min="14837" max="14838" width="13.21875" style="15" customWidth="1"/>
    <col min="14839" max="14839" width="10.88671875" style="15" customWidth="1"/>
    <col min="14840" max="14840" width="11.109375" style="15" customWidth="1"/>
    <col min="14841" max="14841" width="15.21875" style="15" customWidth="1"/>
    <col min="14842" max="14842" width="9.6640625" style="15"/>
    <col min="14843" max="14843" width="11" style="15" customWidth="1"/>
    <col min="14844" max="14844" width="10.77734375" style="15" customWidth="1"/>
    <col min="14845" max="14845" width="11.44140625" style="15" customWidth="1"/>
    <col min="14846" max="14846" width="4" style="15" customWidth="1"/>
    <col min="14847" max="15037" width="9.6640625" style="15"/>
    <col min="15038" max="15038" width="6.44140625" style="15" customWidth="1"/>
    <col min="15039" max="15039" width="13.88671875" style="15" customWidth="1"/>
    <col min="15040" max="15040" width="11.88671875" style="15" customWidth="1"/>
    <col min="15041" max="15043" width="9.6640625" style="15"/>
    <col min="15044" max="15044" width="15.44140625" style="15" customWidth="1"/>
    <col min="15045" max="15045" width="16.21875" style="15" customWidth="1"/>
    <col min="15046" max="15057" width="9.6640625" style="15"/>
    <col min="15058" max="15058" width="12" style="15" customWidth="1"/>
    <col min="15059" max="15059" width="12.77734375" style="15" customWidth="1"/>
    <col min="15060" max="15060" width="11.109375" style="15" customWidth="1"/>
    <col min="15061" max="15061" width="12" style="15" customWidth="1"/>
    <col min="15062" max="15062" width="9.6640625" style="15"/>
    <col min="15063" max="15063" width="15.33203125" style="15" customWidth="1"/>
    <col min="15064" max="15064" width="15.21875" style="15" customWidth="1"/>
    <col min="15065" max="15065" width="21.44140625" style="15" customWidth="1"/>
    <col min="15066" max="15081" width="9.6640625" style="15"/>
    <col min="15082" max="15083" width="13.44140625" style="15" customWidth="1"/>
    <col min="15084" max="15084" width="9.6640625" style="15"/>
    <col min="15085" max="15085" width="13.88671875" style="15" customWidth="1"/>
    <col min="15086" max="15086" width="10.6640625" style="15" customWidth="1"/>
    <col min="15087" max="15087" width="17.33203125" style="15" customWidth="1"/>
    <col min="15088" max="15089" width="12.6640625" style="15" customWidth="1"/>
    <col min="15090" max="15090" width="11.21875" style="15" customWidth="1"/>
    <col min="15091" max="15091" width="18.33203125" style="15" customWidth="1"/>
    <col min="15092" max="15092" width="12.88671875" style="15" customWidth="1"/>
    <col min="15093" max="15094" width="13.21875" style="15" customWidth="1"/>
    <col min="15095" max="15095" width="10.88671875" style="15" customWidth="1"/>
    <col min="15096" max="15096" width="11.109375" style="15" customWidth="1"/>
    <col min="15097" max="15097" width="15.21875" style="15" customWidth="1"/>
    <col min="15098" max="15098" width="9.6640625" style="15"/>
    <col min="15099" max="15099" width="11" style="15" customWidth="1"/>
    <col min="15100" max="15100" width="10.77734375" style="15" customWidth="1"/>
    <col min="15101" max="15101" width="11.44140625" style="15" customWidth="1"/>
    <col min="15102" max="15102" width="4" style="15" customWidth="1"/>
    <col min="15103" max="15293" width="9.6640625" style="15"/>
    <col min="15294" max="15294" width="6.44140625" style="15" customWidth="1"/>
    <col min="15295" max="15295" width="13.88671875" style="15" customWidth="1"/>
    <col min="15296" max="15296" width="11.88671875" style="15" customWidth="1"/>
    <col min="15297" max="15299" width="9.6640625" style="15"/>
    <col min="15300" max="15300" width="15.44140625" style="15" customWidth="1"/>
    <col min="15301" max="15301" width="16.21875" style="15" customWidth="1"/>
    <col min="15302" max="15313" width="9.6640625" style="15"/>
    <col min="15314" max="15314" width="12" style="15" customWidth="1"/>
    <col min="15315" max="15315" width="12.77734375" style="15" customWidth="1"/>
    <col min="15316" max="15316" width="11.109375" style="15" customWidth="1"/>
    <col min="15317" max="15317" width="12" style="15" customWidth="1"/>
    <col min="15318" max="15318" width="9.6640625" style="15"/>
    <col min="15319" max="15319" width="15.33203125" style="15" customWidth="1"/>
    <col min="15320" max="15320" width="15.21875" style="15" customWidth="1"/>
    <col min="15321" max="15321" width="21.44140625" style="15" customWidth="1"/>
    <col min="15322" max="15337" width="9.6640625" style="15"/>
    <col min="15338" max="15339" width="13.44140625" style="15" customWidth="1"/>
    <col min="15340" max="15340" width="9.6640625" style="15"/>
    <col min="15341" max="15341" width="13.88671875" style="15" customWidth="1"/>
    <col min="15342" max="15342" width="10.6640625" style="15" customWidth="1"/>
    <col min="15343" max="15343" width="17.33203125" style="15" customWidth="1"/>
    <col min="15344" max="15345" width="12.6640625" style="15" customWidth="1"/>
    <col min="15346" max="15346" width="11.21875" style="15" customWidth="1"/>
    <col min="15347" max="15347" width="18.33203125" style="15" customWidth="1"/>
    <col min="15348" max="15348" width="12.88671875" style="15" customWidth="1"/>
    <col min="15349" max="15350" width="13.21875" style="15" customWidth="1"/>
    <col min="15351" max="15351" width="10.88671875" style="15" customWidth="1"/>
    <col min="15352" max="15352" width="11.109375" style="15" customWidth="1"/>
    <col min="15353" max="15353" width="15.21875" style="15" customWidth="1"/>
    <col min="15354" max="15354" width="9.6640625" style="15"/>
    <col min="15355" max="15355" width="11" style="15" customWidth="1"/>
    <col min="15356" max="15356" width="10.77734375" style="15" customWidth="1"/>
    <col min="15357" max="15357" width="11.44140625" style="15" customWidth="1"/>
    <col min="15358" max="15358" width="4" style="15" customWidth="1"/>
    <col min="15359" max="15549" width="9.6640625" style="15"/>
    <col min="15550" max="15550" width="6.44140625" style="15" customWidth="1"/>
    <col min="15551" max="15551" width="13.88671875" style="15" customWidth="1"/>
    <col min="15552" max="15552" width="11.88671875" style="15" customWidth="1"/>
    <col min="15553" max="15555" width="9.6640625" style="15"/>
    <col min="15556" max="15556" width="15.44140625" style="15" customWidth="1"/>
    <col min="15557" max="15557" width="16.21875" style="15" customWidth="1"/>
    <col min="15558" max="15569" width="9.6640625" style="15"/>
    <col min="15570" max="15570" width="12" style="15" customWidth="1"/>
    <col min="15571" max="15571" width="12.77734375" style="15" customWidth="1"/>
    <col min="15572" max="15572" width="11.109375" style="15" customWidth="1"/>
    <col min="15573" max="15573" width="12" style="15" customWidth="1"/>
    <col min="15574" max="15574" width="9.6640625" style="15"/>
    <col min="15575" max="15575" width="15.33203125" style="15" customWidth="1"/>
    <col min="15576" max="15576" width="15.21875" style="15" customWidth="1"/>
    <col min="15577" max="15577" width="21.44140625" style="15" customWidth="1"/>
    <col min="15578" max="15593" width="9.6640625" style="15"/>
    <col min="15594" max="15595" width="13.44140625" style="15" customWidth="1"/>
    <col min="15596" max="15596" width="9.6640625" style="15"/>
    <col min="15597" max="15597" width="13.88671875" style="15" customWidth="1"/>
    <col min="15598" max="15598" width="10.6640625" style="15" customWidth="1"/>
    <col min="15599" max="15599" width="17.33203125" style="15" customWidth="1"/>
    <col min="15600" max="15601" width="12.6640625" style="15" customWidth="1"/>
    <col min="15602" max="15602" width="11.21875" style="15" customWidth="1"/>
    <col min="15603" max="15603" width="18.33203125" style="15" customWidth="1"/>
    <col min="15604" max="15604" width="12.88671875" style="15" customWidth="1"/>
    <col min="15605" max="15606" width="13.21875" style="15" customWidth="1"/>
    <col min="15607" max="15607" width="10.88671875" style="15" customWidth="1"/>
    <col min="15608" max="15608" width="11.109375" style="15" customWidth="1"/>
    <col min="15609" max="15609" width="15.21875" style="15" customWidth="1"/>
    <col min="15610" max="15610" width="9.6640625" style="15"/>
    <col min="15611" max="15611" width="11" style="15" customWidth="1"/>
    <col min="15612" max="15612" width="10.77734375" style="15" customWidth="1"/>
    <col min="15613" max="15613" width="11.44140625" style="15" customWidth="1"/>
    <col min="15614" max="15614" width="4" style="15" customWidth="1"/>
    <col min="15615" max="15805" width="9.6640625" style="15"/>
    <col min="15806" max="15806" width="6.44140625" style="15" customWidth="1"/>
    <col min="15807" max="15807" width="13.88671875" style="15" customWidth="1"/>
    <col min="15808" max="15808" width="11.88671875" style="15" customWidth="1"/>
    <col min="15809" max="15811" width="9.6640625" style="15"/>
    <col min="15812" max="15812" width="15.44140625" style="15" customWidth="1"/>
    <col min="15813" max="15813" width="16.21875" style="15" customWidth="1"/>
    <col min="15814" max="15825" width="9.6640625" style="15"/>
    <col min="15826" max="15826" width="12" style="15" customWidth="1"/>
    <col min="15827" max="15827" width="12.77734375" style="15" customWidth="1"/>
    <col min="15828" max="15828" width="11.109375" style="15" customWidth="1"/>
    <col min="15829" max="15829" width="12" style="15" customWidth="1"/>
    <col min="15830" max="15830" width="9.6640625" style="15"/>
    <col min="15831" max="15831" width="15.33203125" style="15" customWidth="1"/>
    <col min="15832" max="15832" width="15.21875" style="15" customWidth="1"/>
    <col min="15833" max="15833" width="21.44140625" style="15" customWidth="1"/>
    <col min="15834" max="15849" width="9.6640625" style="15"/>
    <col min="15850" max="15851" width="13.44140625" style="15" customWidth="1"/>
    <col min="15852" max="15852" width="9.6640625" style="15"/>
    <col min="15853" max="15853" width="13.88671875" style="15" customWidth="1"/>
    <col min="15854" max="15854" width="10.6640625" style="15" customWidth="1"/>
    <col min="15855" max="15855" width="17.33203125" style="15" customWidth="1"/>
    <col min="15856" max="15857" width="12.6640625" style="15" customWidth="1"/>
    <col min="15858" max="15858" width="11.21875" style="15" customWidth="1"/>
    <col min="15859" max="15859" width="18.33203125" style="15" customWidth="1"/>
    <col min="15860" max="15860" width="12.88671875" style="15" customWidth="1"/>
    <col min="15861" max="15862" width="13.21875" style="15" customWidth="1"/>
    <col min="15863" max="15863" width="10.88671875" style="15" customWidth="1"/>
    <col min="15864" max="15864" width="11.109375" style="15" customWidth="1"/>
    <col min="15865" max="15865" width="15.21875" style="15" customWidth="1"/>
    <col min="15866" max="15866" width="9.6640625" style="15"/>
    <col min="15867" max="15867" width="11" style="15" customWidth="1"/>
    <col min="15868" max="15868" width="10.77734375" style="15" customWidth="1"/>
    <col min="15869" max="15869" width="11.44140625" style="15" customWidth="1"/>
    <col min="15870" max="15870" width="4" style="15" customWidth="1"/>
    <col min="15871" max="16061" width="9.6640625" style="15"/>
    <col min="16062" max="16062" width="6.44140625" style="15" customWidth="1"/>
    <col min="16063" max="16063" width="13.88671875" style="15" customWidth="1"/>
    <col min="16064" max="16064" width="11.88671875" style="15" customWidth="1"/>
    <col min="16065" max="16067" width="9.6640625" style="15"/>
    <col min="16068" max="16068" width="15.44140625" style="15" customWidth="1"/>
    <col min="16069" max="16069" width="16.21875" style="15" customWidth="1"/>
    <col min="16070" max="16081" width="9.6640625" style="15"/>
    <col min="16082" max="16082" width="12" style="15" customWidth="1"/>
    <col min="16083" max="16083" width="12.77734375" style="15" customWidth="1"/>
    <col min="16084" max="16084" width="11.109375" style="15" customWidth="1"/>
    <col min="16085" max="16085" width="12" style="15" customWidth="1"/>
    <col min="16086" max="16086" width="9.6640625" style="15"/>
    <col min="16087" max="16087" width="15.33203125" style="15" customWidth="1"/>
    <col min="16088" max="16088" width="15.21875" style="15" customWidth="1"/>
    <col min="16089" max="16089" width="21.44140625" style="15" customWidth="1"/>
    <col min="16090" max="16105" width="9.6640625" style="15"/>
    <col min="16106" max="16107" width="13.44140625" style="15" customWidth="1"/>
    <col min="16108" max="16108" width="9.6640625" style="15"/>
    <col min="16109" max="16109" width="13.88671875" style="15" customWidth="1"/>
    <col min="16110" max="16110" width="10.6640625" style="15" customWidth="1"/>
    <col min="16111" max="16111" width="17.33203125" style="15" customWidth="1"/>
    <col min="16112" max="16113" width="12.6640625" style="15" customWidth="1"/>
    <col min="16114" max="16114" width="11.21875" style="15" customWidth="1"/>
    <col min="16115" max="16115" width="18.33203125" style="15" customWidth="1"/>
    <col min="16116" max="16116" width="12.88671875" style="15" customWidth="1"/>
    <col min="16117" max="16118" width="13.21875" style="15" customWidth="1"/>
    <col min="16119" max="16119" width="10.88671875" style="15" customWidth="1"/>
    <col min="16120" max="16120" width="11.109375" style="15" customWidth="1"/>
    <col min="16121" max="16121" width="15.21875" style="15" customWidth="1"/>
    <col min="16122" max="16122" width="9.6640625" style="15"/>
    <col min="16123" max="16123" width="11" style="15" customWidth="1"/>
    <col min="16124" max="16124" width="10.77734375" style="15" customWidth="1"/>
    <col min="16125" max="16125" width="11.44140625" style="15" customWidth="1"/>
    <col min="16126" max="16126" width="4" style="15" customWidth="1"/>
    <col min="16127" max="16384" width="9.6640625" style="15"/>
  </cols>
  <sheetData>
    <row r="1" spans="1:93" ht="13.2" x14ac:dyDescent="0.2">
      <c r="A1" s="14" t="s">
        <v>53</v>
      </c>
    </row>
    <row r="2" spans="1:93" x14ac:dyDescent="0.2">
      <c r="C2" s="17" t="s">
        <v>54</v>
      </c>
      <c r="BF2" s="17"/>
    </row>
    <row r="3" spans="1:93" s="16" customFormat="1" x14ac:dyDescent="0.2">
      <c r="A3" s="18"/>
      <c r="B3" s="19" t="s">
        <v>55</v>
      </c>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row>
    <row r="4" spans="1:93" s="16" customFormat="1" x14ac:dyDescent="0.2">
      <c r="A4" s="18"/>
      <c r="B4" s="21" t="s">
        <v>56</v>
      </c>
      <c r="C4" s="20" t="s">
        <v>236</v>
      </c>
      <c r="D4" s="20" t="s">
        <v>231</v>
      </c>
      <c r="E4" s="20" t="s">
        <v>236</v>
      </c>
      <c r="F4" s="20" t="s">
        <v>236</v>
      </c>
      <c r="G4" s="20" t="s">
        <v>236</v>
      </c>
      <c r="H4" s="20" t="s">
        <v>236</v>
      </c>
      <c r="I4" s="20" t="s">
        <v>226</v>
      </c>
      <c r="J4" s="20" t="s">
        <v>226</v>
      </c>
      <c r="K4" s="20" t="s">
        <v>233</v>
      </c>
      <c r="L4" s="20" t="s">
        <v>233</v>
      </c>
      <c r="M4" s="20" t="s">
        <v>233</v>
      </c>
      <c r="N4" s="20" t="s">
        <v>233</v>
      </c>
      <c r="O4" s="20" t="s">
        <v>236</v>
      </c>
      <c r="P4" s="20" t="s">
        <v>236</v>
      </c>
      <c r="Q4" s="20" t="s">
        <v>236</v>
      </c>
      <c r="R4" s="20" t="s">
        <v>236</v>
      </c>
      <c r="S4" s="20" t="s">
        <v>236</v>
      </c>
      <c r="T4" s="20" t="s">
        <v>236</v>
      </c>
      <c r="U4" s="20" t="s">
        <v>231</v>
      </c>
      <c r="V4" s="20" t="s">
        <v>235</v>
      </c>
      <c r="W4" s="20" t="s">
        <v>239</v>
      </c>
      <c r="X4" s="20" t="s">
        <v>235</v>
      </c>
      <c r="Y4" s="20" t="s">
        <v>241</v>
      </c>
      <c r="Z4" s="20" t="s">
        <v>236</v>
      </c>
      <c r="AA4" s="20" t="s">
        <v>235</v>
      </c>
      <c r="AB4" s="20" t="s">
        <v>235</v>
      </c>
      <c r="AC4" s="20" t="s">
        <v>236</v>
      </c>
      <c r="AD4" s="20" t="s">
        <v>225</v>
      </c>
      <c r="AE4" s="20" t="s">
        <v>225</v>
      </c>
      <c r="AF4" s="20" t="s">
        <v>225</v>
      </c>
      <c r="AG4" s="20" t="s">
        <v>224</v>
      </c>
      <c r="AH4" s="20" t="s">
        <v>231</v>
      </c>
      <c r="AI4" s="20" t="s">
        <v>226</v>
      </c>
      <c r="AJ4" s="20" t="s">
        <v>236</v>
      </c>
      <c r="AK4" s="20" t="s">
        <v>226</v>
      </c>
      <c r="AL4" s="20" t="s">
        <v>243</v>
      </c>
      <c r="AM4" s="20" t="s">
        <v>226</v>
      </c>
      <c r="AN4" s="20" t="s">
        <v>226</v>
      </c>
      <c r="AO4" s="20" t="s">
        <v>235</v>
      </c>
      <c r="AP4" s="20" t="s">
        <v>232</v>
      </c>
      <c r="AQ4" s="20" t="s">
        <v>311</v>
      </c>
      <c r="AR4" s="20" t="s">
        <v>231</v>
      </c>
      <c r="AS4" s="20" t="s">
        <v>226</v>
      </c>
      <c r="AT4" s="20" t="s">
        <v>226</v>
      </c>
      <c r="AU4" s="20" t="s">
        <v>236</v>
      </c>
      <c r="AV4" s="20" t="s">
        <v>235</v>
      </c>
      <c r="AW4" s="20" t="s">
        <v>236</v>
      </c>
      <c r="AX4" s="20" t="s">
        <v>236</v>
      </c>
      <c r="AY4" s="20" t="s">
        <v>236</v>
      </c>
      <c r="AZ4" s="20" t="s">
        <v>236</v>
      </c>
      <c r="BA4" s="20" t="s">
        <v>226</v>
      </c>
      <c r="BB4" s="20" t="s">
        <v>236</v>
      </c>
      <c r="BC4" s="20" t="s">
        <v>236</v>
      </c>
      <c r="BD4" s="20" t="s">
        <v>226</v>
      </c>
      <c r="BE4" s="20"/>
      <c r="BF4" s="20"/>
      <c r="BG4" s="20"/>
      <c r="BH4" s="20"/>
      <c r="BI4" s="20"/>
      <c r="BJ4" s="20"/>
      <c r="BK4" s="20"/>
      <c r="BL4" s="20"/>
      <c r="BM4" s="20"/>
      <c r="BN4" s="20"/>
      <c r="BO4" s="20"/>
      <c r="BP4" s="20"/>
      <c r="BQ4" s="20"/>
      <c r="BR4" s="20"/>
      <c r="BS4" s="20"/>
      <c r="BT4" s="20"/>
      <c r="BU4" s="20"/>
      <c r="BV4" s="20"/>
      <c r="BW4" s="20"/>
      <c r="BX4" s="20"/>
      <c r="BY4" s="20"/>
      <c r="BZ4" s="20"/>
      <c r="CA4" s="20"/>
      <c r="CB4" s="20"/>
    </row>
    <row r="5" spans="1:93" s="16" customFormat="1" x14ac:dyDescent="0.2">
      <c r="A5" s="18"/>
      <c r="B5" s="19" t="s">
        <v>57</v>
      </c>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c r="BT5" s="20"/>
      <c r="BU5" s="20"/>
      <c r="BV5" s="20"/>
      <c r="BW5" s="20"/>
      <c r="BX5" s="20"/>
      <c r="BY5" s="20"/>
      <c r="BZ5" s="20"/>
      <c r="CA5" s="20"/>
      <c r="CB5" s="20"/>
    </row>
    <row r="6" spans="1:93" s="32" customFormat="1" ht="20.399999999999999" x14ac:dyDescent="0.2">
      <c r="A6" s="31"/>
      <c r="B6" s="19" t="s">
        <v>58</v>
      </c>
      <c r="C6" s="23" t="s">
        <v>69</v>
      </c>
      <c r="D6" s="23" t="s">
        <v>179</v>
      </c>
      <c r="E6" s="23" t="s">
        <v>180</v>
      </c>
      <c r="F6" s="23" t="s">
        <v>181</v>
      </c>
      <c r="G6" s="23" t="s">
        <v>182</v>
      </c>
      <c r="H6" s="23" t="s">
        <v>182</v>
      </c>
      <c r="I6" s="23" t="s">
        <v>183</v>
      </c>
      <c r="J6" s="23" t="s">
        <v>184</v>
      </c>
      <c r="K6" s="23" t="s">
        <v>185</v>
      </c>
      <c r="L6" s="23" t="s">
        <v>186</v>
      </c>
      <c r="M6" s="23" t="s">
        <v>136</v>
      </c>
      <c r="N6" s="23" t="s">
        <v>187</v>
      </c>
      <c r="O6" s="23" t="s">
        <v>137</v>
      </c>
      <c r="P6" s="23" t="s">
        <v>61</v>
      </c>
      <c r="Q6" s="23" t="s">
        <v>188</v>
      </c>
      <c r="R6" s="23" t="s">
        <v>189</v>
      </c>
      <c r="S6" s="23" t="s">
        <v>138</v>
      </c>
      <c r="T6" s="23" t="s">
        <v>190</v>
      </c>
      <c r="U6" s="23" t="s">
        <v>139</v>
      </c>
      <c r="V6" s="23" t="s">
        <v>140</v>
      </c>
      <c r="W6" s="23" t="s">
        <v>141</v>
      </c>
      <c r="X6" s="23" t="s">
        <v>141</v>
      </c>
      <c r="Y6" s="23" t="s">
        <v>141</v>
      </c>
      <c r="Z6" s="23" t="s">
        <v>142</v>
      </c>
      <c r="AA6" s="23" t="s">
        <v>142</v>
      </c>
      <c r="AB6" s="23" t="s">
        <v>143</v>
      </c>
      <c r="AC6" s="23" t="s">
        <v>143</v>
      </c>
      <c r="AD6" s="23" t="s">
        <v>143</v>
      </c>
      <c r="AE6" s="23" t="s">
        <v>191</v>
      </c>
      <c r="AF6" s="23" t="s">
        <v>106</v>
      </c>
      <c r="AG6" s="23" t="s">
        <v>144</v>
      </c>
      <c r="AH6" s="23" t="s">
        <v>144</v>
      </c>
      <c r="AI6" s="23" t="s">
        <v>145</v>
      </c>
      <c r="AJ6" s="23" t="s">
        <v>146</v>
      </c>
      <c r="AK6" s="23" t="s">
        <v>147</v>
      </c>
      <c r="AL6" s="23" t="s">
        <v>147</v>
      </c>
      <c r="AM6" s="23" t="s">
        <v>148</v>
      </c>
      <c r="AN6" s="23" t="s">
        <v>149</v>
      </c>
      <c r="AO6" s="23" t="s">
        <v>150</v>
      </c>
      <c r="AP6" s="23" t="s">
        <v>150</v>
      </c>
      <c r="AQ6" s="23" t="s">
        <v>150</v>
      </c>
      <c r="AR6" s="23" t="s">
        <v>151</v>
      </c>
      <c r="AS6" s="23" t="s">
        <v>151</v>
      </c>
      <c r="AT6" s="23" t="s">
        <v>152</v>
      </c>
      <c r="AU6" s="23" t="s">
        <v>153</v>
      </c>
      <c r="AV6" s="23" t="s">
        <v>154</v>
      </c>
      <c r="AW6" s="23" t="s">
        <v>192</v>
      </c>
      <c r="AX6" s="23" t="s">
        <v>155</v>
      </c>
      <c r="AY6" s="23" t="s">
        <v>193</v>
      </c>
      <c r="AZ6" s="23" t="s">
        <v>70</v>
      </c>
      <c r="BA6" s="23" t="s">
        <v>156</v>
      </c>
      <c r="BB6" s="23" t="s">
        <v>157</v>
      </c>
      <c r="BC6" s="23" t="s">
        <v>158</v>
      </c>
      <c r="BD6" s="23" t="s">
        <v>159</v>
      </c>
      <c r="BE6" s="23"/>
      <c r="BF6" s="23"/>
      <c r="BG6" s="23"/>
      <c r="BH6" s="23"/>
      <c r="BI6" s="23"/>
      <c r="BJ6" s="23"/>
      <c r="BK6" s="23"/>
      <c r="BL6" s="23"/>
      <c r="BM6" s="23"/>
      <c r="BN6" s="23"/>
      <c r="BO6" s="23"/>
      <c r="BP6" s="23"/>
      <c r="BQ6" s="23"/>
      <c r="BR6" s="23"/>
      <c r="BS6" s="23"/>
      <c r="BT6" s="23"/>
      <c r="BU6" s="23"/>
      <c r="BV6" s="23"/>
      <c r="BW6" s="23"/>
      <c r="BX6" s="23"/>
      <c r="BY6" s="23"/>
      <c r="BZ6" s="23"/>
      <c r="CA6" s="23"/>
      <c r="CB6" s="23"/>
    </row>
    <row r="7" spans="1:93" x14ac:dyDescent="0.2">
      <c r="A7" s="25" t="s">
        <v>75</v>
      </c>
      <c r="B7" s="26"/>
    </row>
    <row r="8" spans="1:93" x14ac:dyDescent="0.2">
      <c r="A8" s="28">
        <v>1880</v>
      </c>
      <c r="B8" s="26"/>
      <c r="C8" s="29"/>
      <c r="D8" s="29"/>
      <c r="E8" s="29"/>
      <c r="F8" s="29"/>
      <c r="G8" s="29"/>
      <c r="H8" s="29"/>
      <c r="I8" s="29"/>
      <c r="J8" s="29"/>
      <c r="K8" s="29"/>
      <c r="L8" s="29"/>
      <c r="M8" s="29"/>
      <c r="N8" s="29"/>
      <c r="O8" s="29"/>
      <c r="P8" s="29"/>
      <c r="Q8" s="29"/>
      <c r="R8" s="29"/>
      <c r="S8" s="29">
        <v>40</v>
      </c>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row>
    <row r="9" spans="1:93" x14ac:dyDescent="0.2">
      <c r="A9" s="28">
        <v>1882</v>
      </c>
      <c r="B9" s="26"/>
      <c r="C9" s="29"/>
      <c r="D9" s="29"/>
      <c r="E9" s="29"/>
      <c r="F9" s="29"/>
      <c r="G9" s="29">
        <v>58.181818181818187</v>
      </c>
      <c r="H9" s="29"/>
      <c r="I9" s="29"/>
      <c r="J9" s="29">
        <v>47.332832456799402</v>
      </c>
      <c r="K9" s="29">
        <v>5.4545454545454543E-2</v>
      </c>
      <c r="L9" s="29">
        <v>6.3636363636363644E-2</v>
      </c>
      <c r="M9" s="29">
        <v>7.2727272727272724E-2</v>
      </c>
      <c r="N9" s="29"/>
      <c r="O9" s="29"/>
      <c r="P9" s="29"/>
      <c r="Q9" s="29">
        <v>12.72727272727273</v>
      </c>
      <c r="R9" s="29">
        <v>21.81818181818182</v>
      </c>
      <c r="S9" s="29">
        <v>18.181818181818183</v>
      </c>
      <c r="T9" s="29">
        <v>363.63636363636363</v>
      </c>
      <c r="U9" s="29"/>
      <c r="V9" s="29"/>
      <c r="W9" s="29">
        <v>9.0909090909090899</v>
      </c>
      <c r="X9" s="29"/>
      <c r="Y9" s="29"/>
      <c r="Z9" s="29"/>
      <c r="AA9" s="29"/>
      <c r="AB9" s="29"/>
      <c r="AC9" s="29"/>
      <c r="AD9" s="29"/>
      <c r="AE9" s="29"/>
      <c r="AF9" s="29">
        <v>6.363636363636363E-2</v>
      </c>
      <c r="AG9" s="29"/>
      <c r="AH9" s="29"/>
      <c r="AI9" s="29">
        <v>1.7272727272727271</v>
      </c>
      <c r="AJ9" s="29"/>
      <c r="AK9" s="29"/>
      <c r="AL9" s="29"/>
      <c r="AM9" s="29"/>
      <c r="AN9" s="29"/>
      <c r="AO9" s="29">
        <v>1.0861244019138756E-2</v>
      </c>
      <c r="AP9" s="29"/>
      <c r="AQ9" s="29"/>
      <c r="AR9" s="29"/>
      <c r="AS9" s="29"/>
      <c r="AT9" s="29">
        <v>2.290909090909091</v>
      </c>
      <c r="AU9" s="29"/>
      <c r="AV9" s="29"/>
      <c r="AW9" s="29"/>
      <c r="AX9" s="29"/>
      <c r="AY9" s="29"/>
      <c r="AZ9" s="29"/>
      <c r="BA9" s="29"/>
      <c r="BB9" s="29"/>
      <c r="BC9" s="29">
        <v>21.724956104577082</v>
      </c>
      <c r="BD9" s="29">
        <v>2.6727272727272724</v>
      </c>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row>
    <row r="10" spans="1:93" x14ac:dyDescent="0.2">
      <c r="A10" s="28">
        <v>1884</v>
      </c>
      <c r="B10" s="27"/>
      <c r="C10" s="29">
        <v>7.5720067214162308</v>
      </c>
      <c r="D10" s="29">
        <v>24.644549763033176</v>
      </c>
      <c r="E10" s="29">
        <v>56.354273944387231</v>
      </c>
      <c r="F10" s="29">
        <v>40.249128051818637</v>
      </c>
      <c r="G10" s="29"/>
      <c r="H10" s="29"/>
      <c r="I10" s="29"/>
      <c r="J10" s="29"/>
      <c r="K10" s="29"/>
      <c r="L10" s="29"/>
      <c r="M10" s="29"/>
      <c r="N10" s="29"/>
      <c r="O10" s="29"/>
      <c r="P10" s="29"/>
      <c r="Q10" s="29"/>
      <c r="R10" s="29"/>
      <c r="S10" s="29"/>
      <c r="T10" s="29"/>
      <c r="U10" s="29"/>
      <c r="V10" s="29"/>
      <c r="W10" s="29"/>
      <c r="X10" s="29">
        <v>2.4736842105263159</v>
      </c>
      <c r="Y10" s="29"/>
      <c r="Z10" s="29"/>
      <c r="AA10" s="29">
        <v>0.60552268244575935</v>
      </c>
      <c r="AB10" s="29">
        <v>2.5391791044776117</v>
      </c>
      <c r="AC10" s="29"/>
      <c r="AD10" s="29"/>
      <c r="AE10" s="29"/>
      <c r="AF10" s="29"/>
      <c r="AG10" s="29"/>
      <c r="AH10" s="29"/>
      <c r="AI10" s="29"/>
      <c r="AJ10" s="29"/>
      <c r="AK10" s="29"/>
      <c r="AL10" s="29"/>
      <c r="AM10" s="29"/>
      <c r="AN10" s="29"/>
      <c r="AO10" s="29"/>
      <c r="AP10" s="29"/>
      <c r="AQ10" s="29"/>
      <c r="AR10" s="29">
        <v>3.4375</v>
      </c>
      <c r="AS10" s="29"/>
      <c r="AT10" s="29"/>
      <c r="AU10" s="29"/>
      <c r="AV10" s="29">
        <v>13.511543134872419</v>
      </c>
      <c r="AW10" s="29">
        <v>8.3123050500000009</v>
      </c>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row>
    <row r="11" spans="1:93" x14ac:dyDescent="0.2">
      <c r="A11" s="28">
        <v>1885</v>
      </c>
      <c r="B11" s="27"/>
      <c r="C11" s="29">
        <v>10.914065788682423</v>
      </c>
      <c r="D11" s="29">
        <v>36.411678115799802</v>
      </c>
      <c r="E11" s="29">
        <v>46.650793650793645</v>
      </c>
      <c r="F11" s="29">
        <v>43.633366303989455</v>
      </c>
      <c r="G11" s="29"/>
      <c r="H11" s="29"/>
      <c r="I11" s="29"/>
      <c r="J11" s="29"/>
      <c r="K11" s="29"/>
      <c r="L11" s="29"/>
      <c r="M11" s="29"/>
      <c r="N11" s="29"/>
      <c r="O11" s="29"/>
      <c r="P11" s="29"/>
      <c r="Q11" s="29"/>
      <c r="R11" s="29"/>
      <c r="S11" s="29"/>
      <c r="T11" s="29">
        <v>20.904928716904276</v>
      </c>
      <c r="U11" s="29"/>
      <c r="V11" s="29"/>
      <c r="W11" s="29"/>
      <c r="X11" s="29"/>
      <c r="Y11" s="29">
        <v>2.7482758620689656</v>
      </c>
      <c r="Z11" s="29"/>
      <c r="AA11" s="29">
        <v>1.8002232142857142</v>
      </c>
      <c r="AB11" s="29"/>
      <c r="AC11" s="29">
        <v>5.1487603305785123</v>
      </c>
      <c r="AD11" s="29"/>
      <c r="AE11" s="29"/>
      <c r="AF11" s="29"/>
      <c r="AG11" s="29"/>
      <c r="AH11" s="29">
        <v>0.72723160434258138</v>
      </c>
      <c r="AI11" s="29">
        <v>2.9465362798696135E-2</v>
      </c>
      <c r="AJ11" s="29"/>
      <c r="AK11" s="29"/>
      <c r="AL11" s="29"/>
      <c r="AM11" s="29"/>
      <c r="AN11" s="29"/>
      <c r="AO11" s="29"/>
      <c r="AP11" s="29"/>
      <c r="AQ11" s="29"/>
      <c r="AR11" s="29">
        <v>5.4508474576271189</v>
      </c>
      <c r="AS11" s="29"/>
      <c r="AT11" s="29"/>
      <c r="AU11" s="29"/>
      <c r="AV11" s="29">
        <v>4.0903342366756998</v>
      </c>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row>
    <row r="12" spans="1:93" x14ac:dyDescent="0.2">
      <c r="A12" s="28">
        <v>1886</v>
      </c>
      <c r="B12" s="27"/>
      <c r="C12" s="29">
        <v>8.795908879590888</v>
      </c>
      <c r="D12" s="29">
        <v>25.105945462673223</v>
      </c>
      <c r="E12" s="29">
        <v>34.476987447698747</v>
      </c>
      <c r="F12" s="29">
        <v>59.054758800521512</v>
      </c>
      <c r="G12" s="29"/>
      <c r="H12" s="29"/>
      <c r="I12" s="29"/>
      <c r="J12" s="29"/>
      <c r="K12" s="29"/>
      <c r="L12" s="29"/>
      <c r="M12" s="29"/>
      <c r="N12" s="29"/>
      <c r="O12" s="29"/>
      <c r="P12" s="29"/>
      <c r="Q12" s="29"/>
      <c r="R12" s="29"/>
      <c r="S12" s="29"/>
      <c r="T12" s="29">
        <v>42.953771876885938</v>
      </c>
      <c r="U12" s="29"/>
      <c r="V12" s="29">
        <v>15.209016393442623</v>
      </c>
      <c r="W12" s="29"/>
      <c r="X12" s="29"/>
      <c r="Y12" s="29">
        <v>1.5609220636663008</v>
      </c>
      <c r="Z12" s="29"/>
      <c r="AA12" s="29">
        <v>2.078846153846154</v>
      </c>
      <c r="AB12" s="29"/>
      <c r="AC12" s="29">
        <v>3.822878228782288</v>
      </c>
      <c r="AD12" s="29"/>
      <c r="AE12" s="29"/>
      <c r="AF12" s="29"/>
      <c r="AG12" s="29"/>
      <c r="AH12" s="29">
        <v>0.64989964877069739</v>
      </c>
      <c r="AI12" s="29">
        <v>4.1542461241101447E-2</v>
      </c>
      <c r="AJ12" s="29"/>
      <c r="AK12" s="29"/>
      <c r="AL12" s="29">
        <v>0.18182053382777802</v>
      </c>
      <c r="AM12" s="29"/>
      <c r="AN12" s="29"/>
      <c r="AO12" s="29"/>
      <c r="AP12" s="29"/>
      <c r="AQ12" s="29"/>
      <c r="AR12" s="29">
        <v>4.1139471285323612</v>
      </c>
      <c r="AS12" s="29"/>
      <c r="AT12" s="29"/>
      <c r="AU12" s="29"/>
      <c r="AV12" s="29">
        <v>2.628500823723229</v>
      </c>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row>
    <row r="13" spans="1:93" x14ac:dyDescent="0.2">
      <c r="A13" s="28">
        <v>1887</v>
      </c>
      <c r="C13" s="29">
        <v>8.7999012989759766</v>
      </c>
      <c r="D13" s="29">
        <v>50</v>
      </c>
      <c r="E13" s="29">
        <v>40.585585585585591</v>
      </c>
      <c r="F13" s="29">
        <v>30.408967315909219</v>
      </c>
      <c r="G13" s="29"/>
      <c r="H13" s="29"/>
      <c r="I13" s="29"/>
      <c r="J13" s="29"/>
      <c r="K13" s="29"/>
      <c r="L13" s="29"/>
      <c r="M13" s="29"/>
      <c r="N13" s="29"/>
      <c r="O13" s="29"/>
      <c r="P13" s="29"/>
      <c r="Q13" s="29"/>
      <c r="R13" s="29"/>
      <c r="S13" s="29"/>
      <c r="T13" s="29">
        <v>45.875098814229247</v>
      </c>
      <c r="U13" s="29"/>
      <c r="V13" s="29">
        <v>18.039344262295081</v>
      </c>
      <c r="W13" s="29"/>
      <c r="X13" s="29"/>
      <c r="Y13" s="29">
        <v>2.6040061633281972</v>
      </c>
      <c r="Z13" s="29"/>
      <c r="AA13" s="29">
        <v>1.7861163227016885</v>
      </c>
      <c r="AB13" s="29"/>
      <c r="AC13" s="29">
        <v>4.0804020100502516</v>
      </c>
      <c r="AD13" s="29"/>
      <c r="AE13" s="29"/>
      <c r="AF13" s="29"/>
      <c r="AG13" s="29"/>
      <c r="AH13" s="29">
        <v>0.39481344270971158</v>
      </c>
      <c r="AI13" s="29">
        <v>4.6443268665490894E-2</v>
      </c>
      <c r="AJ13" s="29"/>
      <c r="AK13" s="29"/>
      <c r="AL13" s="29">
        <v>0.18181641337386018</v>
      </c>
      <c r="AM13" s="29"/>
      <c r="AN13" s="29"/>
      <c r="AO13" s="29"/>
      <c r="AP13" s="29"/>
      <c r="AQ13" s="29"/>
      <c r="AR13" s="29">
        <v>4.5047021943573666</v>
      </c>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row>
    <row r="14" spans="1:93" x14ac:dyDescent="0.2">
      <c r="A14" s="28">
        <v>1888</v>
      </c>
      <c r="C14" s="29">
        <v>8.182845071662241</v>
      </c>
      <c r="D14" s="29">
        <v>50.018644067796608</v>
      </c>
      <c r="E14" s="29">
        <v>34.764150943396231</v>
      </c>
      <c r="F14" s="29">
        <v>33.478369592398096</v>
      </c>
      <c r="G14" s="29"/>
      <c r="H14" s="29"/>
      <c r="I14" s="29"/>
      <c r="J14" s="29"/>
      <c r="K14" s="29"/>
      <c r="L14" s="29"/>
      <c r="M14" s="29"/>
      <c r="N14" s="29"/>
      <c r="O14" s="29"/>
      <c r="P14" s="29"/>
      <c r="Q14" s="29"/>
      <c r="R14" s="29"/>
      <c r="S14" s="29"/>
      <c r="T14" s="29">
        <v>37.867455121436109</v>
      </c>
      <c r="U14" s="29"/>
      <c r="V14" s="29">
        <v>16.243010752688171</v>
      </c>
      <c r="W14" s="29"/>
      <c r="X14" s="29"/>
      <c r="Y14" s="29">
        <v>0.35879218472468916</v>
      </c>
      <c r="Z14" s="29"/>
      <c r="AA14" s="29">
        <v>1.2013487475915221</v>
      </c>
      <c r="AB14" s="29"/>
      <c r="AC14" s="29">
        <v>2.6302895322939865</v>
      </c>
      <c r="AD14" s="29"/>
      <c r="AE14" s="29"/>
      <c r="AF14" s="29"/>
      <c r="AG14" s="29"/>
      <c r="AH14" s="29">
        <v>0.30282485875706217</v>
      </c>
      <c r="AI14" s="29">
        <v>0.17272990597869059</v>
      </c>
      <c r="AJ14" s="29"/>
      <c r="AK14" s="29"/>
      <c r="AL14" s="29">
        <v>0.18</v>
      </c>
      <c r="AM14" s="29"/>
      <c r="AN14" s="29"/>
      <c r="AO14" s="29"/>
      <c r="AP14" s="29"/>
      <c r="AQ14" s="29"/>
      <c r="AR14" s="29">
        <v>5.5759999999999996</v>
      </c>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row>
    <row r="15" spans="1:93" x14ac:dyDescent="0.2">
      <c r="A15" s="28">
        <v>1889</v>
      </c>
      <c r="C15" s="29">
        <v>6.4749016186185653</v>
      </c>
      <c r="D15" s="29">
        <v>47.142857142857146</v>
      </c>
      <c r="E15" s="29">
        <v>35.964912280701746</v>
      </c>
      <c r="F15" s="29">
        <v>23.586206896551722</v>
      </c>
      <c r="G15" s="29"/>
      <c r="H15" s="29"/>
      <c r="I15" s="29"/>
      <c r="J15" s="29"/>
      <c r="K15" s="29"/>
      <c r="L15" s="29"/>
      <c r="M15" s="29"/>
      <c r="N15" s="29"/>
      <c r="O15" s="29"/>
      <c r="P15" s="29"/>
      <c r="Q15" s="29"/>
      <c r="R15" s="29"/>
      <c r="S15" s="29"/>
      <c r="T15" s="29">
        <v>22.100786484124672</v>
      </c>
      <c r="U15" s="29"/>
      <c r="V15" s="29"/>
      <c r="W15" s="29"/>
      <c r="X15" s="29"/>
      <c r="Y15" s="29">
        <v>0.61777535441657583</v>
      </c>
      <c r="Z15" s="29"/>
      <c r="AA15" s="29">
        <v>0.71474820143884887</v>
      </c>
      <c r="AB15" s="29"/>
      <c r="AC15" s="29"/>
      <c r="AD15" s="29"/>
      <c r="AE15" s="29"/>
      <c r="AF15" s="29"/>
      <c r="AG15" s="29"/>
      <c r="AH15" s="29">
        <v>0.25139442231075698</v>
      </c>
      <c r="AI15" s="29">
        <v>0.11977624218492924</v>
      </c>
      <c r="AJ15" s="29"/>
      <c r="AK15" s="29"/>
      <c r="AL15" s="29">
        <v>0.15499727637504698</v>
      </c>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c r="CO15" s="29"/>
    </row>
    <row r="16" spans="1:93" x14ac:dyDescent="0.2">
      <c r="A16" s="28">
        <v>1890</v>
      </c>
      <c r="C16" s="29">
        <v>7.5958776820408858</v>
      </c>
      <c r="D16" s="29"/>
      <c r="E16" s="29"/>
      <c r="F16" s="29"/>
      <c r="G16" s="29">
        <v>51.862068965517238</v>
      </c>
      <c r="H16" s="29"/>
      <c r="I16" s="29">
        <v>27.819176470588236</v>
      </c>
      <c r="J16" s="29"/>
      <c r="K16" s="29"/>
      <c r="L16" s="29"/>
      <c r="M16" s="29"/>
      <c r="N16" s="29"/>
      <c r="O16" s="29"/>
      <c r="P16" s="29"/>
      <c r="Q16" s="29">
        <v>14.356681569796324</v>
      </c>
      <c r="R16" s="29">
        <v>40.64</v>
      </c>
      <c r="S16" s="29">
        <v>15.786666666666667</v>
      </c>
      <c r="T16" s="29">
        <v>20.143769968051117</v>
      </c>
      <c r="U16" s="29">
        <v>11.4</v>
      </c>
      <c r="V16" s="29">
        <v>30.416666666666668</v>
      </c>
      <c r="W16" s="29"/>
      <c r="X16" s="29"/>
      <c r="Y16" s="29"/>
      <c r="Z16" s="29"/>
      <c r="AA16" s="29"/>
      <c r="AB16" s="29"/>
      <c r="AC16" s="29"/>
      <c r="AD16" s="29"/>
      <c r="AE16" s="29"/>
      <c r="AF16" s="29"/>
      <c r="AG16" s="29"/>
      <c r="AH16" s="29"/>
      <c r="AI16" s="29"/>
      <c r="AJ16" s="29"/>
      <c r="AK16" s="29"/>
      <c r="AL16" s="29"/>
      <c r="AM16" s="29">
        <v>0.64</v>
      </c>
      <c r="AN16" s="29">
        <v>0.6</v>
      </c>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row>
    <row r="17" spans="1:93" x14ac:dyDescent="0.2">
      <c r="A17" s="28">
        <v>1891</v>
      </c>
      <c r="C17" s="29">
        <v>8.6335999999999995</v>
      </c>
      <c r="D17" s="29"/>
      <c r="E17" s="29"/>
      <c r="F17" s="29"/>
      <c r="G17" s="29">
        <v>41.29032258064516</v>
      </c>
      <c r="H17" s="29"/>
      <c r="I17" s="29">
        <v>26.488888888888891</v>
      </c>
      <c r="J17" s="29"/>
      <c r="K17" s="29"/>
      <c r="L17" s="29"/>
      <c r="M17" s="29"/>
      <c r="N17" s="29"/>
      <c r="O17" s="29"/>
      <c r="P17" s="29"/>
      <c r="Q17" s="29">
        <v>11.636363636363637</v>
      </c>
      <c r="R17" s="29">
        <v>43.2</v>
      </c>
      <c r="S17" s="29">
        <v>16</v>
      </c>
      <c r="T17" s="29">
        <v>26.971428571428572</v>
      </c>
      <c r="U17" s="29">
        <v>11.428571428571429</v>
      </c>
      <c r="V17" s="29">
        <v>29.866666666666667</v>
      </c>
      <c r="W17" s="29"/>
      <c r="X17" s="29"/>
      <c r="Y17" s="29"/>
      <c r="Z17" s="29"/>
      <c r="AA17" s="29"/>
      <c r="AB17" s="29"/>
      <c r="AC17" s="29"/>
      <c r="AD17" s="29"/>
      <c r="AE17" s="29"/>
      <c r="AF17" s="29"/>
      <c r="AG17" s="29">
        <v>4.7619047619047619</v>
      </c>
      <c r="AH17" s="29">
        <v>4.7619047619047619</v>
      </c>
      <c r="AI17" s="29"/>
      <c r="AJ17" s="29"/>
      <c r="AK17" s="29"/>
      <c r="AL17" s="29"/>
      <c r="AM17" s="29">
        <v>0.6</v>
      </c>
      <c r="AN17" s="29">
        <v>0.6</v>
      </c>
      <c r="AO17" s="29"/>
      <c r="AP17" s="29">
        <v>8.5</v>
      </c>
      <c r="AQ17" s="29"/>
      <c r="AR17" s="29"/>
      <c r="AS17" s="29">
        <v>1.28</v>
      </c>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9"/>
      <c r="CI17" s="29"/>
      <c r="CJ17" s="29"/>
      <c r="CK17" s="29"/>
      <c r="CL17" s="29"/>
      <c r="CM17" s="29"/>
      <c r="CN17" s="29"/>
      <c r="CO17" s="29"/>
    </row>
    <row r="18" spans="1:93" x14ac:dyDescent="0.2">
      <c r="A18" s="28">
        <v>1892</v>
      </c>
      <c r="C18" s="29">
        <v>7.4666666666666668</v>
      </c>
      <c r="D18" s="29"/>
      <c r="E18" s="29"/>
      <c r="F18" s="29"/>
      <c r="G18" s="29">
        <v>42.209523809523816</v>
      </c>
      <c r="H18" s="29"/>
      <c r="I18" s="29"/>
      <c r="J18" s="29"/>
      <c r="K18" s="29"/>
      <c r="L18" s="29"/>
      <c r="M18" s="29"/>
      <c r="N18" s="29"/>
      <c r="O18" s="29"/>
      <c r="P18" s="29"/>
      <c r="Q18" s="29">
        <v>8</v>
      </c>
      <c r="R18" s="29">
        <v>21.805555555555554</v>
      </c>
      <c r="S18" s="29">
        <v>11.52</v>
      </c>
      <c r="T18" s="29">
        <v>16</v>
      </c>
      <c r="U18" s="29">
        <v>11.25</v>
      </c>
      <c r="V18" s="29">
        <v>27.659574468085108</v>
      </c>
      <c r="W18" s="29"/>
      <c r="X18" s="29"/>
      <c r="Y18" s="29"/>
      <c r="Z18" s="29"/>
      <c r="AA18" s="29"/>
      <c r="AB18" s="29"/>
      <c r="AC18" s="29"/>
      <c r="AD18" s="29"/>
      <c r="AE18" s="29"/>
      <c r="AF18" s="29"/>
      <c r="AG18" s="29">
        <v>7.3599999999999994</v>
      </c>
      <c r="AH18" s="29">
        <v>7.3599999999999994</v>
      </c>
      <c r="AI18" s="29"/>
      <c r="AJ18" s="29"/>
      <c r="AK18" s="29"/>
      <c r="AL18" s="29"/>
      <c r="AM18" s="29">
        <v>0.64</v>
      </c>
      <c r="AN18" s="29">
        <v>0.64</v>
      </c>
      <c r="AO18" s="29"/>
      <c r="AP18" s="29">
        <v>9.454545454545455</v>
      </c>
      <c r="AQ18" s="29"/>
      <c r="AR18" s="29"/>
      <c r="AS18" s="29">
        <v>1.3511111111111112</v>
      </c>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29"/>
      <c r="CC18" s="29"/>
      <c r="CD18" s="29"/>
      <c r="CE18" s="29"/>
      <c r="CF18" s="29"/>
      <c r="CG18" s="29"/>
      <c r="CH18" s="29"/>
      <c r="CI18" s="29"/>
      <c r="CJ18" s="29"/>
      <c r="CK18" s="29"/>
      <c r="CL18" s="29"/>
      <c r="CM18" s="29"/>
      <c r="CN18" s="29"/>
      <c r="CO18" s="29"/>
    </row>
    <row r="19" spans="1:93" x14ac:dyDescent="0.2">
      <c r="A19" s="28">
        <v>1893</v>
      </c>
      <c r="C19" s="29">
        <v>5.76</v>
      </c>
      <c r="D19" s="29"/>
      <c r="E19" s="29"/>
      <c r="F19" s="29"/>
      <c r="G19" s="29">
        <v>30.715151515151515</v>
      </c>
      <c r="H19" s="29"/>
      <c r="I19" s="29"/>
      <c r="J19" s="29"/>
      <c r="K19" s="29"/>
      <c r="L19" s="29"/>
      <c r="M19" s="29"/>
      <c r="N19" s="29"/>
      <c r="O19" s="29"/>
      <c r="P19" s="29"/>
      <c r="Q19" s="29">
        <v>8.8888888888888893</v>
      </c>
      <c r="R19" s="29">
        <v>29.6</v>
      </c>
      <c r="S19" s="29">
        <v>7.14</v>
      </c>
      <c r="T19" s="29">
        <v>22.758620689655174</v>
      </c>
      <c r="U19" s="29"/>
      <c r="V19" s="29"/>
      <c r="W19" s="29"/>
      <c r="X19" s="29"/>
      <c r="Y19" s="29"/>
      <c r="Z19" s="29"/>
      <c r="AA19" s="29"/>
      <c r="AB19" s="29"/>
      <c r="AC19" s="29"/>
      <c r="AD19" s="29"/>
      <c r="AE19" s="29"/>
      <c r="AF19" s="29"/>
      <c r="AG19" s="29">
        <v>7.3076923076923075</v>
      </c>
      <c r="AH19" s="29">
        <v>7.3076923076923075</v>
      </c>
      <c r="AI19" s="29"/>
      <c r="AJ19" s="29"/>
      <c r="AK19" s="29">
        <v>0.28000000000000003</v>
      </c>
      <c r="AL19" s="29"/>
      <c r="AM19" s="29">
        <v>0.52</v>
      </c>
      <c r="AN19" s="29">
        <v>0.68</v>
      </c>
      <c r="AO19" s="29"/>
      <c r="AP19" s="29">
        <v>16</v>
      </c>
      <c r="AQ19" s="29"/>
      <c r="AR19" s="29"/>
      <c r="AS19" s="29">
        <v>1.28</v>
      </c>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c r="CO19" s="29"/>
    </row>
    <row r="20" spans="1:93" x14ac:dyDescent="0.2">
      <c r="A20" s="28">
        <v>1894</v>
      </c>
      <c r="C20" s="29">
        <v>4.8</v>
      </c>
      <c r="D20" s="29"/>
      <c r="E20" s="29"/>
      <c r="F20" s="29"/>
      <c r="G20" s="29">
        <v>25.716049382716051</v>
      </c>
      <c r="H20" s="29"/>
      <c r="I20" s="29"/>
      <c r="J20" s="29"/>
      <c r="K20" s="29"/>
      <c r="L20" s="29"/>
      <c r="M20" s="29"/>
      <c r="N20" s="29"/>
      <c r="O20" s="29"/>
      <c r="P20" s="29"/>
      <c r="Q20" s="29">
        <v>6.4</v>
      </c>
      <c r="R20" s="29">
        <v>12.8</v>
      </c>
      <c r="S20" s="29">
        <v>5.333333333333333</v>
      </c>
      <c r="T20" s="29">
        <v>18.666666666666668</v>
      </c>
      <c r="U20" s="29"/>
      <c r="V20" s="29"/>
      <c r="W20" s="29"/>
      <c r="X20" s="29"/>
      <c r="Y20" s="29"/>
      <c r="Z20" s="29"/>
      <c r="AA20" s="29"/>
      <c r="AB20" s="29"/>
      <c r="AC20" s="29"/>
      <c r="AD20" s="29"/>
      <c r="AE20" s="29"/>
      <c r="AF20" s="29"/>
      <c r="AG20" s="29"/>
      <c r="AH20" s="29"/>
      <c r="AI20" s="29"/>
      <c r="AJ20" s="29"/>
      <c r="AK20" s="29">
        <v>0.16</v>
      </c>
      <c r="AL20" s="29"/>
      <c r="AM20" s="29">
        <v>0.56000000000000005</v>
      </c>
      <c r="AN20" s="29">
        <v>0.5</v>
      </c>
      <c r="AO20" s="29"/>
      <c r="AP20" s="29">
        <v>14.5</v>
      </c>
      <c r="AQ20" s="29"/>
      <c r="AR20" s="29"/>
      <c r="AS20" s="29">
        <v>1.3333333333333333</v>
      </c>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29"/>
      <c r="CC20" s="29"/>
      <c r="CD20" s="29"/>
      <c r="CE20" s="29"/>
      <c r="CF20" s="29"/>
      <c r="CG20" s="29"/>
      <c r="CH20" s="29"/>
      <c r="CI20" s="29"/>
      <c r="CJ20" s="29"/>
      <c r="CK20" s="29"/>
      <c r="CL20" s="29"/>
      <c r="CM20" s="29"/>
      <c r="CN20" s="29"/>
      <c r="CO20" s="29"/>
    </row>
    <row r="21" spans="1:93" x14ac:dyDescent="0.2">
      <c r="A21" s="28">
        <v>1898</v>
      </c>
      <c r="C21" s="29"/>
      <c r="D21" s="29"/>
      <c r="E21" s="29"/>
      <c r="F21" s="29"/>
      <c r="G21" s="29">
        <v>50</v>
      </c>
      <c r="H21" s="29"/>
      <c r="I21" s="29"/>
      <c r="J21" s="29"/>
      <c r="K21" s="29"/>
      <c r="L21" s="29"/>
      <c r="M21" s="29"/>
      <c r="N21" s="29"/>
      <c r="O21" s="29"/>
      <c r="P21" s="29">
        <v>6.2326099053978847</v>
      </c>
      <c r="Q21" s="29">
        <v>16</v>
      </c>
      <c r="R21" s="29">
        <v>325.79185520361989</v>
      </c>
      <c r="S21" s="29"/>
      <c r="T21" s="29">
        <v>30.4</v>
      </c>
      <c r="U21" s="29"/>
      <c r="V21" s="29"/>
      <c r="W21" s="29"/>
      <c r="X21" s="29"/>
      <c r="Y21" s="29"/>
      <c r="Z21" s="29">
        <v>16.8</v>
      </c>
      <c r="AA21" s="29"/>
      <c r="AB21" s="29"/>
      <c r="AC21" s="29"/>
      <c r="AD21" s="29"/>
      <c r="AE21" s="29">
        <v>0.08</v>
      </c>
      <c r="AF21" s="29"/>
      <c r="AG21" s="29">
        <v>3.6794195250659629</v>
      </c>
      <c r="AH21" s="29">
        <v>3.6794195250659629</v>
      </c>
      <c r="AI21" s="29"/>
      <c r="AJ21" s="29">
        <v>0.7994505494505495</v>
      </c>
      <c r="AK21" s="29"/>
      <c r="AL21" s="29"/>
      <c r="AM21" s="29"/>
      <c r="AN21" s="29"/>
      <c r="AO21" s="29"/>
      <c r="AP21" s="29"/>
      <c r="AQ21" s="29"/>
      <c r="AR21" s="29"/>
      <c r="AS21" s="29">
        <v>1.28</v>
      </c>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c r="BT21" s="29"/>
      <c r="BU21" s="29"/>
      <c r="BV21" s="29"/>
      <c r="BW21" s="29"/>
      <c r="BX21" s="29"/>
      <c r="BY21" s="29"/>
      <c r="BZ21" s="29"/>
      <c r="CA21" s="29"/>
      <c r="CB21" s="29"/>
      <c r="CC21" s="29"/>
      <c r="CD21" s="29"/>
      <c r="CE21" s="29"/>
      <c r="CF21" s="29"/>
      <c r="CG21" s="29"/>
      <c r="CH21" s="29"/>
      <c r="CI21" s="29"/>
      <c r="CJ21" s="29"/>
      <c r="CK21" s="29"/>
      <c r="CL21" s="29"/>
      <c r="CM21" s="29"/>
      <c r="CN21" s="29"/>
      <c r="CO21" s="29"/>
    </row>
    <row r="22" spans="1:93" x14ac:dyDescent="0.2">
      <c r="A22" s="28">
        <v>1901</v>
      </c>
      <c r="C22" s="29"/>
      <c r="D22" s="29"/>
      <c r="E22" s="29"/>
      <c r="F22" s="29"/>
      <c r="G22" s="29">
        <v>26.666666666666668</v>
      </c>
      <c r="H22" s="29"/>
      <c r="I22" s="29"/>
      <c r="J22" s="29"/>
      <c r="K22" s="29"/>
      <c r="L22" s="29"/>
      <c r="M22" s="29"/>
      <c r="N22" s="29"/>
      <c r="O22" s="29">
        <v>8.3333333333333339</v>
      </c>
      <c r="P22" s="29">
        <v>2.3347533536193374</v>
      </c>
      <c r="Q22" s="29">
        <v>19.512195121951219</v>
      </c>
      <c r="R22" s="29">
        <v>38.834951456310677</v>
      </c>
      <c r="S22" s="29">
        <v>11.152416356877323</v>
      </c>
      <c r="T22" s="29">
        <v>18.120045300113251</v>
      </c>
      <c r="U22" s="29"/>
      <c r="V22" s="29"/>
      <c r="W22" s="29"/>
      <c r="X22" s="29"/>
      <c r="Y22" s="29"/>
      <c r="Z22" s="29">
        <v>18.126888217522659</v>
      </c>
      <c r="AA22" s="29"/>
      <c r="AB22" s="29"/>
      <c r="AC22" s="29"/>
      <c r="AD22" s="29">
        <v>2.1025641025641026</v>
      </c>
      <c r="AE22" s="29"/>
      <c r="AF22" s="29">
        <v>6.8379690268895912E-2</v>
      </c>
      <c r="AG22" s="29">
        <v>3.75</v>
      </c>
      <c r="AH22" s="29">
        <v>3.75</v>
      </c>
      <c r="AI22" s="29"/>
      <c r="AJ22" s="29">
        <v>0.66666666666666663</v>
      </c>
      <c r="AK22" s="29"/>
      <c r="AL22" s="29"/>
      <c r="AM22" s="29"/>
      <c r="AN22" s="29"/>
      <c r="AO22" s="29"/>
      <c r="AP22" s="29"/>
      <c r="AQ22" s="29">
        <v>7.9427246522120569E-3</v>
      </c>
      <c r="AR22" s="29"/>
      <c r="AS22" s="29"/>
      <c r="AT22" s="29">
        <v>1.3937282229965158</v>
      </c>
      <c r="AU22" s="29"/>
      <c r="AV22" s="29"/>
      <c r="AW22" s="29"/>
      <c r="AX22" s="29"/>
      <c r="AY22" s="29"/>
      <c r="AZ22" s="29"/>
      <c r="BA22" s="29"/>
      <c r="BB22" s="29"/>
      <c r="BC22" s="29"/>
      <c r="BD22" s="29"/>
      <c r="BE22" s="29"/>
      <c r="BF22" s="29"/>
      <c r="BG22" s="29"/>
      <c r="BH22" s="29"/>
      <c r="BI22" s="29"/>
      <c r="BJ22" s="29"/>
      <c r="BK22" s="29"/>
      <c r="BL22" s="29"/>
      <c r="BM22" s="29"/>
      <c r="BN22" s="29"/>
      <c r="BO22" s="29"/>
      <c r="BP22" s="29"/>
      <c r="BQ22" s="29"/>
      <c r="BR22" s="29"/>
      <c r="BS22" s="29"/>
      <c r="BT22" s="29"/>
      <c r="BU22" s="29"/>
      <c r="BV22" s="29"/>
      <c r="BW22" s="29"/>
      <c r="BX22" s="29"/>
      <c r="BY22" s="29"/>
      <c r="BZ22" s="29"/>
      <c r="CA22" s="29"/>
      <c r="CB22" s="29"/>
      <c r="CC22" s="29"/>
      <c r="CD22" s="29"/>
      <c r="CE22" s="29"/>
      <c r="CF22" s="29"/>
      <c r="CG22" s="29"/>
      <c r="CH22" s="29"/>
      <c r="CI22" s="29"/>
      <c r="CJ22" s="29"/>
      <c r="CK22" s="29"/>
      <c r="CL22" s="29"/>
      <c r="CM22" s="29"/>
      <c r="CN22" s="29"/>
      <c r="CO22" s="29"/>
    </row>
    <row r="23" spans="1:93" x14ac:dyDescent="0.2">
      <c r="A23" s="28">
        <v>1902</v>
      </c>
      <c r="C23" s="29"/>
      <c r="D23" s="29"/>
      <c r="E23" s="29"/>
      <c r="F23" s="29"/>
      <c r="G23" s="29">
        <v>23.469387755102041</v>
      </c>
      <c r="H23" s="29"/>
      <c r="I23" s="29">
        <v>96.871972318339104</v>
      </c>
      <c r="J23" s="29"/>
      <c r="K23" s="29"/>
      <c r="L23" s="29"/>
      <c r="M23" s="29"/>
      <c r="N23" s="29">
        <v>0.1</v>
      </c>
      <c r="O23" s="29">
        <v>8.3333333333333339</v>
      </c>
      <c r="P23" s="29">
        <v>2.9380197171024429</v>
      </c>
      <c r="Q23" s="29">
        <v>6.0804455445544559</v>
      </c>
      <c r="R23" s="29">
        <v>33.42</v>
      </c>
      <c r="S23" s="29">
        <v>11.160142348754448</v>
      </c>
      <c r="T23" s="29">
        <v>25.576470588235296</v>
      </c>
      <c r="U23" s="29"/>
      <c r="V23" s="29"/>
      <c r="W23" s="29"/>
      <c r="X23" s="29"/>
      <c r="Y23" s="29"/>
      <c r="Z23" s="29">
        <v>13.548387096774194</v>
      </c>
      <c r="AA23" s="29"/>
      <c r="AB23" s="29"/>
      <c r="AC23" s="29"/>
      <c r="AD23" s="29">
        <v>17.857142857142858</v>
      </c>
      <c r="AE23" s="29"/>
      <c r="AF23" s="29">
        <v>9.088503546897872E-2</v>
      </c>
      <c r="AG23" s="29">
        <v>4.2454545454545451</v>
      </c>
      <c r="AH23" s="29">
        <v>4.2454545454545451</v>
      </c>
      <c r="AI23" s="29"/>
      <c r="AJ23" s="29"/>
      <c r="AK23" s="29"/>
      <c r="AL23" s="29"/>
      <c r="AM23" s="29"/>
      <c r="AN23" s="29"/>
      <c r="AO23" s="29"/>
      <c r="AP23" s="29"/>
      <c r="AQ23" s="29">
        <v>1.1301733286169085E-2</v>
      </c>
      <c r="AR23" s="29"/>
      <c r="AS23" s="29"/>
      <c r="AT23" s="29"/>
      <c r="AU23" s="29">
        <v>30</v>
      </c>
      <c r="AV23" s="29"/>
      <c r="AW23" s="29">
        <v>5.5743999999999998</v>
      </c>
      <c r="AX23" s="29">
        <v>0.16122496688225668</v>
      </c>
      <c r="AY23" s="29">
        <v>80</v>
      </c>
      <c r="AZ23" s="29"/>
      <c r="BA23" s="29">
        <v>3.5714285714285716</v>
      </c>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c r="BZ23" s="29"/>
      <c r="CA23" s="29"/>
      <c r="CB23" s="29"/>
      <c r="CC23" s="29"/>
      <c r="CD23" s="29"/>
      <c r="CE23" s="29"/>
      <c r="CF23" s="29"/>
      <c r="CG23" s="29"/>
      <c r="CH23" s="29"/>
      <c r="CI23" s="29"/>
      <c r="CJ23" s="29"/>
      <c r="CK23" s="29"/>
      <c r="CL23" s="29"/>
      <c r="CM23" s="29"/>
      <c r="CN23" s="29"/>
      <c r="CO23" s="29"/>
    </row>
    <row r="24" spans="1:93" x14ac:dyDescent="0.2">
      <c r="A24" s="28">
        <v>1903</v>
      </c>
      <c r="C24" s="29"/>
      <c r="D24" s="29"/>
      <c r="E24" s="29"/>
      <c r="F24" s="29"/>
      <c r="G24" s="29"/>
      <c r="H24" s="29">
        <v>34.307692307692307</v>
      </c>
      <c r="I24" s="29"/>
      <c r="J24" s="29"/>
      <c r="K24" s="29"/>
      <c r="L24" s="29"/>
      <c r="M24" s="29"/>
      <c r="N24" s="29">
        <v>0.10596546310832025</v>
      </c>
      <c r="O24" s="29">
        <v>7.7777777777777777</v>
      </c>
      <c r="P24" s="29">
        <v>4.4800000000000004</v>
      </c>
      <c r="Q24" s="29">
        <v>6</v>
      </c>
      <c r="R24" s="29">
        <v>26</v>
      </c>
      <c r="S24" s="29">
        <v>11.428571428571429</v>
      </c>
      <c r="T24" s="29">
        <v>23.333333333333332</v>
      </c>
      <c r="U24" s="29"/>
      <c r="V24" s="29"/>
      <c r="W24" s="29"/>
      <c r="X24" s="29"/>
      <c r="Y24" s="29"/>
      <c r="Z24" s="29">
        <v>12.859375</v>
      </c>
      <c r="AA24" s="29"/>
      <c r="AB24" s="29"/>
      <c r="AC24" s="29"/>
      <c r="AD24" s="29">
        <v>32</v>
      </c>
      <c r="AE24" s="29"/>
      <c r="AF24" s="29">
        <v>0.10558476623561176</v>
      </c>
      <c r="AG24" s="29">
        <v>4.5</v>
      </c>
      <c r="AH24" s="29">
        <v>4.5</v>
      </c>
      <c r="AI24" s="29"/>
      <c r="AJ24" s="29"/>
      <c r="AK24" s="29"/>
      <c r="AL24" s="29"/>
      <c r="AM24" s="29"/>
      <c r="AN24" s="29"/>
      <c r="AO24" s="29"/>
      <c r="AP24" s="29"/>
      <c r="AQ24" s="29">
        <v>1.6667950031689242E-2</v>
      </c>
      <c r="AR24" s="29"/>
      <c r="AS24" s="29"/>
      <c r="AT24" s="29"/>
      <c r="AU24" s="29">
        <v>30</v>
      </c>
      <c r="AV24" s="29"/>
      <c r="AW24" s="29">
        <v>5.6000000000000005</v>
      </c>
      <c r="AX24" s="29">
        <v>0.15</v>
      </c>
      <c r="AY24" s="29">
        <v>41.025641025641029</v>
      </c>
      <c r="AZ24" s="29"/>
      <c r="BA24" s="29">
        <v>3.6</v>
      </c>
      <c r="BB24" s="29"/>
      <c r="BC24" s="29"/>
      <c r="BD24" s="29"/>
      <c r="BE24" s="29"/>
      <c r="BF24" s="29"/>
      <c r="BG24" s="29"/>
      <c r="BH24" s="29"/>
      <c r="BI24" s="29"/>
      <c r="BJ24" s="29"/>
      <c r="BK24" s="29"/>
      <c r="BL24" s="29"/>
      <c r="BM24" s="29"/>
      <c r="BN24" s="29"/>
      <c r="BO24" s="29"/>
      <c r="BP24" s="29"/>
      <c r="BQ24" s="29"/>
      <c r="BR24" s="29"/>
      <c r="BS24" s="29"/>
      <c r="BT24" s="29"/>
      <c r="BU24" s="29"/>
      <c r="BV24" s="29"/>
      <c r="BW24" s="29"/>
      <c r="BX24" s="29"/>
      <c r="BY24" s="29"/>
      <c r="BZ24" s="29"/>
      <c r="CA24" s="29"/>
      <c r="CB24" s="29"/>
      <c r="CC24" s="29"/>
      <c r="CD24" s="29"/>
      <c r="CE24" s="29"/>
      <c r="CF24" s="29"/>
      <c r="CG24" s="29"/>
      <c r="CH24" s="29"/>
      <c r="CI24" s="29"/>
      <c r="CJ24" s="29"/>
      <c r="CK24" s="29"/>
      <c r="CL24" s="29"/>
      <c r="CM24" s="29"/>
      <c r="CN24" s="29"/>
      <c r="CO24" s="29"/>
    </row>
    <row r="25" spans="1:93" x14ac:dyDescent="0.2">
      <c r="A25" s="28">
        <v>1904</v>
      </c>
      <c r="C25" s="29"/>
      <c r="D25" s="29"/>
      <c r="E25" s="29"/>
      <c r="F25" s="29"/>
      <c r="G25" s="29"/>
      <c r="H25" s="29">
        <v>40</v>
      </c>
      <c r="I25" s="29"/>
      <c r="J25" s="29"/>
      <c r="K25" s="29"/>
      <c r="L25" s="29"/>
      <c r="M25" s="29"/>
      <c r="N25" s="29"/>
      <c r="O25" s="29">
        <v>12.76595744680851</v>
      </c>
      <c r="P25" s="29">
        <v>3.6518787878787879</v>
      </c>
      <c r="Q25" s="29">
        <v>10</v>
      </c>
      <c r="R25" s="29">
        <v>20</v>
      </c>
      <c r="S25" s="29">
        <v>3.75</v>
      </c>
      <c r="T25" s="29">
        <v>22</v>
      </c>
      <c r="U25" s="29"/>
      <c r="V25" s="29"/>
      <c r="W25" s="29"/>
      <c r="X25" s="29"/>
      <c r="Y25" s="29"/>
      <c r="Z25" s="29">
        <v>12.121212121212121</v>
      </c>
      <c r="AA25" s="29"/>
      <c r="AB25" s="29"/>
      <c r="AC25" s="29"/>
      <c r="AD25" s="29">
        <v>31</v>
      </c>
      <c r="AE25" s="29"/>
      <c r="AF25" s="29">
        <v>0.11028803545051699</v>
      </c>
      <c r="AG25" s="29">
        <v>4.1499999999999995</v>
      </c>
      <c r="AH25" s="29">
        <v>4.1499999999999995</v>
      </c>
      <c r="AI25" s="29"/>
      <c r="AJ25" s="29"/>
      <c r="AK25" s="29"/>
      <c r="AL25" s="29"/>
      <c r="AM25" s="29"/>
      <c r="AN25" s="29"/>
      <c r="AO25" s="29"/>
      <c r="AP25" s="29"/>
      <c r="AQ25" s="29"/>
      <c r="AR25" s="29"/>
      <c r="AS25" s="29"/>
      <c r="AT25" s="29"/>
      <c r="AU25" s="29">
        <v>34.285714285714285</v>
      </c>
      <c r="AV25" s="29"/>
      <c r="AW25" s="29">
        <v>6.0666666666666664</v>
      </c>
      <c r="AX25" s="29">
        <v>0.2</v>
      </c>
      <c r="AY25" s="29"/>
      <c r="AZ25" s="29">
        <v>81.481481481481495</v>
      </c>
      <c r="BA25" s="29"/>
      <c r="BB25" s="29"/>
      <c r="BC25" s="29"/>
      <c r="BD25" s="29"/>
      <c r="BE25" s="29"/>
      <c r="BF25" s="29"/>
      <c r="BG25" s="29"/>
      <c r="BH25" s="29"/>
      <c r="BI25" s="29"/>
      <c r="BJ25" s="29"/>
      <c r="BK25" s="29"/>
      <c r="BL25" s="29"/>
      <c r="BM25" s="29"/>
      <c r="BN25" s="29"/>
      <c r="BO25" s="29"/>
      <c r="BP25" s="29"/>
      <c r="BQ25" s="29"/>
      <c r="BR25" s="29"/>
      <c r="BS25" s="29"/>
      <c r="BT25" s="29"/>
      <c r="BU25" s="29"/>
      <c r="BV25" s="29"/>
      <c r="BW25" s="29"/>
      <c r="BX25" s="29"/>
      <c r="BY25" s="29"/>
      <c r="BZ25" s="29"/>
      <c r="CA25" s="29"/>
      <c r="CB25" s="29"/>
      <c r="CC25" s="29"/>
      <c r="CD25" s="29"/>
      <c r="CE25" s="29"/>
      <c r="CF25" s="29"/>
      <c r="CG25" s="29"/>
      <c r="CH25" s="29"/>
      <c r="CI25" s="29"/>
      <c r="CJ25" s="29"/>
      <c r="CK25" s="29"/>
      <c r="CL25" s="29"/>
      <c r="CM25" s="29"/>
      <c r="CN25" s="29"/>
      <c r="CO25" s="29"/>
    </row>
    <row r="26" spans="1:93" x14ac:dyDescent="0.2">
      <c r="A26" s="28">
        <v>1905</v>
      </c>
      <c r="C26" s="29"/>
      <c r="D26" s="29"/>
      <c r="E26" s="29"/>
      <c r="F26" s="29"/>
      <c r="G26" s="29"/>
      <c r="H26" s="29">
        <v>42.2</v>
      </c>
      <c r="I26" s="29"/>
      <c r="J26" s="29"/>
      <c r="K26" s="29"/>
      <c r="L26" s="29"/>
      <c r="M26" s="29"/>
      <c r="N26" s="29"/>
      <c r="O26" s="29">
        <v>10</v>
      </c>
      <c r="P26" s="29">
        <v>4.1353846153846154</v>
      </c>
      <c r="Q26" s="29">
        <v>16</v>
      </c>
      <c r="R26" s="29">
        <v>25</v>
      </c>
      <c r="S26" s="29">
        <v>14.166666666666666</v>
      </c>
      <c r="T26" s="29">
        <v>30</v>
      </c>
      <c r="U26" s="29"/>
      <c r="V26" s="29"/>
      <c r="W26" s="29"/>
      <c r="X26" s="29"/>
      <c r="Y26" s="29"/>
      <c r="Z26" s="29">
        <v>12</v>
      </c>
      <c r="AA26" s="29"/>
      <c r="AB26" s="29"/>
      <c r="AC26" s="29"/>
      <c r="AD26" s="29">
        <v>31.818181818181817</v>
      </c>
      <c r="AE26" s="29"/>
      <c r="AF26" s="29">
        <v>0.13693693693693693</v>
      </c>
      <c r="AG26" s="29">
        <v>8.4</v>
      </c>
      <c r="AH26" s="29">
        <v>8.4</v>
      </c>
      <c r="AI26" s="29"/>
      <c r="AJ26" s="29"/>
      <c r="AK26" s="29"/>
      <c r="AL26" s="29"/>
      <c r="AM26" s="29"/>
      <c r="AN26" s="29"/>
      <c r="AO26" s="29"/>
      <c r="AP26" s="29"/>
      <c r="AQ26" s="29"/>
      <c r="AR26" s="29"/>
      <c r="AS26" s="29"/>
      <c r="AT26" s="29"/>
      <c r="AU26" s="29">
        <v>26.666666666666668</v>
      </c>
      <c r="AV26" s="29"/>
      <c r="AW26" s="29">
        <v>6.8444444444444441</v>
      </c>
      <c r="AX26" s="29">
        <v>0.22500000000000001</v>
      </c>
      <c r="AY26" s="29"/>
      <c r="AZ26" s="29"/>
      <c r="BA26" s="29"/>
      <c r="BB26" s="29">
        <v>61.111111111111114</v>
      </c>
      <c r="BC26" s="29"/>
      <c r="BD26" s="29"/>
      <c r="BE26" s="29"/>
      <c r="BF26" s="29"/>
      <c r="BG26" s="29"/>
      <c r="BH26" s="29"/>
      <c r="BI26" s="29"/>
      <c r="BJ26" s="29"/>
      <c r="BK26" s="29"/>
      <c r="BL26" s="29"/>
      <c r="BM26" s="29"/>
      <c r="BN26" s="29"/>
      <c r="BO26" s="29"/>
      <c r="BP26" s="29"/>
      <c r="BQ26" s="29"/>
      <c r="BR26" s="29"/>
      <c r="BS26" s="29"/>
      <c r="BT26" s="29"/>
      <c r="BU26" s="29"/>
      <c r="BV26" s="29"/>
      <c r="BW26" s="29"/>
      <c r="BX26" s="29"/>
      <c r="BY26" s="29"/>
      <c r="BZ26" s="29"/>
      <c r="CA26" s="29"/>
      <c r="CB26" s="29"/>
      <c r="CC26" s="29"/>
      <c r="CD26" s="29"/>
      <c r="CE26" s="29"/>
      <c r="CF26" s="29"/>
      <c r="CG26" s="29"/>
      <c r="CH26" s="29"/>
      <c r="CI26" s="29"/>
      <c r="CJ26" s="29"/>
      <c r="CK26" s="29"/>
      <c r="CL26" s="29"/>
      <c r="CM26" s="29"/>
      <c r="CN26" s="29"/>
      <c r="CO26" s="29"/>
    </row>
    <row r="27" spans="1:93" x14ac:dyDescent="0.2">
      <c r="A27" s="28">
        <v>1906</v>
      </c>
      <c r="C27" s="29"/>
      <c r="D27" s="29"/>
      <c r="E27" s="29"/>
      <c r="F27" s="29"/>
      <c r="G27" s="29"/>
      <c r="H27" s="29">
        <v>50</v>
      </c>
      <c r="I27" s="29"/>
      <c r="J27" s="29"/>
      <c r="K27" s="29"/>
      <c r="L27" s="29"/>
      <c r="M27" s="29"/>
      <c r="N27" s="29"/>
      <c r="O27" s="29">
        <v>15</v>
      </c>
      <c r="P27" s="29">
        <v>4.2560000000000002</v>
      </c>
      <c r="Q27" s="29">
        <v>10</v>
      </c>
      <c r="R27" s="29">
        <v>25</v>
      </c>
      <c r="S27" s="29">
        <v>20</v>
      </c>
      <c r="T27" s="29">
        <v>35</v>
      </c>
      <c r="U27" s="29"/>
      <c r="V27" s="29"/>
      <c r="W27" s="29"/>
      <c r="X27" s="29"/>
      <c r="Y27" s="29"/>
      <c r="Z27" s="29">
        <v>12</v>
      </c>
      <c r="AA27" s="29"/>
      <c r="AB27" s="29"/>
      <c r="AC27" s="29"/>
      <c r="AD27" s="29">
        <v>20</v>
      </c>
      <c r="AE27" s="29"/>
      <c r="AF27" s="29">
        <v>0.13788968824940048</v>
      </c>
      <c r="AG27" s="29">
        <v>8.4</v>
      </c>
      <c r="AH27" s="29">
        <v>8.4</v>
      </c>
      <c r="AI27" s="29"/>
      <c r="AJ27" s="29"/>
      <c r="AK27" s="29"/>
      <c r="AL27" s="29"/>
      <c r="AM27" s="29"/>
      <c r="AN27" s="29"/>
      <c r="AO27" s="29"/>
      <c r="AP27" s="29"/>
      <c r="AQ27" s="29">
        <v>1.8749999999999999E-2</v>
      </c>
      <c r="AR27" s="29"/>
      <c r="AS27" s="29"/>
      <c r="AT27" s="29"/>
      <c r="AU27" s="29"/>
      <c r="AV27" s="29"/>
      <c r="AW27" s="29">
        <v>6.4711111111111119</v>
      </c>
      <c r="AX27" s="29">
        <v>0.25</v>
      </c>
      <c r="AY27" s="29"/>
      <c r="AZ27" s="29"/>
      <c r="BA27" s="29"/>
      <c r="BB27" s="29"/>
      <c r="BC27" s="29"/>
      <c r="BD27" s="29"/>
      <c r="BE27" s="29"/>
      <c r="BF27" s="29"/>
      <c r="BG27" s="29"/>
      <c r="BH27" s="29"/>
      <c r="BI27" s="29"/>
      <c r="BJ27" s="29"/>
      <c r="BK27" s="29"/>
      <c r="BL27" s="29"/>
      <c r="BM27" s="29"/>
      <c r="BN27" s="29"/>
      <c r="BO27" s="29"/>
      <c r="BP27" s="29"/>
      <c r="BQ27" s="29"/>
      <c r="BR27" s="29"/>
      <c r="BS27" s="29"/>
      <c r="BT27" s="29"/>
      <c r="BU27" s="29"/>
      <c r="BV27" s="29"/>
      <c r="BW27" s="29"/>
      <c r="BX27" s="29"/>
      <c r="BY27" s="29"/>
      <c r="BZ27" s="29"/>
      <c r="CA27" s="29"/>
      <c r="CB27" s="29"/>
      <c r="CC27" s="29"/>
      <c r="CD27" s="29"/>
      <c r="CE27" s="29"/>
      <c r="CF27" s="29"/>
      <c r="CG27" s="29"/>
      <c r="CH27" s="29"/>
      <c r="CI27" s="29"/>
      <c r="CJ27" s="29"/>
      <c r="CK27" s="29"/>
      <c r="CL27" s="29"/>
      <c r="CM27" s="29"/>
      <c r="CN27" s="29"/>
      <c r="CO27" s="29"/>
    </row>
    <row r="28" spans="1:93" x14ac:dyDescent="0.2">
      <c r="A28" s="28">
        <v>1907</v>
      </c>
      <c r="C28" s="29"/>
      <c r="D28" s="29"/>
      <c r="E28" s="29"/>
      <c r="F28" s="29"/>
      <c r="G28" s="29"/>
      <c r="H28" s="29"/>
      <c r="I28" s="29"/>
      <c r="J28" s="29"/>
      <c r="K28" s="29"/>
      <c r="L28" s="29"/>
      <c r="M28" s="29"/>
      <c r="N28" s="29"/>
      <c r="O28" s="29"/>
      <c r="P28" s="29"/>
      <c r="Q28" s="29">
        <v>10</v>
      </c>
      <c r="R28" s="29">
        <v>26.666666666666668</v>
      </c>
      <c r="S28" s="29"/>
      <c r="T28" s="29">
        <v>33.75</v>
      </c>
      <c r="U28" s="29"/>
      <c r="V28" s="29"/>
      <c r="W28" s="29"/>
      <c r="X28" s="29"/>
      <c r="Y28" s="29"/>
      <c r="Z28" s="29"/>
      <c r="AA28" s="29"/>
      <c r="AB28" s="29"/>
      <c r="AC28" s="29"/>
      <c r="AD28" s="29"/>
      <c r="AE28" s="29"/>
      <c r="AF28" s="29">
        <v>0.16666666666666666</v>
      </c>
      <c r="AG28" s="29"/>
      <c r="AH28" s="29"/>
      <c r="AI28" s="29"/>
      <c r="AJ28" s="29"/>
      <c r="AK28" s="29"/>
      <c r="AL28" s="29"/>
      <c r="AM28" s="29"/>
      <c r="AN28" s="29"/>
      <c r="AO28" s="29"/>
      <c r="AP28" s="29"/>
      <c r="AQ28" s="29"/>
      <c r="AR28" s="29"/>
      <c r="AS28" s="29"/>
      <c r="AT28" s="29"/>
      <c r="AU28" s="29"/>
      <c r="AV28" s="29"/>
      <c r="AW28" s="29"/>
      <c r="AX28" s="29"/>
      <c r="AY28" s="29"/>
      <c r="AZ28" s="29"/>
      <c r="BA28" s="29"/>
      <c r="BB28" s="29"/>
      <c r="BC28" s="29"/>
      <c r="BD28" s="29"/>
      <c r="BE28" s="29"/>
      <c r="BF28" s="29"/>
      <c r="BG28" s="29"/>
      <c r="BH28" s="29"/>
      <c r="BI28" s="29"/>
      <c r="BJ28" s="29"/>
      <c r="BK28" s="29"/>
      <c r="BL28" s="29"/>
      <c r="BM28" s="29"/>
      <c r="BN28" s="29"/>
      <c r="BO28" s="29"/>
      <c r="BP28" s="29"/>
      <c r="BQ28" s="29"/>
      <c r="BR28" s="29"/>
      <c r="BS28" s="29"/>
      <c r="BT28" s="29"/>
      <c r="BU28" s="29"/>
      <c r="BV28" s="29"/>
      <c r="BW28" s="29"/>
      <c r="BX28" s="29"/>
      <c r="BY28" s="29"/>
      <c r="BZ28" s="29"/>
      <c r="CA28" s="29"/>
      <c r="CB28" s="29"/>
      <c r="CC28" s="29"/>
      <c r="CD28" s="29"/>
      <c r="CE28" s="29"/>
      <c r="CF28" s="29"/>
      <c r="CG28" s="29"/>
      <c r="CH28" s="29"/>
      <c r="CI28" s="29"/>
      <c r="CJ28" s="29"/>
      <c r="CK28" s="29"/>
      <c r="CL28" s="29"/>
      <c r="CM28" s="29"/>
      <c r="CN28" s="29"/>
      <c r="CO28" s="29"/>
    </row>
    <row r="29" spans="1:93" x14ac:dyDescent="0.2">
      <c r="A29" s="28">
        <v>1908</v>
      </c>
      <c r="C29" s="29"/>
      <c r="D29" s="29"/>
      <c r="E29" s="29"/>
      <c r="F29" s="29"/>
      <c r="G29" s="29"/>
      <c r="H29" s="29">
        <v>50</v>
      </c>
      <c r="I29" s="29"/>
      <c r="J29" s="29"/>
      <c r="K29" s="29"/>
      <c r="L29" s="29"/>
      <c r="M29" s="29"/>
      <c r="N29" s="29"/>
      <c r="O29" s="29"/>
      <c r="P29" s="29">
        <v>6.4</v>
      </c>
      <c r="Q29" s="29">
        <v>14.705882352941176</v>
      </c>
      <c r="R29" s="29">
        <v>28.571428571428573</v>
      </c>
      <c r="S29" s="29">
        <v>26.315789473684209</v>
      </c>
      <c r="T29" s="29">
        <v>33.333333333333336</v>
      </c>
      <c r="U29" s="29"/>
      <c r="V29" s="29"/>
      <c r="W29" s="29"/>
      <c r="X29" s="29"/>
      <c r="Y29" s="29"/>
      <c r="Z29" s="29">
        <v>13.157894736842104</v>
      </c>
      <c r="AA29" s="29"/>
      <c r="AB29" s="29"/>
      <c r="AC29" s="29"/>
      <c r="AD29" s="29">
        <v>50</v>
      </c>
      <c r="AE29" s="29"/>
      <c r="AF29" s="29"/>
      <c r="AG29" s="29">
        <v>10</v>
      </c>
      <c r="AH29" s="29">
        <v>10</v>
      </c>
      <c r="AI29" s="29"/>
      <c r="AJ29" s="29"/>
      <c r="AK29" s="29"/>
      <c r="AL29" s="29"/>
      <c r="AM29" s="29"/>
      <c r="AN29" s="29"/>
      <c r="AO29" s="29"/>
      <c r="AP29" s="29"/>
      <c r="AQ29" s="29"/>
      <c r="AR29" s="29"/>
      <c r="AS29" s="29"/>
      <c r="AT29" s="29"/>
      <c r="AU29" s="29"/>
      <c r="AV29" s="29"/>
      <c r="AW29" s="29">
        <v>9.9555555555555557</v>
      </c>
      <c r="AX29" s="29">
        <v>0.25</v>
      </c>
      <c r="AY29" s="29"/>
      <c r="AZ29" s="29">
        <v>85.714285714285708</v>
      </c>
      <c r="BA29" s="29"/>
      <c r="BB29" s="29"/>
      <c r="BC29" s="29"/>
      <c r="BD29" s="29"/>
      <c r="BE29" s="29"/>
      <c r="BF29" s="29"/>
      <c r="BG29" s="29"/>
      <c r="BH29" s="29"/>
      <c r="BI29" s="29"/>
      <c r="BJ29" s="29"/>
      <c r="BK29" s="29"/>
      <c r="BL29" s="29"/>
      <c r="BM29" s="29"/>
      <c r="BN29" s="29"/>
      <c r="BO29" s="29"/>
      <c r="BP29" s="29"/>
      <c r="BQ29" s="29"/>
      <c r="BR29" s="29"/>
      <c r="BS29" s="29"/>
      <c r="BT29" s="29"/>
      <c r="BU29" s="29"/>
      <c r="BV29" s="29"/>
      <c r="BW29" s="29"/>
      <c r="BX29" s="29"/>
      <c r="BY29" s="29"/>
      <c r="BZ29" s="29"/>
      <c r="CA29" s="29"/>
      <c r="CB29" s="29"/>
      <c r="CC29" s="29"/>
      <c r="CD29" s="29"/>
      <c r="CE29" s="29"/>
      <c r="CF29" s="29"/>
      <c r="CG29" s="29"/>
      <c r="CH29" s="29"/>
      <c r="CI29" s="29"/>
      <c r="CJ29" s="29"/>
      <c r="CK29" s="29"/>
      <c r="CL29" s="29"/>
      <c r="CM29" s="29"/>
      <c r="CN29" s="29"/>
      <c r="CO29" s="29"/>
    </row>
    <row r="30" spans="1:93" x14ac:dyDescent="0.2">
      <c r="A30" s="28">
        <v>1909</v>
      </c>
      <c r="C30" s="29"/>
      <c r="D30" s="29"/>
      <c r="E30" s="29"/>
      <c r="F30" s="29"/>
      <c r="G30" s="29"/>
      <c r="H30" s="29">
        <v>48</v>
      </c>
      <c r="I30" s="29"/>
      <c r="J30" s="29"/>
      <c r="K30" s="29"/>
      <c r="L30" s="29"/>
      <c r="M30" s="29"/>
      <c r="N30" s="29"/>
      <c r="O30" s="29"/>
      <c r="P30" s="29">
        <v>6.72</v>
      </c>
      <c r="Q30" s="29">
        <v>15</v>
      </c>
      <c r="R30" s="29">
        <v>28.571428571428573</v>
      </c>
      <c r="S30" s="29">
        <v>22.857142857142858</v>
      </c>
      <c r="T30" s="29">
        <v>30</v>
      </c>
      <c r="U30" s="29"/>
      <c r="V30" s="29"/>
      <c r="W30" s="29"/>
      <c r="X30" s="29"/>
      <c r="Y30" s="29"/>
      <c r="Z30" s="29">
        <v>15.789473684210526</v>
      </c>
      <c r="AA30" s="29"/>
      <c r="AB30" s="29"/>
      <c r="AC30" s="29"/>
      <c r="AD30" s="29">
        <v>50</v>
      </c>
      <c r="AE30" s="29"/>
      <c r="AF30" s="29"/>
      <c r="AG30" s="29">
        <v>10</v>
      </c>
      <c r="AH30" s="29">
        <v>10</v>
      </c>
      <c r="AI30" s="29"/>
      <c r="AJ30" s="29"/>
      <c r="AK30" s="29"/>
      <c r="AL30" s="29"/>
      <c r="AM30" s="29"/>
      <c r="AN30" s="29"/>
      <c r="AO30" s="29"/>
      <c r="AP30" s="29"/>
      <c r="AQ30" s="29"/>
      <c r="AR30" s="29"/>
      <c r="AS30" s="29"/>
      <c r="AT30" s="29"/>
      <c r="AU30" s="29"/>
      <c r="AV30" s="29"/>
      <c r="AW30" s="29">
        <v>11.200000000000001</v>
      </c>
      <c r="AX30" s="29">
        <v>0.32884615384615384</v>
      </c>
      <c r="AY30" s="29"/>
      <c r="AZ30" s="29">
        <v>81.25</v>
      </c>
      <c r="BA30" s="29"/>
      <c r="BB30" s="29"/>
      <c r="BC30" s="29"/>
      <c r="BD30" s="29"/>
      <c r="BE30" s="29"/>
      <c r="BF30" s="29"/>
      <c r="BG30" s="29"/>
      <c r="BH30" s="29"/>
      <c r="BI30" s="29"/>
      <c r="BJ30" s="29"/>
      <c r="BK30" s="29"/>
      <c r="BL30" s="29"/>
      <c r="BM30" s="29"/>
      <c r="BN30" s="29"/>
      <c r="BO30" s="29"/>
      <c r="BP30" s="29"/>
      <c r="BQ30" s="29"/>
      <c r="BR30" s="29"/>
      <c r="BS30" s="29"/>
      <c r="BT30" s="29"/>
      <c r="BU30" s="29"/>
      <c r="BV30" s="29"/>
      <c r="BW30" s="29"/>
      <c r="BX30" s="29"/>
      <c r="BY30" s="29"/>
      <c r="BZ30" s="29"/>
      <c r="CA30" s="29"/>
      <c r="CB30" s="29"/>
      <c r="CC30" s="29"/>
      <c r="CD30" s="29"/>
      <c r="CE30" s="29"/>
      <c r="CF30" s="29"/>
      <c r="CG30" s="29"/>
      <c r="CH30" s="29"/>
      <c r="CI30" s="29"/>
      <c r="CJ30" s="29"/>
      <c r="CK30" s="29"/>
      <c r="CL30" s="29"/>
      <c r="CM30" s="29"/>
      <c r="CN30" s="29"/>
      <c r="CO30" s="29"/>
    </row>
    <row r="31" spans="1:93" x14ac:dyDescent="0.2">
      <c r="A31" s="28">
        <v>1910</v>
      </c>
      <c r="C31" s="29"/>
      <c r="D31" s="29"/>
      <c r="E31" s="29"/>
      <c r="F31" s="29"/>
      <c r="G31" s="29"/>
      <c r="H31" s="29">
        <v>48</v>
      </c>
      <c r="I31" s="29"/>
      <c r="J31" s="29"/>
      <c r="K31" s="29"/>
      <c r="L31" s="29"/>
      <c r="M31" s="29"/>
      <c r="N31" s="29"/>
      <c r="O31" s="29">
        <v>6</v>
      </c>
      <c r="P31" s="29">
        <v>6.8292682926829267</v>
      </c>
      <c r="Q31" s="29">
        <v>16.666666666666668</v>
      </c>
      <c r="R31" s="29">
        <v>33.913043478260867</v>
      </c>
      <c r="S31" s="29">
        <v>24</v>
      </c>
      <c r="T31" s="29">
        <v>24</v>
      </c>
      <c r="U31" s="29"/>
      <c r="V31" s="29"/>
      <c r="W31" s="29"/>
      <c r="X31" s="29"/>
      <c r="Y31" s="29"/>
      <c r="Z31" s="29">
        <v>15.789473684210526</v>
      </c>
      <c r="AA31" s="29"/>
      <c r="AB31" s="29"/>
      <c r="AC31" s="29"/>
      <c r="AD31" s="29">
        <v>50</v>
      </c>
      <c r="AE31" s="29"/>
      <c r="AF31" s="29"/>
      <c r="AG31" s="29">
        <v>10</v>
      </c>
      <c r="AH31" s="29">
        <v>10</v>
      </c>
      <c r="AI31" s="29"/>
      <c r="AJ31" s="29"/>
      <c r="AK31" s="29"/>
      <c r="AL31" s="29"/>
      <c r="AM31" s="29"/>
      <c r="AN31" s="29"/>
      <c r="AO31" s="29"/>
      <c r="AP31" s="29"/>
      <c r="AQ31" s="29"/>
      <c r="AR31" s="29"/>
      <c r="AS31" s="29"/>
      <c r="AT31" s="29"/>
      <c r="AU31" s="29"/>
      <c r="AV31" s="29"/>
      <c r="AW31" s="29">
        <v>12.527407407407408</v>
      </c>
      <c r="AX31" s="29"/>
      <c r="AY31" s="29"/>
      <c r="AZ31" s="29">
        <v>81.25</v>
      </c>
      <c r="BA31" s="29"/>
      <c r="BB31" s="29"/>
      <c r="BC31" s="29"/>
      <c r="BD31" s="29"/>
      <c r="BE31" s="29"/>
      <c r="BF31" s="29"/>
      <c r="BG31" s="29"/>
      <c r="BH31" s="29"/>
      <c r="BI31" s="29"/>
      <c r="BJ31" s="29"/>
      <c r="BK31" s="29"/>
      <c r="BL31" s="29"/>
      <c r="BM31" s="29"/>
      <c r="BN31" s="29"/>
      <c r="BO31" s="29"/>
      <c r="BP31" s="29"/>
      <c r="BQ31" s="29"/>
      <c r="BR31" s="29"/>
      <c r="BS31" s="29"/>
      <c r="BT31" s="29"/>
      <c r="BU31" s="29"/>
      <c r="BV31" s="29"/>
      <c r="BW31" s="29"/>
      <c r="BX31" s="29"/>
      <c r="BY31" s="29"/>
      <c r="BZ31" s="29"/>
      <c r="CA31" s="29"/>
      <c r="CB31" s="29"/>
      <c r="CC31" s="29"/>
      <c r="CD31" s="29"/>
      <c r="CE31" s="29"/>
      <c r="CF31" s="29"/>
      <c r="CG31" s="29"/>
      <c r="CH31" s="29"/>
      <c r="CI31" s="29"/>
      <c r="CJ31" s="29"/>
      <c r="CK31" s="29"/>
      <c r="CL31" s="29"/>
      <c r="CM31" s="29"/>
      <c r="CN31" s="29"/>
      <c r="CO31" s="29"/>
    </row>
    <row r="32" spans="1:93" x14ac:dyDescent="0.2">
      <c r="A32" s="28">
        <v>1911</v>
      </c>
      <c r="C32" s="29"/>
      <c r="D32" s="29"/>
      <c r="E32" s="29"/>
      <c r="F32" s="29"/>
      <c r="G32" s="29"/>
      <c r="H32" s="29">
        <v>60.952380952380949</v>
      </c>
      <c r="I32" s="29"/>
      <c r="J32" s="29"/>
      <c r="K32" s="29"/>
      <c r="L32" s="29"/>
      <c r="M32" s="29"/>
      <c r="N32" s="29"/>
      <c r="O32" s="29">
        <v>5</v>
      </c>
      <c r="P32" s="29">
        <v>6.8029629629629627</v>
      </c>
      <c r="Q32" s="29">
        <v>11.666666666666666</v>
      </c>
      <c r="R32" s="29">
        <v>27.5</v>
      </c>
      <c r="S32" s="29">
        <v>21.818181818181817</v>
      </c>
      <c r="T32" s="29">
        <v>23.333333333333332</v>
      </c>
      <c r="U32" s="29"/>
      <c r="V32" s="29"/>
      <c r="W32" s="29"/>
      <c r="X32" s="29"/>
      <c r="Y32" s="29"/>
      <c r="Z32" s="29">
        <v>17.142857142857142</v>
      </c>
      <c r="AA32" s="29"/>
      <c r="AB32" s="29"/>
      <c r="AC32" s="29"/>
      <c r="AD32" s="29">
        <v>50</v>
      </c>
      <c r="AE32" s="29"/>
      <c r="AF32" s="29"/>
      <c r="AG32" s="29">
        <v>10</v>
      </c>
      <c r="AH32" s="29">
        <v>10</v>
      </c>
      <c r="AI32" s="29"/>
      <c r="AJ32" s="29"/>
      <c r="AK32" s="29"/>
      <c r="AL32" s="29"/>
      <c r="AM32" s="29"/>
      <c r="AN32" s="29"/>
      <c r="AO32" s="29"/>
      <c r="AP32" s="29"/>
      <c r="AQ32" s="29"/>
      <c r="AR32" s="29"/>
      <c r="AS32" s="29"/>
      <c r="AT32" s="29"/>
      <c r="AU32" s="29"/>
      <c r="AV32" s="29"/>
      <c r="AW32" s="29">
        <v>12.133333333333333</v>
      </c>
      <c r="AX32" s="29"/>
      <c r="AY32" s="29"/>
      <c r="AZ32" s="29">
        <v>150</v>
      </c>
      <c r="BA32" s="29"/>
      <c r="BB32" s="29"/>
      <c r="BC32" s="29"/>
      <c r="BD32" s="29"/>
      <c r="BE32" s="29"/>
      <c r="BF32" s="29"/>
      <c r="BG32" s="29"/>
      <c r="BH32" s="29"/>
      <c r="BI32" s="29"/>
      <c r="BJ32" s="29"/>
      <c r="BK32" s="29"/>
      <c r="BL32" s="29"/>
      <c r="BM32" s="29"/>
      <c r="BN32" s="29"/>
      <c r="BO32" s="29"/>
      <c r="BP32" s="29"/>
      <c r="BQ32" s="29"/>
      <c r="BR32" s="29"/>
      <c r="BS32" s="29"/>
      <c r="BT32" s="29"/>
      <c r="BU32" s="29"/>
      <c r="BV32" s="29"/>
      <c r="BW32" s="29"/>
      <c r="BX32" s="29"/>
      <c r="BY32" s="29"/>
      <c r="BZ32" s="29"/>
      <c r="CA32" s="29"/>
      <c r="CB32" s="29"/>
      <c r="CC32" s="29"/>
      <c r="CD32" s="29"/>
      <c r="CE32" s="29"/>
      <c r="CF32" s="29"/>
      <c r="CG32" s="29"/>
      <c r="CH32" s="29"/>
      <c r="CI32" s="29"/>
      <c r="CJ32" s="29"/>
      <c r="CK32" s="29"/>
      <c r="CL32" s="29"/>
      <c r="CM32" s="29"/>
      <c r="CN32" s="29"/>
      <c r="CO32" s="29"/>
    </row>
    <row r="33" spans="3:66" x14ac:dyDescent="0.2">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c r="BL33" s="29"/>
      <c r="BM33" s="29"/>
      <c r="BN33" s="29"/>
    </row>
    <row r="34" spans="3:66" x14ac:dyDescent="0.2">
      <c r="C34" s="29"/>
      <c r="D34" s="29"/>
      <c r="E34" s="29"/>
      <c r="F34" s="29"/>
      <c r="G34" s="29"/>
      <c r="H34" s="29"/>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row>
    <row r="35" spans="3:66" x14ac:dyDescent="0.2">
      <c r="C35" s="29"/>
      <c r="D35" s="29"/>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row>
    <row r="36" spans="3:66" x14ac:dyDescent="0.2">
      <c r="C36" s="29"/>
      <c r="D36" s="29"/>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c r="BL36" s="29"/>
      <c r="BM36" s="29"/>
      <c r="BN36" s="29"/>
    </row>
    <row r="37" spans="3:66" x14ac:dyDescent="0.2">
      <c r="C37" s="29"/>
      <c r="D37" s="29"/>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c r="BB37" s="29"/>
      <c r="BC37" s="29"/>
      <c r="BD37" s="29"/>
      <c r="BE37" s="29"/>
      <c r="BF37" s="29"/>
      <c r="BG37" s="29"/>
      <c r="BH37" s="29"/>
      <c r="BI37" s="29"/>
      <c r="BJ37" s="29"/>
      <c r="BK37" s="29"/>
      <c r="BL37" s="29"/>
      <c r="BM37" s="29"/>
      <c r="BN37" s="29"/>
    </row>
    <row r="38" spans="3:66" x14ac:dyDescent="0.2">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29"/>
      <c r="BA38" s="29"/>
      <c r="BB38" s="29"/>
      <c r="BC38" s="29"/>
      <c r="BD38" s="29"/>
      <c r="BE38" s="29"/>
      <c r="BF38" s="29"/>
      <c r="BG38" s="29"/>
      <c r="BH38" s="29"/>
      <c r="BI38" s="29"/>
      <c r="BJ38" s="29"/>
      <c r="BK38" s="29"/>
      <c r="BL38" s="29"/>
      <c r="BM38" s="29"/>
      <c r="BN38" s="29"/>
    </row>
  </sheetData>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K81"/>
  <sheetViews>
    <sheetView zoomScale="70" zoomScaleNormal="70" workbookViewId="0">
      <pane ySplit="2" topLeftCell="A3" activePane="bottomLeft" state="frozen"/>
      <selection activeCell="BM32" sqref="BM32:BN35"/>
      <selection pane="bottomLeft" activeCell="A5" sqref="A5"/>
    </sheetView>
  </sheetViews>
  <sheetFormatPr defaultRowHeight="14.4" x14ac:dyDescent="0.3"/>
  <cols>
    <col min="1" max="1" width="29.33203125" customWidth="1"/>
    <col min="2" max="2" width="16.21875" bestFit="1" customWidth="1"/>
    <col min="3" max="3" width="8.44140625" bestFit="1" customWidth="1"/>
    <col min="4" max="4" width="14.5546875" bestFit="1" customWidth="1"/>
    <col min="5" max="5" width="6.21875" bestFit="1" customWidth="1"/>
    <col min="6" max="6" width="12" bestFit="1" customWidth="1"/>
    <col min="7" max="7" width="14.5546875" bestFit="1" customWidth="1"/>
    <col min="8" max="8" width="15.44140625" bestFit="1" customWidth="1"/>
    <col min="9" max="9" width="8.44140625" bestFit="1" customWidth="1"/>
    <col min="10" max="10" width="14.5546875" bestFit="1" customWidth="1"/>
    <col min="11" max="11" width="6.88671875" bestFit="1" customWidth="1"/>
    <col min="12" max="12" width="8.44140625" bestFit="1" customWidth="1"/>
    <col min="13" max="13" width="14.5546875" bestFit="1" customWidth="1"/>
    <col min="14" max="14" width="8.44140625" bestFit="1" customWidth="1"/>
    <col min="15" max="15" width="14.5546875" bestFit="1" customWidth="1"/>
    <col min="16" max="16" width="8.44140625" bestFit="1" customWidth="1"/>
    <col min="17" max="17" width="14.5546875" bestFit="1" customWidth="1"/>
    <col min="18" max="18" width="8.44140625" bestFit="1" customWidth="1"/>
    <col min="19" max="19" width="14.5546875" bestFit="1" customWidth="1"/>
    <col min="20" max="20" width="8.44140625" bestFit="1" customWidth="1"/>
    <col min="21" max="21" width="14.5546875" bestFit="1" customWidth="1"/>
    <col min="22" max="22" width="5.5546875" bestFit="1" customWidth="1"/>
    <col min="23" max="23" width="8.44140625" bestFit="1" customWidth="1"/>
    <col min="24" max="24" width="14.5546875" bestFit="1" customWidth="1"/>
    <col min="25" max="25" width="8.44140625" bestFit="1" customWidth="1"/>
    <col min="26" max="26" width="14.5546875" bestFit="1" customWidth="1"/>
    <col min="27" max="27" width="8.44140625" bestFit="1" customWidth="1"/>
    <col min="28" max="28" width="14.5546875" bestFit="1" customWidth="1"/>
    <col min="29" max="29" width="8.44140625" bestFit="1" customWidth="1"/>
    <col min="30" max="30" width="14.5546875" bestFit="1" customWidth="1"/>
    <col min="31" max="31" width="8.44140625" bestFit="1" customWidth="1"/>
    <col min="32" max="32" width="14.5546875" bestFit="1" customWidth="1"/>
    <col min="33" max="33" width="16.21875" bestFit="1" customWidth="1"/>
    <col min="34" max="34" width="8.44140625" bestFit="1" customWidth="1"/>
    <col min="35" max="35" width="14.5546875" bestFit="1" customWidth="1"/>
    <col min="36" max="36" width="6.21875" bestFit="1" customWidth="1"/>
    <col min="37" max="37" width="8.44140625" bestFit="1" customWidth="1"/>
    <col min="38" max="38" width="14.5546875" bestFit="1" customWidth="1"/>
    <col min="39" max="39" width="4.88671875" bestFit="1" customWidth="1"/>
    <col min="40" max="40" width="8.44140625" bestFit="1" customWidth="1"/>
    <col min="41" max="41" width="14.5546875" bestFit="1" customWidth="1"/>
    <col min="42" max="42" width="5.5546875" bestFit="1" customWidth="1"/>
    <col min="43" max="43" width="11.33203125" customWidth="1"/>
    <col min="44" max="44" width="14.5546875" bestFit="1" customWidth="1"/>
    <col min="45" max="45" width="4.6640625" bestFit="1" customWidth="1"/>
    <col min="46" max="46" width="8.44140625" bestFit="1" customWidth="1"/>
    <col min="47" max="47" width="14.5546875" bestFit="1" customWidth="1"/>
    <col min="48" max="48" width="4.6640625" bestFit="1" customWidth="1"/>
    <col min="49" max="49" width="8.44140625" bestFit="1" customWidth="1"/>
    <col min="50" max="50" width="14.5546875" bestFit="1" customWidth="1"/>
    <col min="51" max="51" width="16.21875" bestFit="1" customWidth="1"/>
    <col min="52" max="52" width="8.44140625" bestFit="1" customWidth="1"/>
    <col min="53" max="53" width="14.5546875" bestFit="1" customWidth="1"/>
    <col min="54" max="54" width="8.44140625" bestFit="1" customWidth="1"/>
    <col min="55" max="55" width="14.5546875" bestFit="1" customWidth="1"/>
    <col min="56" max="56" width="8.44140625" bestFit="1" customWidth="1"/>
    <col min="57" max="57" width="14.5546875" bestFit="1" customWidth="1"/>
    <col min="58" max="58" width="8.44140625" bestFit="1" customWidth="1"/>
    <col min="59" max="59" width="14.5546875" bestFit="1" customWidth="1"/>
    <col min="60" max="60" width="8.44140625" bestFit="1" customWidth="1"/>
    <col min="61" max="61" width="14.5546875" bestFit="1" customWidth="1"/>
    <col min="62" max="62" width="8.44140625" bestFit="1" customWidth="1"/>
    <col min="63" max="63" width="14.5546875" bestFit="1" customWidth="1"/>
    <col min="258" max="258" width="9.109375" customWidth="1"/>
    <col min="287" max="287" width="11.6640625" customWidth="1"/>
    <col min="514" max="514" width="9.109375" customWidth="1"/>
    <col min="543" max="543" width="11.6640625" customWidth="1"/>
    <col min="770" max="770" width="9.109375" customWidth="1"/>
    <col min="799" max="799" width="11.6640625" customWidth="1"/>
    <col min="1026" max="1026" width="9.109375" customWidth="1"/>
    <col min="1055" max="1055" width="11.6640625" customWidth="1"/>
    <col min="1282" max="1282" width="9.109375" customWidth="1"/>
    <col min="1311" max="1311" width="11.6640625" customWidth="1"/>
    <col min="1538" max="1538" width="9.109375" customWidth="1"/>
    <col min="1567" max="1567" width="11.6640625" customWidth="1"/>
    <col min="1794" max="1794" width="9.109375" customWidth="1"/>
    <col min="1823" max="1823" width="11.6640625" customWidth="1"/>
    <col min="2050" max="2050" width="9.109375" customWidth="1"/>
    <col min="2079" max="2079" width="11.6640625" customWidth="1"/>
    <col min="2306" max="2306" width="9.109375" customWidth="1"/>
    <col min="2335" max="2335" width="11.6640625" customWidth="1"/>
    <col min="2562" max="2562" width="9.109375" customWidth="1"/>
    <col min="2591" max="2591" width="11.6640625" customWidth="1"/>
    <col min="2818" max="2818" width="9.109375" customWidth="1"/>
    <col min="2847" max="2847" width="11.6640625" customWidth="1"/>
    <col min="3074" max="3074" width="9.109375" customWidth="1"/>
    <col min="3103" max="3103" width="11.6640625" customWidth="1"/>
    <col min="3330" max="3330" width="9.109375" customWidth="1"/>
    <col min="3359" max="3359" width="11.6640625" customWidth="1"/>
    <col min="3586" max="3586" width="9.109375" customWidth="1"/>
    <col min="3615" max="3615" width="11.6640625" customWidth="1"/>
    <col min="3842" max="3842" width="9.109375" customWidth="1"/>
    <col min="3871" max="3871" width="11.6640625" customWidth="1"/>
    <col min="4098" max="4098" width="9.109375" customWidth="1"/>
    <col min="4127" max="4127" width="11.6640625" customWidth="1"/>
    <col min="4354" max="4354" width="9.109375" customWidth="1"/>
    <col min="4383" max="4383" width="11.6640625" customWidth="1"/>
    <col min="4610" max="4610" width="9.109375" customWidth="1"/>
    <col min="4639" max="4639" width="11.6640625" customWidth="1"/>
    <col min="4866" max="4866" width="9.109375" customWidth="1"/>
    <col min="4895" max="4895" width="11.6640625" customWidth="1"/>
    <col min="5122" max="5122" width="9.109375" customWidth="1"/>
    <col min="5151" max="5151" width="11.6640625" customWidth="1"/>
    <col min="5378" max="5378" width="9.109375" customWidth="1"/>
    <col min="5407" max="5407" width="11.6640625" customWidth="1"/>
    <col min="5634" max="5634" width="9.109375" customWidth="1"/>
    <col min="5663" max="5663" width="11.6640625" customWidth="1"/>
    <col min="5890" max="5890" width="9.109375" customWidth="1"/>
    <col min="5919" max="5919" width="11.6640625" customWidth="1"/>
    <col min="6146" max="6146" width="9.109375" customWidth="1"/>
    <col min="6175" max="6175" width="11.6640625" customWidth="1"/>
    <col min="6402" max="6402" width="9.109375" customWidth="1"/>
    <col min="6431" max="6431" width="11.6640625" customWidth="1"/>
    <col min="6658" max="6658" width="9.109375" customWidth="1"/>
    <col min="6687" max="6687" width="11.6640625" customWidth="1"/>
    <col min="6914" max="6914" width="9.109375" customWidth="1"/>
    <col min="6943" max="6943" width="11.6640625" customWidth="1"/>
    <col min="7170" max="7170" width="9.109375" customWidth="1"/>
    <col min="7199" max="7199" width="11.6640625" customWidth="1"/>
    <col min="7426" max="7426" width="9.109375" customWidth="1"/>
    <col min="7455" max="7455" width="11.6640625" customWidth="1"/>
    <col min="7682" max="7682" width="9.109375" customWidth="1"/>
    <col min="7711" max="7711" width="11.6640625" customWidth="1"/>
    <col min="7938" max="7938" width="9.109375" customWidth="1"/>
    <col min="7967" max="7967" width="11.6640625" customWidth="1"/>
    <col min="8194" max="8194" width="9.109375" customWidth="1"/>
    <col min="8223" max="8223" width="11.6640625" customWidth="1"/>
    <col min="8450" max="8450" width="9.109375" customWidth="1"/>
    <col min="8479" max="8479" width="11.6640625" customWidth="1"/>
    <col min="8706" max="8706" width="9.109375" customWidth="1"/>
    <col min="8735" max="8735" width="11.6640625" customWidth="1"/>
    <col min="8962" max="8962" width="9.109375" customWidth="1"/>
    <col min="8991" max="8991" width="11.6640625" customWidth="1"/>
    <col min="9218" max="9218" width="9.109375" customWidth="1"/>
    <col min="9247" max="9247" width="11.6640625" customWidth="1"/>
    <col min="9474" max="9474" width="9.109375" customWidth="1"/>
    <col min="9503" max="9503" width="11.6640625" customWidth="1"/>
    <col min="9730" max="9730" width="9.109375" customWidth="1"/>
    <col min="9759" max="9759" width="11.6640625" customWidth="1"/>
    <col min="9986" max="9986" width="9.109375" customWidth="1"/>
    <col min="10015" max="10015" width="11.6640625" customWidth="1"/>
    <col min="10242" max="10242" width="9.109375" customWidth="1"/>
    <col min="10271" max="10271" width="11.6640625" customWidth="1"/>
    <col min="10498" max="10498" width="9.109375" customWidth="1"/>
    <col min="10527" max="10527" width="11.6640625" customWidth="1"/>
    <col min="10754" max="10754" width="9.109375" customWidth="1"/>
    <col min="10783" max="10783" width="11.6640625" customWidth="1"/>
    <col min="11010" max="11010" width="9.109375" customWidth="1"/>
    <col min="11039" max="11039" width="11.6640625" customWidth="1"/>
    <col min="11266" max="11266" width="9.109375" customWidth="1"/>
    <col min="11295" max="11295" width="11.6640625" customWidth="1"/>
    <col min="11522" max="11522" width="9.109375" customWidth="1"/>
    <col min="11551" max="11551" width="11.6640625" customWidth="1"/>
    <col min="11778" max="11778" width="9.109375" customWidth="1"/>
    <col min="11807" max="11807" width="11.6640625" customWidth="1"/>
    <col min="12034" max="12034" width="9.109375" customWidth="1"/>
    <col min="12063" max="12063" width="11.6640625" customWidth="1"/>
    <col min="12290" max="12290" width="9.109375" customWidth="1"/>
    <col min="12319" max="12319" width="11.6640625" customWidth="1"/>
    <col min="12546" max="12546" width="9.109375" customWidth="1"/>
    <col min="12575" max="12575" width="11.6640625" customWidth="1"/>
    <col min="12802" max="12802" width="9.109375" customWidth="1"/>
    <col min="12831" max="12831" width="11.6640625" customWidth="1"/>
    <col min="13058" max="13058" width="9.109375" customWidth="1"/>
    <col min="13087" max="13087" width="11.6640625" customWidth="1"/>
    <col min="13314" max="13314" width="9.109375" customWidth="1"/>
    <col min="13343" max="13343" width="11.6640625" customWidth="1"/>
    <col min="13570" max="13570" width="9.109375" customWidth="1"/>
    <col min="13599" max="13599" width="11.6640625" customWidth="1"/>
    <col min="13826" max="13826" width="9.109375" customWidth="1"/>
    <col min="13855" max="13855" width="11.6640625" customWidth="1"/>
    <col min="14082" max="14082" width="9.109375" customWidth="1"/>
    <col min="14111" max="14111" width="11.6640625" customWidth="1"/>
    <col min="14338" max="14338" width="9.109375" customWidth="1"/>
    <col min="14367" max="14367" width="11.6640625" customWidth="1"/>
    <col min="14594" max="14594" width="9.109375" customWidth="1"/>
    <col min="14623" max="14623" width="11.6640625" customWidth="1"/>
    <col min="14850" max="14850" width="9.109375" customWidth="1"/>
    <col min="14879" max="14879" width="11.6640625" customWidth="1"/>
    <col min="15106" max="15106" width="9.109375" customWidth="1"/>
    <col min="15135" max="15135" width="11.6640625" customWidth="1"/>
    <col min="15362" max="15362" width="9.109375" customWidth="1"/>
    <col min="15391" max="15391" width="11.6640625" customWidth="1"/>
    <col min="15618" max="15618" width="9.109375" customWidth="1"/>
    <col min="15647" max="15647" width="11.6640625" customWidth="1"/>
    <col min="15874" max="15874" width="9.109375" customWidth="1"/>
    <col min="15903" max="15903" width="11.6640625" customWidth="1"/>
    <col min="16130" max="16130" width="9.109375" customWidth="1"/>
    <col min="16159" max="16159" width="11.6640625" customWidth="1"/>
  </cols>
  <sheetData>
    <row r="1" spans="1:63" x14ac:dyDescent="0.3">
      <c r="C1" s="78" t="s">
        <v>195</v>
      </c>
      <c r="D1" s="78"/>
      <c r="F1" s="78" t="s">
        <v>196</v>
      </c>
      <c r="G1" s="78"/>
      <c r="I1" s="78" t="s">
        <v>197</v>
      </c>
      <c r="J1" s="78"/>
      <c r="L1" s="78" t="s">
        <v>198</v>
      </c>
      <c r="M1" s="78"/>
      <c r="N1" s="78" t="s">
        <v>199</v>
      </c>
      <c r="O1" s="78"/>
      <c r="P1" s="78" t="s">
        <v>200</v>
      </c>
      <c r="Q1" s="78"/>
      <c r="R1" s="78" t="s">
        <v>201</v>
      </c>
      <c r="S1" s="78"/>
      <c r="T1" s="78" t="s">
        <v>202</v>
      </c>
      <c r="U1" s="78"/>
      <c r="W1" s="78" t="s">
        <v>203</v>
      </c>
      <c r="X1" s="78"/>
      <c r="Y1" s="78" t="s">
        <v>204</v>
      </c>
      <c r="Z1" s="78"/>
      <c r="AA1" s="78" t="s">
        <v>205</v>
      </c>
      <c r="AB1" s="78"/>
      <c r="AC1" s="78" t="s">
        <v>206</v>
      </c>
      <c r="AD1" s="78"/>
      <c r="AE1" s="78" t="s">
        <v>207</v>
      </c>
      <c r="AF1" s="78"/>
      <c r="AH1" s="78" t="s">
        <v>208</v>
      </c>
      <c r="AI1" s="78"/>
      <c r="AK1" s="78" t="s">
        <v>209</v>
      </c>
      <c r="AL1" s="78"/>
      <c r="AN1" s="78" t="s">
        <v>210</v>
      </c>
      <c r="AO1" s="78"/>
      <c r="AQ1" s="78" t="s">
        <v>211</v>
      </c>
      <c r="AR1" s="78"/>
      <c r="AT1" s="78" t="s">
        <v>212</v>
      </c>
      <c r="AU1" s="78"/>
      <c r="AW1" s="78" t="s">
        <v>213</v>
      </c>
      <c r="AX1" s="78"/>
      <c r="AZ1" s="78" t="s">
        <v>214</v>
      </c>
      <c r="BA1" s="78"/>
      <c r="BB1" s="78" t="s">
        <v>215</v>
      </c>
      <c r="BC1" s="78"/>
      <c r="BD1" s="78" t="s">
        <v>216</v>
      </c>
      <c r="BE1" s="78"/>
      <c r="BF1" s="78" t="s">
        <v>217</v>
      </c>
      <c r="BG1" s="78"/>
      <c r="BH1" s="78" t="s">
        <v>218</v>
      </c>
      <c r="BI1" s="78"/>
      <c r="BJ1" s="78" t="s">
        <v>219</v>
      </c>
      <c r="BK1" s="78"/>
    </row>
    <row r="2" spans="1:63" x14ac:dyDescent="0.3">
      <c r="A2" t="s">
        <v>194</v>
      </c>
      <c r="B2" s="43" t="s">
        <v>0</v>
      </c>
      <c r="C2" t="s">
        <v>220</v>
      </c>
      <c r="D2" t="s">
        <v>221</v>
      </c>
      <c r="E2" s="43" t="s">
        <v>0</v>
      </c>
      <c r="F2" t="s">
        <v>220</v>
      </c>
      <c r="G2" t="s">
        <v>221</v>
      </c>
      <c r="H2" s="43" t="s">
        <v>0</v>
      </c>
      <c r="I2" t="s">
        <v>220</v>
      </c>
      <c r="J2" t="s">
        <v>221</v>
      </c>
      <c r="K2" s="43" t="s">
        <v>0</v>
      </c>
      <c r="L2" t="s">
        <v>220</v>
      </c>
      <c r="M2" t="s">
        <v>221</v>
      </c>
      <c r="N2" t="s">
        <v>220</v>
      </c>
      <c r="O2" t="s">
        <v>221</v>
      </c>
      <c r="P2" t="s">
        <v>220</v>
      </c>
      <c r="Q2" t="s">
        <v>221</v>
      </c>
      <c r="R2" t="s">
        <v>220</v>
      </c>
      <c r="S2" t="s">
        <v>221</v>
      </c>
      <c r="T2" t="s">
        <v>220</v>
      </c>
      <c r="U2" t="s">
        <v>221</v>
      </c>
      <c r="V2" s="43" t="s">
        <v>0</v>
      </c>
      <c r="W2" t="s">
        <v>220</v>
      </c>
      <c r="X2" t="s">
        <v>221</v>
      </c>
      <c r="Y2" t="s">
        <v>220</v>
      </c>
      <c r="Z2" t="s">
        <v>221</v>
      </c>
      <c r="AA2" t="s">
        <v>220</v>
      </c>
      <c r="AB2" t="s">
        <v>221</v>
      </c>
      <c r="AC2" t="s">
        <v>220</v>
      </c>
      <c r="AD2" t="s">
        <v>221</v>
      </c>
      <c r="AE2" t="s">
        <v>220</v>
      </c>
      <c r="AF2" t="s">
        <v>221</v>
      </c>
      <c r="AG2" s="43" t="s">
        <v>0</v>
      </c>
      <c r="AH2" t="s">
        <v>220</v>
      </c>
      <c r="AI2" t="s">
        <v>221</v>
      </c>
      <c r="AJ2" s="43" t="s">
        <v>0</v>
      </c>
      <c r="AK2" t="s">
        <v>220</v>
      </c>
      <c r="AL2" t="s">
        <v>221</v>
      </c>
      <c r="AM2" s="43" t="s">
        <v>0</v>
      </c>
      <c r="AN2" t="s">
        <v>220</v>
      </c>
      <c r="AO2" t="s">
        <v>221</v>
      </c>
      <c r="AP2" s="43" t="s">
        <v>0</v>
      </c>
      <c r="AQ2" t="s">
        <v>220</v>
      </c>
      <c r="AR2" t="s">
        <v>221</v>
      </c>
      <c r="AS2" s="43" t="s">
        <v>0</v>
      </c>
      <c r="AT2" t="s">
        <v>220</v>
      </c>
      <c r="AU2" t="s">
        <v>221</v>
      </c>
      <c r="AV2" s="43" t="s">
        <v>0</v>
      </c>
      <c r="AW2" t="s">
        <v>220</v>
      </c>
      <c r="AX2" t="s">
        <v>221</v>
      </c>
      <c r="AY2" s="43" t="s">
        <v>0</v>
      </c>
      <c r="AZ2" t="s">
        <v>220</v>
      </c>
      <c r="BA2" t="s">
        <v>221</v>
      </c>
      <c r="BB2" t="s">
        <v>220</v>
      </c>
      <c r="BC2" t="s">
        <v>221</v>
      </c>
      <c r="BD2" t="s">
        <v>220</v>
      </c>
      <c r="BE2" t="s">
        <v>221</v>
      </c>
      <c r="BF2" t="s">
        <v>220</v>
      </c>
      <c r="BG2" t="s">
        <v>221</v>
      </c>
      <c r="BH2" t="s">
        <v>220</v>
      </c>
      <c r="BI2" t="s">
        <v>221</v>
      </c>
      <c r="BJ2" t="s">
        <v>220</v>
      </c>
      <c r="BK2" t="s">
        <v>221</v>
      </c>
    </row>
    <row r="3" spans="1:63" x14ac:dyDescent="0.3">
      <c r="A3" t="s">
        <v>244</v>
      </c>
      <c r="B3" t="s">
        <v>117</v>
      </c>
      <c r="F3">
        <f>40000/((30+36)/2)*25</f>
        <v>30303.0303030303</v>
      </c>
      <c r="G3">
        <v>40000</v>
      </c>
      <c r="H3" s="2" t="s">
        <v>3</v>
      </c>
      <c r="I3">
        <v>235</v>
      </c>
      <c r="J3">
        <v>24272</v>
      </c>
      <c r="L3">
        <v>530</v>
      </c>
      <c r="M3">
        <v>87383</v>
      </c>
      <c r="N3">
        <v>376</v>
      </c>
      <c r="O3">
        <v>39992</v>
      </c>
      <c r="P3">
        <v>568</v>
      </c>
      <c r="Q3">
        <v>53086</v>
      </c>
      <c r="R3">
        <v>982</v>
      </c>
      <c r="S3" s="4">
        <v>82420</v>
      </c>
      <c r="T3">
        <v>1000</v>
      </c>
      <c r="U3">
        <v>58575</v>
      </c>
      <c r="W3">
        <v>650</v>
      </c>
      <c r="X3">
        <v>43500</v>
      </c>
      <c r="Y3">
        <v>873</v>
      </c>
      <c r="Z3">
        <v>72000</v>
      </c>
      <c r="AA3">
        <v>665</v>
      </c>
      <c r="AB3">
        <v>60000</v>
      </c>
      <c r="AC3">
        <v>885</v>
      </c>
      <c r="AD3">
        <v>80000</v>
      </c>
      <c r="AE3">
        <v>1170</v>
      </c>
      <c r="AF3">
        <v>92000</v>
      </c>
      <c r="AG3" s="2" t="s">
        <v>15</v>
      </c>
      <c r="AH3">
        <v>120587</v>
      </c>
      <c r="AI3">
        <v>61530</v>
      </c>
      <c r="AK3">
        <v>160000</v>
      </c>
      <c r="AL3">
        <v>80000</v>
      </c>
      <c r="AM3" s="2" t="s">
        <v>2</v>
      </c>
      <c r="AN3">
        <v>1445</v>
      </c>
      <c r="AO3">
        <v>75000</v>
      </c>
      <c r="AQ3">
        <v>970</v>
      </c>
      <c r="AR3">
        <v>70000</v>
      </c>
      <c r="AT3">
        <v>1000</v>
      </c>
      <c r="AU3">
        <v>72600</v>
      </c>
      <c r="AY3" s="2" t="s">
        <v>5</v>
      </c>
      <c r="AZ3">
        <v>57</v>
      </c>
      <c r="BA3">
        <v>82900</v>
      </c>
      <c r="BD3">
        <v>64</v>
      </c>
      <c r="BE3">
        <v>82000</v>
      </c>
      <c r="BF3">
        <v>63</v>
      </c>
      <c r="BG3">
        <v>80000</v>
      </c>
      <c r="BH3">
        <v>61</v>
      </c>
      <c r="BI3">
        <v>75000</v>
      </c>
      <c r="BJ3">
        <v>50</v>
      </c>
      <c r="BK3">
        <v>60000</v>
      </c>
    </row>
    <row r="4" spans="1:63" x14ac:dyDescent="0.3">
      <c r="A4" t="s">
        <v>314</v>
      </c>
      <c r="B4" t="s">
        <v>118</v>
      </c>
      <c r="I4">
        <v>3399</v>
      </c>
      <c r="J4">
        <v>135960</v>
      </c>
      <c r="L4">
        <v>8528</v>
      </c>
      <c r="M4">
        <v>329004</v>
      </c>
      <c r="N4">
        <v>5304</v>
      </c>
      <c r="O4">
        <v>205832</v>
      </c>
      <c r="P4">
        <v>2007</v>
      </c>
      <c r="Q4">
        <v>80280</v>
      </c>
      <c r="R4">
        <v>3542</v>
      </c>
      <c r="S4">
        <v>187133</v>
      </c>
      <c r="T4">
        <v>6160</v>
      </c>
      <c r="U4">
        <v>308000</v>
      </c>
      <c r="AG4" t="s">
        <v>3</v>
      </c>
      <c r="AY4" t="s">
        <v>3</v>
      </c>
    </row>
    <row r="5" spans="1:63" x14ac:dyDescent="0.3">
      <c r="A5" t="s">
        <v>81</v>
      </c>
      <c r="B5" t="s">
        <v>118</v>
      </c>
      <c r="I5">
        <v>1087</v>
      </c>
      <c r="J5">
        <v>34028</v>
      </c>
      <c r="L5">
        <v>420</v>
      </c>
      <c r="M5">
        <v>15680</v>
      </c>
      <c r="N5">
        <v>460</v>
      </c>
      <c r="O5">
        <v>15331</v>
      </c>
      <c r="P5">
        <v>421</v>
      </c>
      <c r="Q5">
        <v>19136</v>
      </c>
      <c r="R5">
        <v>1225</v>
      </c>
      <c r="S5">
        <v>29120</v>
      </c>
      <c r="T5">
        <v>1786</v>
      </c>
      <c r="U5">
        <v>32122</v>
      </c>
      <c r="W5">
        <v>2600</v>
      </c>
      <c r="X5">
        <v>56000</v>
      </c>
      <c r="AG5" t="s">
        <v>3</v>
      </c>
      <c r="AY5" t="s">
        <v>3</v>
      </c>
    </row>
    <row r="6" spans="1:63" x14ac:dyDescent="0.3">
      <c r="A6" t="s">
        <v>315</v>
      </c>
      <c r="B6" t="s">
        <v>118</v>
      </c>
      <c r="Y6">
        <v>2150</v>
      </c>
      <c r="Z6">
        <v>55000</v>
      </c>
      <c r="AA6">
        <v>2550</v>
      </c>
      <c r="AB6">
        <v>83250</v>
      </c>
      <c r="AC6">
        <v>3045</v>
      </c>
      <c r="AD6">
        <v>96300</v>
      </c>
      <c r="AE6">
        <v>2350</v>
      </c>
      <c r="AF6">
        <v>75500</v>
      </c>
      <c r="AG6" t="s">
        <v>3</v>
      </c>
      <c r="AY6" t="s">
        <v>3</v>
      </c>
    </row>
    <row r="7" spans="1:63" x14ac:dyDescent="0.3">
      <c r="A7" t="s">
        <v>325</v>
      </c>
      <c r="B7" t="s">
        <v>119</v>
      </c>
      <c r="C7">
        <v>70000</v>
      </c>
      <c r="D7">
        <f>4200000/110</f>
        <v>38181.818181818184</v>
      </c>
      <c r="F7">
        <v>68800</v>
      </c>
      <c r="G7">
        <f>4128000/110</f>
        <v>37527.272727272728</v>
      </c>
      <c r="AG7" t="s">
        <v>11</v>
      </c>
      <c r="AY7" t="s">
        <v>11</v>
      </c>
    </row>
    <row r="8" spans="1:63" x14ac:dyDescent="0.3">
      <c r="A8" t="s">
        <v>316</v>
      </c>
      <c r="B8" t="s">
        <v>119</v>
      </c>
      <c r="C8">
        <v>1500</v>
      </c>
      <c r="D8">
        <f>105000/110</f>
        <v>954.5454545454545</v>
      </c>
      <c r="F8">
        <v>1280</v>
      </c>
      <c r="G8">
        <f>90000/110</f>
        <v>818.18181818181813</v>
      </c>
      <c r="AG8" t="s">
        <v>11</v>
      </c>
      <c r="AH8">
        <v>50000</v>
      </c>
      <c r="AI8">
        <v>14000</v>
      </c>
      <c r="AY8" t="s">
        <v>11</v>
      </c>
    </row>
    <row r="9" spans="1:63" x14ac:dyDescent="0.3">
      <c r="A9" t="s">
        <v>317</v>
      </c>
      <c r="B9" t="s">
        <v>119</v>
      </c>
      <c r="C9">
        <v>8000</v>
      </c>
      <c r="D9">
        <f>840000/110</f>
        <v>7636.363636363636</v>
      </c>
      <c r="F9">
        <v>92400</v>
      </c>
      <c r="G9">
        <f>1387000/110</f>
        <v>12609.09090909091</v>
      </c>
      <c r="AG9" t="s">
        <v>11</v>
      </c>
      <c r="AH9">
        <v>10000</v>
      </c>
      <c r="AI9">
        <v>3400</v>
      </c>
      <c r="AY9" t="s">
        <v>11</v>
      </c>
    </row>
    <row r="10" spans="1:63" x14ac:dyDescent="0.3">
      <c r="A10" t="s">
        <v>323</v>
      </c>
      <c r="B10" t="s">
        <v>119</v>
      </c>
      <c r="C10">
        <v>2000</v>
      </c>
      <c r="D10">
        <f>214500/110</f>
        <v>1950</v>
      </c>
      <c r="F10">
        <v>1570</v>
      </c>
      <c r="G10">
        <f>168000/110</f>
        <v>1527.2727272727273</v>
      </c>
      <c r="AG10" t="s">
        <v>11</v>
      </c>
      <c r="AH10">
        <v>20000</v>
      </c>
      <c r="AI10">
        <v>7200</v>
      </c>
      <c r="AY10" t="s">
        <v>11</v>
      </c>
    </row>
    <row r="11" spans="1:63" x14ac:dyDescent="0.3">
      <c r="A11" t="s">
        <v>318</v>
      </c>
      <c r="B11" t="s">
        <v>119</v>
      </c>
      <c r="C11">
        <v>500</v>
      </c>
      <c r="D11">
        <f>62500/110</f>
        <v>568.18181818181813</v>
      </c>
      <c r="F11">
        <v>2110</v>
      </c>
      <c r="G11">
        <f>264000/110</f>
        <v>2400</v>
      </c>
      <c r="AG11" t="s">
        <v>11</v>
      </c>
      <c r="AH11">
        <v>14000</v>
      </c>
      <c r="AI11">
        <v>6160</v>
      </c>
      <c r="AY11" t="s">
        <v>11</v>
      </c>
    </row>
    <row r="12" spans="1:63" x14ac:dyDescent="0.3">
      <c r="A12" t="s">
        <v>320</v>
      </c>
      <c r="B12" t="s">
        <v>119</v>
      </c>
      <c r="AG12" t="s">
        <v>11</v>
      </c>
      <c r="AH12">
        <v>6000</v>
      </c>
      <c r="AI12">
        <v>2880</v>
      </c>
      <c r="AY12" t="s">
        <v>11</v>
      </c>
    </row>
    <row r="13" spans="1:63" x14ac:dyDescent="0.3">
      <c r="A13" t="s">
        <v>321</v>
      </c>
      <c r="B13" t="s">
        <v>119</v>
      </c>
      <c r="AG13" t="s">
        <v>11</v>
      </c>
      <c r="AK13">
        <v>101000</v>
      </c>
      <c r="AL13">
        <v>34000</v>
      </c>
      <c r="AN13">
        <v>89000</v>
      </c>
      <c r="AO13">
        <v>42265</v>
      </c>
      <c r="AQ13" s="4">
        <v>203000</v>
      </c>
      <c r="AR13" s="4">
        <v>88330</v>
      </c>
      <c r="AT13">
        <v>183000</v>
      </c>
      <c r="AU13">
        <v>60950</v>
      </c>
      <c r="AY13" t="s">
        <v>11</v>
      </c>
    </row>
    <row r="14" spans="1:63" x14ac:dyDescent="0.3">
      <c r="A14" t="s">
        <v>315</v>
      </c>
      <c r="B14" t="s">
        <v>119</v>
      </c>
      <c r="AG14" t="s">
        <v>11</v>
      </c>
      <c r="AQ14" s="4"/>
      <c r="AR14" s="4"/>
      <c r="AW14">
        <v>216000</v>
      </c>
      <c r="AX14">
        <v>73800</v>
      </c>
      <c r="AY14" t="s">
        <v>11</v>
      </c>
      <c r="AZ14">
        <v>248000</v>
      </c>
      <c r="BA14">
        <v>88800</v>
      </c>
      <c r="BB14">
        <v>260000</v>
      </c>
      <c r="BC14">
        <v>93000</v>
      </c>
      <c r="BD14">
        <v>240000</v>
      </c>
      <c r="BE14">
        <v>80000</v>
      </c>
      <c r="BF14">
        <v>230000</v>
      </c>
      <c r="BG14">
        <v>78000</v>
      </c>
      <c r="BH14">
        <v>220000</v>
      </c>
      <c r="BI14">
        <v>74000</v>
      </c>
      <c r="BJ14">
        <v>242000</v>
      </c>
      <c r="BK14">
        <v>80900</v>
      </c>
    </row>
    <row r="15" spans="1:63" x14ac:dyDescent="0.3">
      <c r="A15" t="s">
        <v>322</v>
      </c>
      <c r="B15" t="s">
        <v>120</v>
      </c>
      <c r="AG15" t="s">
        <v>15</v>
      </c>
      <c r="AW15">
        <v>70000</v>
      </c>
      <c r="AX15">
        <v>7000</v>
      </c>
      <c r="AY15" t="s">
        <v>15</v>
      </c>
      <c r="AZ15">
        <v>70000</v>
      </c>
      <c r="BA15">
        <v>7000</v>
      </c>
      <c r="BB15">
        <v>80000</v>
      </c>
      <c r="BC15">
        <v>9000</v>
      </c>
      <c r="BD15">
        <v>70000</v>
      </c>
      <c r="BE15">
        <v>7000</v>
      </c>
      <c r="BF15">
        <v>60000</v>
      </c>
      <c r="BG15">
        <v>6000</v>
      </c>
      <c r="BH15">
        <v>50000</v>
      </c>
      <c r="BI15">
        <v>5000</v>
      </c>
      <c r="BJ15">
        <v>490000</v>
      </c>
      <c r="BK15">
        <v>4100</v>
      </c>
    </row>
    <row r="16" spans="1:63" x14ac:dyDescent="0.3">
      <c r="A16" t="s">
        <v>324</v>
      </c>
      <c r="B16" t="s">
        <v>121</v>
      </c>
      <c r="C16">
        <v>5000</v>
      </c>
      <c r="D16">
        <f>230000/110</f>
        <v>2090.909090909091</v>
      </c>
      <c r="AG16" t="s">
        <v>16</v>
      </c>
      <c r="AY16" t="s">
        <v>16</v>
      </c>
    </row>
    <row r="17" spans="1:51" x14ac:dyDescent="0.3">
      <c r="A17" t="s">
        <v>82</v>
      </c>
      <c r="B17" t="s">
        <v>118</v>
      </c>
      <c r="I17">
        <v>484</v>
      </c>
      <c r="J17">
        <v>3882</v>
      </c>
      <c r="L17">
        <v>663</v>
      </c>
      <c r="M17">
        <v>3115</v>
      </c>
      <c r="N17">
        <v>1276</v>
      </c>
      <c r="O17">
        <v>6130</v>
      </c>
      <c r="P17">
        <v>1309</v>
      </c>
      <c r="Q17">
        <v>19663</v>
      </c>
      <c r="R17">
        <v>604</v>
      </c>
      <c r="S17">
        <v>24160</v>
      </c>
      <c r="T17">
        <v>674</v>
      </c>
      <c r="U17">
        <v>26960</v>
      </c>
      <c r="AG17" t="s">
        <v>3</v>
      </c>
      <c r="AY17" t="s">
        <v>3</v>
      </c>
    </row>
    <row r="18" spans="1:51" x14ac:dyDescent="0.3">
      <c r="A18" t="s">
        <v>163</v>
      </c>
      <c r="B18" t="s">
        <v>122</v>
      </c>
      <c r="W18">
        <v>310000</v>
      </c>
      <c r="X18">
        <v>117430</v>
      </c>
      <c r="Y18" s="4">
        <v>240000</v>
      </c>
      <c r="Z18">
        <v>92000</v>
      </c>
      <c r="AA18">
        <v>300000</v>
      </c>
      <c r="AB18">
        <v>112500</v>
      </c>
      <c r="AC18">
        <v>324000</v>
      </c>
      <c r="AD18">
        <v>110000</v>
      </c>
      <c r="AE18">
        <v>259000</v>
      </c>
      <c r="AF18">
        <v>86000</v>
      </c>
      <c r="AG18" t="s">
        <v>6</v>
      </c>
      <c r="AY18" t="s">
        <v>6</v>
      </c>
    </row>
    <row r="19" spans="1:51" x14ac:dyDescent="0.3">
      <c r="A19" t="s">
        <v>164</v>
      </c>
      <c r="B19" t="s">
        <v>122</v>
      </c>
      <c r="C19">
        <v>50000</v>
      </c>
      <c r="D19">
        <f>2400000/110</f>
        <v>21818.18181818182</v>
      </c>
      <c r="F19">
        <v>91250</v>
      </c>
      <c r="G19">
        <f>4562500/110</f>
        <v>41477.272727272728</v>
      </c>
      <c r="Y19" s="4"/>
      <c r="AG19" t="s">
        <v>6</v>
      </c>
      <c r="AY19" t="s">
        <v>6</v>
      </c>
    </row>
    <row r="20" spans="1:51" x14ac:dyDescent="0.3">
      <c r="A20" t="s">
        <v>83</v>
      </c>
      <c r="B20" t="s">
        <v>122</v>
      </c>
      <c r="C20">
        <v>11000</v>
      </c>
      <c r="D20">
        <f>990000/110</f>
        <v>9000</v>
      </c>
      <c r="F20">
        <v>43800</v>
      </c>
      <c r="G20">
        <f>2658000/110</f>
        <v>24163.636363636364</v>
      </c>
      <c r="Y20" s="4"/>
      <c r="AG20" t="s">
        <v>6</v>
      </c>
      <c r="AY20" t="s">
        <v>6</v>
      </c>
    </row>
    <row r="21" spans="1:51" x14ac:dyDescent="0.3">
      <c r="A21" t="s">
        <v>84</v>
      </c>
      <c r="B21" t="s">
        <v>122</v>
      </c>
      <c r="C21">
        <v>500</v>
      </c>
      <c r="D21">
        <f>48700/110</f>
        <v>442.72727272727275</v>
      </c>
      <c r="F21">
        <v>18250</v>
      </c>
      <c r="G21">
        <f>1277500/110</f>
        <v>11613.636363636364</v>
      </c>
      <c r="Y21" s="4"/>
      <c r="AG21" t="s">
        <v>6</v>
      </c>
      <c r="AY21" t="s">
        <v>6</v>
      </c>
    </row>
    <row r="22" spans="1:51" x14ac:dyDescent="0.3">
      <c r="A22" t="s">
        <v>85</v>
      </c>
      <c r="B22" t="s">
        <v>122</v>
      </c>
      <c r="C22">
        <v>200</v>
      </c>
      <c r="D22">
        <f>28800/110</f>
        <v>261.81818181818181</v>
      </c>
      <c r="Y22" s="4"/>
      <c r="AG22" t="s">
        <v>6</v>
      </c>
      <c r="AY22" t="s">
        <v>6</v>
      </c>
    </row>
    <row r="23" spans="1:51" x14ac:dyDescent="0.3">
      <c r="A23" t="s">
        <v>86</v>
      </c>
      <c r="B23" t="s">
        <v>122</v>
      </c>
      <c r="C23">
        <v>2000</v>
      </c>
      <c r="D23">
        <f>96000/110</f>
        <v>872.72727272727275</v>
      </c>
      <c r="E23" s="2" t="s">
        <v>17</v>
      </c>
      <c r="F23">
        <f>2000/((6+15)/2)*25</f>
        <v>4761.9047619047624</v>
      </c>
      <c r="G23">
        <v>20000</v>
      </c>
      <c r="Y23" s="4"/>
      <c r="AG23" t="s">
        <v>6</v>
      </c>
      <c r="AY23" t="s">
        <v>6</v>
      </c>
    </row>
    <row r="24" spans="1:51" x14ac:dyDescent="0.3">
      <c r="A24" t="s">
        <v>87</v>
      </c>
      <c r="B24" t="s">
        <v>122</v>
      </c>
      <c r="C24">
        <v>10000</v>
      </c>
      <c r="D24">
        <f>320000/110</f>
        <v>2909.090909090909</v>
      </c>
      <c r="F24">
        <v>36500</v>
      </c>
      <c r="G24">
        <f>730000/110</f>
        <v>6636.363636363636</v>
      </c>
      <c r="Y24" s="4"/>
      <c r="AG24" t="s">
        <v>6</v>
      </c>
      <c r="AY24" t="s">
        <v>6</v>
      </c>
    </row>
    <row r="25" spans="1:51" x14ac:dyDescent="0.3">
      <c r="A25" t="s">
        <v>88</v>
      </c>
      <c r="B25" t="s">
        <v>123</v>
      </c>
      <c r="C25">
        <v>1000</v>
      </c>
      <c r="D25">
        <f>100000/110</f>
        <v>909.09090909090912</v>
      </c>
      <c r="Y25" s="4"/>
      <c r="AG25" t="s">
        <v>18</v>
      </c>
      <c r="AY25" t="s">
        <v>18</v>
      </c>
    </row>
    <row r="26" spans="1:51" x14ac:dyDescent="0.3">
      <c r="A26" t="s">
        <v>89</v>
      </c>
      <c r="B26" t="s">
        <v>124</v>
      </c>
      <c r="C26">
        <v>100</v>
      </c>
      <c r="D26">
        <f>80000/110</f>
        <v>727.27272727272725</v>
      </c>
      <c r="Y26" s="4"/>
      <c r="AG26" t="s">
        <v>19</v>
      </c>
      <c r="AY26" t="s">
        <v>19</v>
      </c>
    </row>
    <row r="27" spans="1:51" x14ac:dyDescent="0.3">
      <c r="A27" t="s">
        <v>90</v>
      </c>
      <c r="B27" t="s">
        <v>123</v>
      </c>
      <c r="C27">
        <v>150</v>
      </c>
      <c r="D27">
        <f>24750/110</f>
        <v>225</v>
      </c>
      <c r="Y27" s="4"/>
      <c r="AG27" t="s">
        <v>18</v>
      </c>
      <c r="AY27" t="s">
        <v>18</v>
      </c>
    </row>
    <row r="28" spans="1:51" x14ac:dyDescent="0.3">
      <c r="A28" t="s">
        <v>165</v>
      </c>
      <c r="B28" t="s">
        <v>122</v>
      </c>
      <c r="C28">
        <v>3000</v>
      </c>
      <c r="D28">
        <f>465000/110</f>
        <v>4227.272727272727</v>
      </c>
      <c r="Y28" s="4"/>
      <c r="AG28" t="s">
        <v>6</v>
      </c>
      <c r="AY28" t="s">
        <v>6</v>
      </c>
    </row>
    <row r="29" spans="1:51" x14ac:dyDescent="0.3">
      <c r="A29" t="s">
        <v>91</v>
      </c>
      <c r="B29" t="s">
        <v>122</v>
      </c>
      <c r="C29">
        <v>50000</v>
      </c>
      <c r="D29">
        <f>4500000/110</f>
        <v>40909.090909090912</v>
      </c>
      <c r="F29">
        <v>70000</v>
      </c>
      <c r="G29">
        <f>3942000/110</f>
        <v>35836.36363636364</v>
      </c>
      <c r="V29" s="2" t="s">
        <v>3</v>
      </c>
      <c r="W29">
        <v>70</v>
      </c>
      <c r="X29">
        <v>4300</v>
      </c>
      <c r="Y29" s="3">
        <v>65</v>
      </c>
      <c r="Z29" s="3">
        <v>4000</v>
      </c>
      <c r="AG29" t="s">
        <v>3</v>
      </c>
      <c r="AY29" t="s">
        <v>3</v>
      </c>
    </row>
    <row r="30" spans="1:51" x14ac:dyDescent="0.3">
      <c r="A30" t="s">
        <v>326</v>
      </c>
      <c r="B30" t="s">
        <v>125</v>
      </c>
      <c r="F30">
        <f>400/2.25*25</f>
        <v>4444.4444444444443</v>
      </c>
      <c r="G30">
        <v>400</v>
      </c>
      <c r="V30" s="2" t="s">
        <v>3</v>
      </c>
      <c r="W30">
        <v>535</v>
      </c>
      <c r="X30">
        <v>23700</v>
      </c>
      <c r="Y30" s="3">
        <v>619</v>
      </c>
      <c r="Z30" s="3">
        <v>25100</v>
      </c>
      <c r="AG30" t="s">
        <v>3</v>
      </c>
      <c r="AY30" t="s">
        <v>3</v>
      </c>
    </row>
    <row r="31" spans="1:51" x14ac:dyDescent="0.3">
      <c r="A31" t="s">
        <v>166</v>
      </c>
      <c r="B31" t="s">
        <v>126</v>
      </c>
      <c r="W31">
        <v>185</v>
      </c>
      <c r="X31">
        <v>10910</v>
      </c>
      <c r="Y31">
        <v>130</v>
      </c>
      <c r="Z31">
        <v>7880</v>
      </c>
      <c r="AA31">
        <v>142</v>
      </c>
      <c r="AB31">
        <v>8250</v>
      </c>
      <c r="AC31">
        <v>190</v>
      </c>
      <c r="AD31">
        <v>12200</v>
      </c>
      <c r="AE31">
        <v>170</v>
      </c>
      <c r="AF31">
        <v>9700</v>
      </c>
      <c r="AG31" t="s">
        <v>9</v>
      </c>
      <c r="AY31" t="s">
        <v>9</v>
      </c>
    </row>
    <row r="32" spans="1:51" x14ac:dyDescent="0.3">
      <c r="A32" t="s">
        <v>167</v>
      </c>
      <c r="B32" t="s">
        <v>125</v>
      </c>
      <c r="F32">
        <f>8000/((8+12)/2)*25</f>
        <v>20000</v>
      </c>
      <c r="G32">
        <v>8000</v>
      </c>
      <c r="AG32" t="s">
        <v>17</v>
      </c>
      <c r="AY32" t="s">
        <v>17</v>
      </c>
    </row>
    <row r="33" spans="1:63" x14ac:dyDescent="0.3">
      <c r="A33" t="s">
        <v>92</v>
      </c>
      <c r="B33" t="s">
        <v>126</v>
      </c>
      <c r="W33">
        <v>70</v>
      </c>
      <c r="X33">
        <v>5470</v>
      </c>
      <c r="Y33">
        <v>92</v>
      </c>
      <c r="Z33">
        <v>7200</v>
      </c>
      <c r="AA33">
        <v>65</v>
      </c>
      <c r="AB33">
        <v>4000</v>
      </c>
      <c r="AC33">
        <v>88</v>
      </c>
      <c r="AD33">
        <v>7000</v>
      </c>
      <c r="AE33">
        <v>120</v>
      </c>
      <c r="AF33">
        <v>12000</v>
      </c>
      <c r="AG33" s="2" t="s">
        <v>20</v>
      </c>
      <c r="AH33">
        <v>15320</v>
      </c>
      <c r="AI33">
        <v>9000</v>
      </c>
      <c r="AK33">
        <v>15000</v>
      </c>
      <c r="AL33">
        <v>10000</v>
      </c>
      <c r="AN33">
        <v>11958</v>
      </c>
      <c r="AO33">
        <v>8000</v>
      </c>
      <c r="AQ33">
        <v>16000</v>
      </c>
      <c r="AR33">
        <v>10000</v>
      </c>
      <c r="AT33">
        <v>16000</v>
      </c>
      <c r="AU33">
        <v>12500</v>
      </c>
      <c r="AY33" s="4" t="s">
        <v>20</v>
      </c>
    </row>
    <row r="34" spans="1:63" x14ac:dyDescent="0.3">
      <c r="A34" t="s">
        <v>60</v>
      </c>
      <c r="B34" t="s">
        <v>117</v>
      </c>
      <c r="F34">
        <f>1400/23.5*25</f>
        <v>1489.3617021276596</v>
      </c>
      <c r="G34">
        <v>1400</v>
      </c>
      <c r="H34" s="2" t="s">
        <v>21</v>
      </c>
      <c r="I34">
        <v>71</v>
      </c>
      <c r="J34">
        <v>4960</v>
      </c>
      <c r="K34" s="2" t="s">
        <v>9</v>
      </c>
      <c r="L34">
        <v>192</v>
      </c>
      <c r="M34">
        <v>15386</v>
      </c>
      <c r="N34">
        <v>121</v>
      </c>
      <c r="O34" s="1">
        <v>14404</v>
      </c>
      <c r="P34">
        <v>203</v>
      </c>
      <c r="Q34">
        <v>19303</v>
      </c>
      <c r="R34">
        <v>180</v>
      </c>
      <c r="S34">
        <v>21914</v>
      </c>
      <c r="T34">
        <v>356</v>
      </c>
      <c r="U34">
        <v>25182</v>
      </c>
      <c r="W34">
        <v>170</v>
      </c>
      <c r="X34" s="4">
        <v>2800</v>
      </c>
      <c r="Y34" s="4">
        <v>265</v>
      </c>
      <c r="Z34">
        <v>19572</v>
      </c>
      <c r="AA34">
        <v>275</v>
      </c>
      <c r="AB34">
        <v>17410</v>
      </c>
      <c r="AC34">
        <v>269</v>
      </c>
      <c r="AD34">
        <v>16280</v>
      </c>
      <c r="AE34">
        <v>310</v>
      </c>
      <c r="AF34">
        <v>17800</v>
      </c>
      <c r="AG34" s="2" t="s">
        <v>2</v>
      </c>
      <c r="AH34">
        <v>255</v>
      </c>
      <c r="AI34">
        <v>6391</v>
      </c>
      <c r="AK34">
        <v>560</v>
      </c>
      <c r="AL34">
        <v>12000</v>
      </c>
      <c r="AN34">
        <v>267</v>
      </c>
      <c r="AO34">
        <v>3640</v>
      </c>
      <c r="AQ34">
        <v>250</v>
      </c>
      <c r="AR34">
        <v>3779</v>
      </c>
      <c r="AT34">
        <v>210</v>
      </c>
      <c r="AU34">
        <v>3045</v>
      </c>
      <c r="AW34">
        <v>200</v>
      </c>
      <c r="AX34">
        <v>3300</v>
      </c>
      <c r="AY34" s="4" t="s">
        <v>2</v>
      </c>
    </row>
    <row r="35" spans="1:63" x14ac:dyDescent="0.3">
      <c r="A35" t="s">
        <v>93</v>
      </c>
      <c r="B35" t="s">
        <v>126</v>
      </c>
      <c r="F35">
        <f>80000/10.5*25</f>
        <v>190476.19047619047</v>
      </c>
      <c r="G35">
        <v>80000</v>
      </c>
      <c r="H35" s="2" t="s">
        <v>21</v>
      </c>
      <c r="I35">
        <v>31540</v>
      </c>
      <c r="J35">
        <v>11355</v>
      </c>
      <c r="K35" s="2" t="s">
        <v>9</v>
      </c>
      <c r="L35">
        <v>18086</v>
      </c>
      <c r="M35">
        <v>6160</v>
      </c>
      <c r="N35">
        <v>22107</v>
      </c>
      <c r="O35">
        <v>9209</v>
      </c>
      <c r="P35">
        <v>15933</v>
      </c>
      <c r="Q35">
        <v>6952</v>
      </c>
      <c r="R35">
        <v>15640</v>
      </c>
      <c r="S35">
        <v>6402</v>
      </c>
      <c r="T35">
        <v>36000</v>
      </c>
      <c r="U35">
        <v>10877</v>
      </c>
      <c r="W35" s="4">
        <v>43000</v>
      </c>
      <c r="X35">
        <v>13939</v>
      </c>
      <c r="Y35">
        <v>42000</v>
      </c>
      <c r="Z35">
        <v>13597</v>
      </c>
      <c r="AA35">
        <v>60000</v>
      </c>
      <c r="AB35">
        <v>17266</v>
      </c>
      <c r="AC35">
        <v>56000</v>
      </c>
      <c r="AD35">
        <v>18000</v>
      </c>
      <c r="AE35">
        <v>65000</v>
      </c>
      <c r="AF35">
        <v>18100</v>
      </c>
      <c r="AG35" t="s">
        <v>9</v>
      </c>
      <c r="AH35">
        <v>70000</v>
      </c>
      <c r="AI35">
        <v>16000</v>
      </c>
      <c r="AK35">
        <v>75000</v>
      </c>
      <c r="AL35">
        <v>17738</v>
      </c>
      <c r="AN35">
        <v>73800</v>
      </c>
      <c r="AO35">
        <v>18480</v>
      </c>
      <c r="AQ35">
        <v>82576</v>
      </c>
      <c r="AR35">
        <v>24823</v>
      </c>
      <c r="AT35">
        <v>81000</v>
      </c>
      <c r="AU35">
        <v>23600</v>
      </c>
      <c r="AY35" t="s">
        <v>9</v>
      </c>
      <c r="AZ35">
        <v>88000</v>
      </c>
      <c r="BA35">
        <v>27000</v>
      </c>
      <c r="BD35">
        <v>80000</v>
      </c>
      <c r="BE35">
        <v>24000</v>
      </c>
      <c r="BF35">
        <v>80000</v>
      </c>
      <c r="BG35">
        <v>25000</v>
      </c>
      <c r="BH35">
        <v>88000</v>
      </c>
      <c r="BI35">
        <v>27500</v>
      </c>
      <c r="BJ35">
        <v>78000</v>
      </c>
      <c r="BK35">
        <v>26000</v>
      </c>
    </row>
    <row r="36" spans="1:63" x14ac:dyDescent="0.3">
      <c r="A36" t="s">
        <v>62</v>
      </c>
      <c r="B36" t="s">
        <v>127</v>
      </c>
      <c r="F36">
        <v>114235</v>
      </c>
      <c r="G36">
        <f>446940/110</f>
        <v>4063.090909090909</v>
      </c>
      <c r="H36" s="2" t="s">
        <v>23</v>
      </c>
      <c r="I36">
        <v>10243</v>
      </c>
      <c r="J36">
        <v>31505</v>
      </c>
      <c r="P36">
        <v>12841</v>
      </c>
      <c r="Q36">
        <v>14009</v>
      </c>
      <c r="R36">
        <v>20220</v>
      </c>
      <c r="S36">
        <v>44000</v>
      </c>
      <c r="T36" s="4">
        <v>20154</v>
      </c>
      <c r="U36">
        <v>23071</v>
      </c>
      <c r="V36" s="2" t="s">
        <v>2</v>
      </c>
      <c r="W36">
        <v>37870</v>
      </c>
      <c r="X36">
        <v>36000</v>
      </c>
      <c r="Y36">
        <v>41520</v>
      </c>
      <c r="Z36">
        <v>34000</v>
      </c>
      <c r="AA36">
        <v>37500</v>
      </c>
      <c r="AB36">
        <v>32000</v>
      </c>
      <c r="AC36">
        <v>41870</v>
      </c>
      <c r="AD36">
        <v>40000</v>
      </c>
      <c r="AE36">
        <v>43000</v>
      </c>
      <c r="AF36">
        <v>35000</v>
      </c>
      <c r="AG36" s="4" t="s">
        <v>2</v>
      </c>
      <c r="AH36" s="4">
        <v>52000</v>
      </c>
      <c r="AI36" s="4">
        <v>41600</v>
      </c>
      <c r="AJ36" s="4"/>
      <c r="AK36" s="4">
        <v>54000</v>
      </c>
      <c r="AL36" s="4">
        <v>43000</v>
      </c>
      <c r="AM36" s="4"/>
      <c r="AN36" s="4">
        <v>43000</v>
      </c>
      <c r="AO36" s="4">
        <v>35000</v>
      </c>
      <c r="AP36" s="4"/>
      <c r="AQ36" s="4">
        <v>40000</v>
      </c>
      <c r="AR36" s="4">
        <v>33000</v>
      </c>
      <c r="AS36" s="4"/>
      <c r="AT36" s="4">
        <v>42000</v>
      </c>
      <c r="AU36" s="4">
        <v>31000</v>
      </c>
      <c r="AV36" s="4"/>
      <c r="AY36" s="2" t="s">
        <v>5</v>
      </c>
      <c r="BD36">
        <v>2000</v>
      </c>
      <c r="BE36">
        <v>40000</v>
      </c>
      <c r="BF36">
        <v>1800</v>
      </c>
      <c r="BG36">
        <v>36000</v>
      </c>
      <c r="BH36">
        <v>1700</v>
      </c>
      <c r="BI36">
        <v>34000</v>
      </c>
      <c r="BJ36">
        <v>1700</v>
      </c>
      <c r="BK36">
        <v>34000</v>
      </c>
    </row>
    <row r="37" spans="1:63" x14ac:dyDescent="0.3">
      <c r="A37" t="s">
        <v>59</v>
      </c>
      <c r="B37" t="s">
        <v>127</v>
      </c>
      <c r="F37">
        <v>73000</v>
      </c>
      <c r="G37">
        <f>1314000/110</f>
        <v>11945.454545454546</v>
      </c>
      <c r="H37" s="2" t="s">
        <v>23</v>
      </c>
      <c r="I37">
        <v>1520</v>
      </c>
      <c r="J37">
        <v>8632</v>
      </c>
      <c r="L37">
        <v>3160</v>
      </c>
      <c r="M37">
        <v>18845</v>
      </c>
      <c r="N37">
        <v>1663</v>
      </c>
      <c r="O37">
        <v>12100</v>
      </c>
      <c r="P37">
        <v>1181</v>
      </c>
      <c r="Q37">
        <v>20693</v>
      </c>
      <c r="R37">
        <v>1733</v>
      </c>
      <c r="S37">
        <v>28096</v>
      </c>
      <c r="T37">
        <v>4292</v>
      </c>
      <c r="U37">
        <v>13175</v>
      </c>
      <c r="V37" s="2" t="s">
        <v>2</v>
      </c>
      <c r="W37">
        <v>3500</v>
      </c>
      <c r="X37" s="4">
        <v>20150</v>
      </c>
      <c r="Y37">
        <v>4375</v>
      </c>
      <c r="Z37">
        <v>25180</v>
      </c>
      <c r="AA37">
        <v>6250</v>
      </c>
      <c r="AB37">
        <v>36000</v>
      </c>
      <c r="AC37">
        <v>7500</v>
      </c>
      <c r="AD37">
        <v>40000</v>
      </c>
      <c r="AE37">
        <v>6300</v>
      </c>
      <c r="AF37">
        <v>32000</v>
      </c>
      <c r="AG37" s="4" t="s">
        <v>2</v>
      </c>
      <c r="AH37" s="4">
        <v>17200</v>
      </c>
      <c r="AI37" s="4">
        <v>13824</v>
      </c>
      <c r="AJ37" s="4"/>
      <c r="AK37" s="4">
        <v>9280</v>
      </c>
      <c r="AL37" s="4">
        <v>22000</v>
      </c>
      <c r="AM37" s="4"/>
      <c r="AN37" s="4">
        <v>9420</v>
      </c>
      <c r="AO37" s="4">
        <v>22500</v>
      </c>
      <c r="AP37" s="4"/>
      <c r="AQ37" s="4">
        <v>9500</v>
      </c>
      <c r="AR37" s="4">
        <v>23000</v>
      </c>
      <c r="AS37" s="4"/>
      <c r="AT37" s="4">
        <v>8550</v>
      </c>
      <c r="AU37" s="4">
        <v>26450</v>
      </c>
      <c r="AV37" s="4"/>
      <c r="AY37" s="2" t="s">
        <v>5</v>
      </c>
      <c r="BD37">
        <v>360</v>
      </c>
      <c r="BE37">
        <v>20000</v>
      </c>
      <c r="BF37">
        <v>400</v>
      </c>
      <c r="BG37">
        <v>35000</v>
      </c>
      <c r="BH37">
        <v>500</v>
      </c>
      <c r="BI37">
        <v>37000</v>
      </c>
      <c r="BJ37">
        <v>450</v>
      </c>
      <c r="BK37">
        <v>36000</v>
      </c>
    </row>
    <row r="38" spans="1:63" x14ac:dyDescent="0.3">
      <c r="A38" t="s">
        <v>73</v>
      </c>
      <c r="B38" t="s">
        <v>117</v>
      </c>
      <c r="F38">
        <f>20000/1*25</f>
        <v>500000</v>
      </c>
      <c r="G38">
        <v>20000</v>
      </c>
      <c r="H38" s="2" t="s">
        <v>24</v>
      </c>
      <c r="I38">
        <v>5336</v>
      </c>
      <c r="J38">
        <v>28815</v>
      </c>
      <c r="L38">
        <v>17750</v>
      </c>
      <c r="M38">
        <v>40146</v>
      </c>
      <c r="N38">
        <v>13864</v>
      </c>
      <c r="O38">
        <v>32552</v>
      </c>
      <c r="P38">
        <v>13718</v>
      </c>
      <c r="Q38">
        <v>36687</v>
      </c>
      <c r="R38">
        <v>16333</v>
      </c>
      <c r="S38">
        <v>47514</v>
      </c>
      <c r="T38">
        <v>24376</v>
      </c>
      <c r="U38" s="4">
        <v>49107</v>
      </c>
      <c r="V38" s="2" t="s">
        <v>2</v>
      </c>
      <c r="W38" s="4">
        <v>38150</v>
      </c>
      <c r="X38" s="4">
        <v>44892</v>
      </c>
      <c r="Y38" s="4">
        <v>42500</v>
      </c>
      <c r="Z38" s="4">
        <v>51150</v>
      </c>
      <c r="AA38" s="4">
        <v>50000</v>
      </c>
      <c r="AB38" s="4">
        <v>60000</v>
      </c>
      <c r="AC38" s="4">
        <v>37500</v>
      </c>
      <c r="AD38" s="4">
        <v>40000</v>
      </c>
      <c r="AE38" s="4">
        <v>38700</v>
      </c>
      <c r="AF38" s="4">
        <v>33000</v>
      </c>
      <c r="AG38" s="4" t="s">
        <v>2</v>
      </c>
      <c r="AH38" s="4">
        <v>70000</v>
      </c>
      <c r="AI38" s="4">
        <v>58800</v>
      </c>
      <c r="AJ38" s="4"/>
      <c r="AN38">
        <v>42850</v>
      </c>
      <c r="AO38">
        <v>40000</v>
      </c>
      <c r="AQ38">
        <v>44800</v>
      </c>
      <c r="AR38">
        <v>32000</v>
      </c>
      <c r="AT38">
        <v>27700</v>
      </c>
      <c r="AU38">
        <v>25000</v>
      </c>
      <c r="AV38" s="2" t="s">
        <v>5</v>
      </c>
      <c r="AW38">
        <v>2500</v>
      </c>
      <c r="AX38">
        <v>33000</v>
      </c>
      <c r="AY38" s="4" t="s">
        <v>5</v>
      </c>
      <c r="AZ38">
        <v>2600</v>
      </c>
      <c r="BA38">
        <v>35000</v>
      </c>
      <c r="BD38">
        <v>1800</v>
      </c>
      <c r="BE38">
        <v>33000</v>
      </c>
      <c r="BF38">
        <v>2000</v>
      </c>
      <c r="BG38">
        <v>44600</v>
      </c>
      <c r="BH38">
        <v>2400</v>
      </c>
      <c r="BI38">
        <v>46500</v>
      </c>
      <c r="BJ38">
        <v>2640</v>
      </c>
      <c r="BK38">
        <v>50700</v>
      </c>
    </row>
    <row r="39" spans="1:63" x14ac:dyDescent="0.3">
      <c r="A39" t="s">
        <v>94</v>
      </c>
      <c r="B39" t="s">
        <v>128</v>
      </c>
      <c r="I39">
        <v>307</v>
      </c>
      <c r="J39">
        <v>930</v>
      </c>
      <c r="K39" s="2" t="s">
        <v>23</v>
      </c>
      <c r="L39">
        <v>776</v>
      </c>
      <c r="M39">
        <v>3389</v>
      </c>
      <c r="N39">
        <v>269</v>
      </c>
      <c r="O39">
        <v>894</v>
      </c>
      <c r="P39">
        <v>475</v>
      </c>
      <c r="Q39">
        <v>3117</v>
      </c>
      <c r="R39" s="3">
        <v>1213</v>
      </c>
      <c r="S39" s="3">
        <v>5457</v>
      </c>
      <c r="U39" s="4"/>
      <c r="V39" s="4"/>
      <c r="W39" s="4"/>
      <c r="X39" s="4"/>
      <c r="Y39" s="4"/>
      <c r="Z39" s="4"/>
      <c r="AG39" s="2" t="s">
        <v>2</v>
      </c>
      <c r="AK39">
        <v>1500</v>
      </c>
      <c r="AL39">
        <v>5000</v>
      </c>
      <c r="AY39" s="4" t="s">
        <v>2</v>
      </c>
    </row>
    <row r="40" spans="1:63" x14ac:dyDescent="0.3">
      <c r="A40" t="s">
        <v>95</v>
      </c>
      <c r="B40" t="s">
        <v>127</v>
      </c>
      <c r="F40">
        <v>36500</v>
      </c>
      <c r="G40">
        <f>730000/110</f>
        <v>6636.363636363636</v>
      </c>
      <c r="J40" s="4"/>
      <c r="K40" s="4"/>
      <c r="L40" s="4"/>
      <c r="M40" s="4"/>
      <c r="N40" s="4"/>
      <c r="O40" s="4"/>
      <c r="P40" s="4"/>
      <c r="Q40" s="4"/>
      <c r="R40" s="4"/>
      <c r="S40" s="4"/>
      <c r="U40" s="4"/>
      <c r="V40" s="4"/>
      <c r="W40" s="4"/>
      <c r="X40" s="4"/>
      <c r="Y40" s="4"/>
      <c r="Z40" s="4"/>
      <c r="AG40" s="4" t="s">
        <v>22</v>
      </c>
      <c r="AY40" s="4" t="s">
        <v>22</v>
      </c>
    </row>
    <row r="41" spans="1:63" x14ac:dyDescent="0.3">
      <c r="A41" t="s">
        <v>72</v>
      </c>
      <c r="B41" t="s">
        <v>129</v>
      </c>
      <c r="C41" s="4"/>
      <c r="D41" s="4"/>
      <c r="E41" s="4"/>
      <c r="F41" s="4"/>
      <c r="G41" s="4"/>
      <c r="H41" s="4"/>
      <c r="J41" s="4"/>
      <c r="K41" s="4"/>
      <c r="L41" s="4"/>
      <c r="M41" s="4"/>
      <c r="N41" s="4"/>
      <c r="O41" s="4"/>
      <c r="P41" s="4"/>
      <c r="Q41" s="4"/>
      <c r="R41" s="4"/>
      <c r="S41" s="4"/>
      <c r="U41" s="4"/>
      <c r="V41" s="4"/>
      <c r="W41" s="4"/>
      <c r="X41" s="4"/>
      <c r="Y41" s="4"/>
      <c r="Z41" s="4"/>
      <c r="AG41" s="4" t="s">
        <v>2</v>
      </c>
      <c r="AH41">
        <v>1000</v>
      </c>
      <c r="AI41">
        <v>3200</v>
      </c>
      <c r="AK41">
        <v>1010</v>
      </c>
      <c r="AL41">
        <v>3300</v>
      </c>
      <c r="AY41" s="4" t="s">
        <v>2</v>
      </c>
    </row>
    <row r="42" spans="1:63" x14ac:dyDescent="0.3">
      <c r="A42" t="s">
        <v>96</v>
      </c>
      <c r="B42" t="s">
        <v>126</v>
      </c>
      <c r="I42">
        <v>67</v>
      </c>
      <c r="J42">
        <v>201</v>
      </c>
      <c r="R42" s="4"/>
      <c r="S42" s="4"/>
      <c r="U42" s="4"/>
      <c r="V42" s="4"/>
      <c r="W42" s="4"/>
      <c r="X42" s="4"/>
      <c r="Y42" s="4"/>
      <c r="Z42" s="4"/>
      <c r="AG42" t="s">
        <v>9</v>
      </c>
      <c r="AY42" t="s">
        <v>9</v>
      </c>
    </row>
    <row r="43" spans="1:63" x14ac:dyDescent="0.3">
      <c r="A43" t="s">
        <v>71</v>
      </c>
      <c r="B43" t="s">
        <v>128</v>
      </c>
      <c r="C43" s="4"/>
      <c r="D43" s="4"/>
      <c r="E43" s="4"/>
      <c r="F43" s="4"/>
      <c r="G43" s="4"/>
      <c r="H43" s="4"/>
      <c r="I43" s="4">
        <v>932</v>
      </c>
      <c r="J43" s="4">
        <v>941</v>
      </c>
      <c r="K43" s="4"/>
      <c r="L43" s="4"/>
      <c r="M43" s="4"/>
      <c r="U43" s="4"/>
      <c r="V43" s="2" t="s">
        <v>2</v>
      </c>
      <c r="W43" s="4">
        <v>23125</v>
      </c>
      <c r="X43" s="4">
        <v>8320</v>
      </c>
      <c r="Y43" s="4">
        <v>21250</v>
      </c>
      <c r="Z43" s="4">
        <v>7640</v>
      </c>
      <c r="AA43" s="4">
        <v>20000</v>
      </c>
      <c r="AB43" s="4">
        <v>6150</v>
      </c>
      <c r="AC43" s="4">
        <v>31250</v>
      </c>
      <c r="AD43" s="4">
        <v>8000</v>
      </c>
      <c r="AE43" s="4">
        <v>50000</v>
      </c>
      <c r="AF43" s="4">
        <v>10800</v>
      </c>
      <c r="AG43" s="4" t="s">
        <v>2</v>
      </c>
      <c r="AH43" s="4">
        <v>34000</v>
      </c>
      <c r="AI43" s="4">
        <v>9520</v>
      </c>
      <c r="AJ43" s="2" t="s">
        <v>5</v>
      </c>
      <c r="AK43">
        <v>1704</v>
      </c>
      <c r="AL43">
        <v>9500</v>
      </c>
      <c r="AN43">
        <v>2100</v>
      </c>
      <c r="AO43">
        <v>8000</v>
      </c>
      <c r="AQ43">
        <v>2200</v>
      </c>
      <c r="AR43">
        <v>9100</v>
      </c>
      <c r="AT43">
        <v>1380</v>
      </c>
      <c r="AU43">
        <v>5644</v>
      </c>
      <c r="AY43" s="4" t="s">
        <v>5</v>
      </c>
      <c r="AZ43">
        <v>1360</v>
      </c>
      <c r="BA43">
        <v>5200</v>
      </c>
      <c r="BD43">
        <v>1400</v>
      </c>
      <c r="BE43">
        <v>5500</v>
      </c>
      <c r="BF43">
        <v>1500</v>
      </c>
      <c r="BG43">
        <v>6000</v>
      </c>
      <c r="BH43">
        <v>1600</v>
      </c>
      <c r="BI43">
        <v>7000</v>
      </c>
      <c r="BJ43">
        <v>1700</v>
      </c>
      <c r="BK43">
        <v>7500</v>
      </c>
    </row>
    <row r="44" spans="1:63" x14ac:dyDescent="0.3">
      <c r="A44" t="s">
        <v>67</v>
      </c>
      <c r="B44" t="s">
        <v>130</v>
      </c>
      <c r="F44">
        <v>365</v>
      </c>
      <c r="G44">
        <f>237250/110</f>
        <v>2156.818181818182</v>
      </c>
      <c r="H44" s="2" t="s">
        <v>25</v>
      </c>
      <c r="I44" s="4">
        <v>10831</v>
      </c>
      <c r="J44" s="4">
        <v>2100</v>
      </c>
      <c r="L44" s="4">
        <v>11000</v>
      </c>
      <c r="M44" s="4">
        <v>11997</v>
      </c>
      <c r="N44">
        <v>12952</v>
      </c>
      <c r="O44">
        <v>13721</v>
      </c>
      <c r="P44">
        <v>16388</v>
      </c>
      <c r="Q44">
        <v>7961</v>
      </c>
      <c r="R44">
        <v>14173</v>
      </c>
      <c r="S44">
        <v>7736</v>
      </c>
      <c r="T44">
        <v>16942</v>
      </c>
      <c r="U44">
        <v>9751</v>
      </c>
      <c r="V44" s="2" t="s">
        <v>5</v>
      </c>
      <c r="W44" s="4">
        <v>559</v>
      </c>
      <c r="X44" s="4">
        <v>6800</v>
      </c>
      <c r="Y44" s="4">
        <v>675</v>
      </c>
      <c r="Z44" s="4">
        <v>8000</v>
      </c>
      <c r="AA44" s="4">
        <v>1025</v>
      </c>
      <c r="AB44" s="4">
        <v>13000</v>
      </c>
      <c r="AC44" s="4">
        <v>1000</v>
      </c>
      <c r="AD44" s="4">
        <v>12000</v>
      </c>
      <c r="AE44" s="4">
        <v>1250</v>
      </c>
      <c r="AF44" s="4">
        <v>16000</v>
      </c>
      <c r="AG44" s="4" t="s">
        <v>5</v>
      </c>
      <c r="AH44">
        <v>450</v>
      </c>
      <c r="AI44">
        <v>8400</v>
      </c>
      <c r="AK44">
        <v>646</v>
      </c>
      <c r="AL44">
        <v>9000</v>
      </c>
      <c r="AN44">
        <v>525</v>
      </c>
      <c r="AO44">
        <v>5560</v>
      </c>
      <c r="AQ44">
        <v>475</v>
      </c>
      <c r="AR44">
        <v>4866</v>
      </c>
      <c r="AT44">
        <v>600</v>
      </c>
      <c r="AU44">
        <v>6200</v>
      </c>
      <c r="AW44">
        <v>580</v>
      </c>
      <c r="AX44">
        <v>5500</v>
      </c>
      <c r="AY44" s="4" t="s">
        <v>5</v>
      </c>
      <c r="AZ44">
        <v>578</v>
      </c>
      <c r="BA44">
        <v>6630</v>
      </c>
      <c r="BB44">
        <v>600</v>
      </c>
      <c r="BC44">
        <v>7000</v>
      </c>
      <c r="BD44">
        <v>550</v>
      </c>
      <c r="BE44">
        <v>6000</v>
      </c>
      <c r="BF44">
        <v>600</v>
      </c>
      <c r="BG44">
        <v>7000</v>
      </c>
      <c r="BH44">
        <v>720</v>
      </c>
      <c r="BI44">
        <v>8400</v>
      </c>
      <c r="BJ44">
        <v>792</v>
      </c>
      <c r="BK44">
        <v>9000</v>
      </c>
    </row>
    <row r="45" spans="1:63" x14ac:dyDescent="0.3">
      <c r="A45" t="s">
        <v>65</v>
      </c>
      <c r="B45" t="s">
        <v>127</v>
      </c>
      <c r="F45">
        <v>35000</v>
      </c>
      <c r="G45">
        <f>805000/110</f>
        <v>7318.181818181818</v>
      </c>
      <c r="H45" s="2" t="s">
        <v>26</v>
      </c>
      <c r="I45" s="4">
        <v>488</v>
      </c>
      <c r="J45" s="4">
        <v>9238</v>
      </c>
      <c r="L45" s="4">
        <v>1052</v>
      </c>
      <c r="M45" s="4">
        <v>10991</v>
      </c>
      <c r="N45">
        <v>766</v>
      </c>
      <c r="O45">
        <v>7428</v>
      </c>
      <c r="P45">
        <v>527</v>
      </c>
      <c r="Q45">
        <v>7590</v>
      </c>
      <c r="R45">
        <v>212</v>
      </c>
      <c r="S45">
        <v>2988</v>
      </c>
      <c r="T45">
        <v>922</v>
      </c>
      <c r="U45" s="4">
        <v>7705</v>
      </c>
      <c r="V45" s="4"/>
      <c r="AG45" s="2" t="s">
        <v>5</v>
      </c>
      <c r="AH45">
        <v>85</v>
      </c>
      <c r="AI45">
        <v>8300</v>
      </c>
      <c r="AK45">
        <v>63</v>
      </c>
      <c r="AL45">
        <v>6000</v>
      </c>
      <c r="AN45">
        <v>60</v>
      </c>
      <c r="AO45">
        <v>5184</v>
      </c>
      <c r="AQ45">
        <v>40</v>
      </c>
      <c r="AR45">
        <v>3340</v>
      </c>
      <c r="AT45">
        <v>40</v>
      </c>
      <c r="AU45">
        <v>4000</v>
      </c>
      <c r="AW45">
        <v>20</v>
      </c>
      <c r="AX45">
        <v>2000</v>
      </c>
      <c r="AY45" s="4" t="s">
        <v>5</v>
      </c>
      <c r="AZ45">
        <v>15</v>
      </c>
      <c r="BA45">
        <v>1770</v>
      </c>
      <c r="BB45">
        <v>10</v>
      </c>
      <c r="BC45">
        <v>1200</v>
      </c>
      <c r="BD45">
        <v>10</v>
      </c>
      <c r="BE45">
        <v>1200</v>
      </c>
      <c r="BF45">
        <v>10</v>
      </c>
      <c r="BG45">
        <v>1400</v>
      </c>
      <c r="BH45">
        <v>11</v>
      </c>
      <c r="BI45">
        <v>1500</v>
      </c>
      <c r="BJ45">
        <v>10</v>
      </c>
      <c r="BK45">
        <v>1400</v>
      </c>
    </row>
    <row r="46" spans="1:63" x14ac:dyDescent="0.3">
      <c r="A46" t="s">
        <v>97</v>
      </c>
      <c r="B46" t="s">
        <v>131</v>
      </c>
      <c r="R46" s="4"/>
      <c r="U46" s="4"/>
      <c r="V46" s="4"/>
      <c r="W46">
        <v>80</v>
      </c>
      <c r="X46" s="1">
        <v>6800</v>
      </c>
      <c r="Y46">
        <v>90</v>
      </c>
      <c r="Z46">
        <v>6000</v>
      </c>
      <c r="AA46">
        <v>133</v>
      </c>
      <c r="AB46">
        <v>8778</v>
      </c>
      <c r="AC46">
        <v>135</v>
      </c>
      <c r="AD46">
        <v>9720</v>
      </c>
      <c r="AE46">
        <v>135</v>
      </c>
      <c r="AF46">
        <v>9790</v>
      </c>
      <c r="AG46" t="s">
        <v>5</v>
      </c>
      <c r="AY46" s="4" t="s">
        <v>5</v>
      </c>
    </row>
    <row r="47" spans="1:63" x14ac:dyDescent="0.3">
      <c r="A47" t="s">
        <v>68</v>
      </c>
      <c r="B47" t="s">
        <v>131</v>
      </c>
      <c r="R47" s="4"/>
      <c r="U47" s="4"/>
      <c r="V47" s="4"/>
      <c r="X47" s="4"/>
      <c r="AG47" t="s">
        <v>5</v>
      </c>
      <c r="AH47">
        <v>43</v>
      </c>
      <c r="AI47">
        <v>3400</v>
      </c>
      <c r="AK47">
        <v>33</v>
      </c>
      <c r="AL47">
        <v>3000</v>
      </c>
      <c r="AN47">
        <v>40</v>
      </c>
      <c r="AO47">
        <v>3200</v>
      </c>
      <c r="AQ47">
        <v>50</v>
      </c>
      <c r="AR47">
        <v>2760</v>
      </c>
      <c r="AT47">
        <v>62</v>
      </c>
      <c r="AU47">
        <v>3500</v>
      </c>
      <c r="AW47">
        <v>87</v>
      </c>
      <c r="AX47">
        <v>7000</v>
      </c>
      <c r="AY47" s="4" t="s">
        <v>5</v>
      </c>
      <c r="AZ47">
        <v>110</v>
      </c>
      <c r="BA47">
        <v>12000</v>
      </c>
      <c r="BB47">
        <v>80</v>
      </c>
      <c r="BC47">
        <v>9000</v>
      </c>
      <c r="BD47">
        <v>80</v>
      </c>
      <c r="BE47">
        <v>8000</v>
      </c>
      <c r="BF47">
        <v>100</v>
      </c>
      <c r="BG47">
        <v>10000</v>
      </c>
    </row>
    <row r="48" spans="1:63" x14ac:dyDescent="0.3">
      <c r="A48" t="s">
        <v>66</v>
      </c>
      <c r="B48" t="s">
        <v>128</v>
      </c>
      <c r="I48">
        <v>87</v>
      </c>
      <c r="J48">
        <v>1502</v>
      </c>
      <c r="L48">
        <v>80</v>
      </c>
      <c r="M48">
        <v>1192</v>
      </c>
      <c r="N48">
        <v>98</v>
      </c>
      <c r="O48">
        <v>1327</v>
      </c>
      <c r="P48">
        <v>545</v>
      </c>
      <c r="Q48">
        <v>1380</v>
      </c>
      <c r="R48" s="3">
        <v>36</v>
      </c>
      <c r="S48" s="3">
        <v>356</v>
      </c>
      <c r="U48" s="4"/>
      <c r="V48" s="4"/>
      <c r="X48" s="4"/>
      <c r="AG48" s="2" t="s">
        <v>5</v>
      </c>
      <c r="AK48">
        <v>22.5</v>
      </c>
      <c r="AL48">
        <v>3000</v>
      </c>
      <c r="AY48" s="4" t="s">
        <v>5</v>
      </c>
    </row>
    <row r="49" spans="1:59" x14ac:dyDescent="0.3">
      <c r="A49" t="s">
        <v>168</v>
      </c>
      <c r="B49" t="s">
        <v>127</v>
      </c>
      <c r="F49">
        <v>14235</v>
      </c>
      <c r="G49">
        <f>569400/110</f>
        <v>5176.363636363636</v>
      </c>
      <c r="R49" s="4"/>
      <c r="S49" s="4"/>
      <c r="U49" s="4"/>
      <c r="V49" s="4"/>
      <c r="X49" s="4"/>
      <c r="AG49" t="s">
        <v>22</v>
      </c>
      <c r="AY49" t="s">
        <v>22</v>
      </c>
    </row>
    <row r="50" spans="1:59" x14ac:dyDescent="0.3">
      <c r="A50" t="s">
        <v>169</v>
      </c>
      <c r="B50" t="s">
        <v>127</v>
      </c>
      <c r="F50">
        <v>2400</v>
      </c>
      <c r="G50">
        <f>4800/110</f>
        <v>43.636363636363633</v>
      </c>
      <c r="R50" s="4"/>
      <c r="S50" s="4"/>
      <c r="U50" s="4"/>
      <c r="V50" s="4"/>
      <c r="X50" s="4"/>
      <c r="AG50" t="s">
        <v>22</v>
      </c>
      <c r="AY50" t="s">
        <v>22</v>
      </c>
    </row>
    <row r="51" spans="1:59" x14ac:dyDescent="0.3">
      <c r="A51" t="s">
        <v>99</v>
      </c>
      <c r="B51" t="s">
        <v>131</v>
      </c>
      <c r="C51" s="4"/>
      <c r="D51" s="4"/>
      <c r="E51" s="4"/>
      <c r="F51" s="4"/>
      <c r="G51" s="4"/>
      <c r="H51" s="4"/>
      <c r="R51" s="4"/>
      <c r="S51" s="4"/>
      <c r="U51" s="4"/>
      <c r="V51" s="4"/>
      <c r="X51" s="4"/>
      <c r="AG51" s="4" t="s">
        <v>5</v>
      </c>
      <c r="AN51">
        <v>30</v>
      </c>
      <c r="AO51">
        <v>1696</v>
      </c>
      <c r="AY51" s="4" t="s">
        <v>5</v>
      </c>
    </row>
    <row r="52" spans="1:59" x14ac:dyDescent="0.3">
      <c r="A52" t="s">
        <v>100</v>
      </c>
      <c r="B52" t="s">
        <v>123</v>
      </c>
      <c r="F52">
        <f>4300/((80+100)/2)*25</f>
        <v>1194.4444444444446</v>
      </c>
      <c r="G52">
        <v>4300</v>
      </c>
      <c r="H52" s="2" t="s">
        <v>3</v>
      </c>
      <c r="I52">
        <v>749</v>
      </c>
      <c r="J52">
        <v>17512</v>
      </c>
      <c r="L52">
        <v>1516</v>
      </c>
      <c r="M52">
        <v>41347</v>
      </c>
      <c r="N52">
        <v>1240</v>
      </c>
      <c r="O52">
        <v>32144</v>
      </c>
      <c r="P52">
        <v>1222</v>
      </c>
      <c r="Q52">
        <v>38384</v>
      </c>
      <c r="R52" s="4">
        <v>1113</v>
      </c>
      <c r="S52">
        <v>48362</v>
      </c>
      <c r="T52">
        <v>2424</v>
      </c>
      <c r="U52">
        <v>29882</v>
      </c>
      <c r="W52">
        <v>800</v>
      </c>
      <c r="X52" s="4">
        <v>9700</v>
      </c>
      <c r="Y52" s="3">
        <v>1150</v>
      </c>
      <c r="Z52" s="3">
        <v>14000</v>
      </c>
      <c r="AG52" s="2" t="s">
        <v>2</v>
      </c>
      <c r="AH52">
        <v>820</v>
      </c>
      <c r="AI52">
        <v>22000</v>
      </c>
      <c r="AK52">
        <v>900</v>
      </c>
      <c r="AL52">
        <v>24000</v>
      </c>
      <c r="AN52">
        <v>750</v>
      </c>
      <c r="AO52">
        <v>20000</v>
      </c>
      <c r="AY52" s="4" t="s">
        <v>2</v>
      </c>
    </row>
    <row r="53" spans="1:59" x14ac:dyDescent="0.3">
      <c r="A53" t="s">
        <v>63</v>
      </c>
      <c r="B53" t="s">
        <v>132</v>
      </c>
      <c r="I53">
        <v>2343</v>
      </c>
      <c r="J53">
        <v>38000</v>
      </c>
      <c r="K53" s="2" t="s">
        <v>9</v>
      </c>
      <c r="L53">
        <v>2980</v>
      </c>
      <c r="M53">
        <v>14450</v>
      </c>
      <c r="N53">
        <v>1571</v>
      </c>
      <c r="O53">
        <v>6092</v>
      </c>
      <c r="P53">
        <v>2002</v>
      </c>
      <c r="Q53">
        <v>8740</v>
      </c>
      <c r="R53" s="4">
        <v>1400</v>
      </c>
      <c r="S53">
        <v>2368</v>
      </c>
      <c r="T53">
        <v>1776</v>
      </c>
      <c r="U53" s="4">
        <v>2044</v>
      </c>
      <c r="V53" s="4"/>
      <c r="W53" s="4">
        <v>2000</v>
      </c>
      <c r="X53" s="4">
        <v>26500</v>
      </c>
      <c r="Y53" s="4">
        <v>1500</v>
      </c>
      <c r="Z53" s="4">
        <v>20000</v>
      </c>
      <c r="AA53" s="3">
        <v>1389</v>
      </c>
      <c r="AB53" s="3">
        <v>19000</v>
      </c>
      <c r="AG53" s="2" t="s">
        <v>5</v>
      </c>
      <c r="AH53">
        <v>80</v>
      </c>
      <c r="AI53">
        <v>16000</v>
      </c>
      <c r="AJ53" s="2" t="s">
        <v>2</v>
      </c>
      <c r="AK53">
        <v>1560</v>
      </c>
      <c r="AL53">
        <v>16000</v>
      </c>
      <c r="AN53">
        <v>1755</v>
      </c>
      <c r="AO53">
        <v>18000</v>
      </c>
      <c r="AY53" s="4" t="s">
        <v>2</v>
      </c>
    </row>
    <row r="54" spans="1:59" x14ac:dyDescent="0.3">
      <c r="A54" t="s">
        <v>101</v>
      </c>
      <c r="B54" t="s">
        <v>122</v>
      </c>
      <c r="F54">
        <f>1200/((0.5+2)/2)*25</f>
        <v>24000</v>
      </c>
      <c r="G54">
        <v>1200</v>
      </c>
      <c r="H54" s="2" t="s">
        <v>21</v>
      </c>
      <c r="I54">
        <v>448</v>
      </c>
      <c r="J54">
        <v>3424</v>
      </c>
      <c r="K54" s="2" t="s">
        <v>9</v>
      </c>
      <c r="L54">
        <v>1700</v>
      </c>
      <c r="M54">
        <v>17000</v>
      </c>
      <c r="N54">
        <v>945</v>
      </c>
      <c r="O54">
        <v>6015</v>
      </c>
      <c r="P54">
        <v>1784</v>
      </c>
      <c r="Q54">
        <v>5863</v>
      </c>
      <c r="R54" s="4">
        <v>1390</v>
      </c>
      <c r="S54">
        <v>4398</v>
      </c>
      <c r="T54">
        <v>2542</v>
      </c>
      <c r="U54">
        <v>4390</v>
      </c>
      <c r="AG54" t="s">
        <v>9</v>
      </c>
      <c r="AY54" t="s">
        <v>9</v>
      </c>
    </row>
    <row r="55" spans="1:59" x14ac:dyDescent="0.3">
      <c r="A55" t="s">
        <v>171</v>
      </c>
      <c r="B55" t="s">
        <v>132</v>
      </c>
      <c r="I55">
        <v>2853</v>
      </c>
      <c r="J55">
        <v>2291</v>
      </c>
      <c r="K55" s="4"/>
      <c r="R55" s="4"/>
      <c r="AG55" t="s">
        <v>21</v>
      </c>
      <c r="AY55" t="s">
        <v>21</v>
      </c>
    </row>
    <row r="56" spans="1:59" x14ac:dyDescent="0.3">
      <c r="A56" t="s">
        <v>102</v>
      </c>
      <c r="B56" t="s">
        <v>122</v>
      </c>
      <c r="I56">
        <v>5684</v>
      </c>
      <c r="J56">
        <v>1023</v>
      </c>
      <c r="L56">
        <v>9033</v>
      </c>
      <c r="M56">
        <v>4015</v>
      </c>
      <c r="N56">
        <v>2118</v>
      </c>
      <c r="O56">
        <v>2504</v>
      </c>
      <c r="P56">
        <v>2563</v>
      </c>
      <c r="Q56">
        <v>167</v>
      </c>
      <c r="R56" s="3">
        <v>1906</v>
      </c>
      <c r="S56" s="3">
        <v>433</v>
      </c>
      <c r="AG56" t="s">
        <v>6</v>
      </c>
      <c r="AY56" t="s">
        <v>6</v>
      </c>
    </row>
    <row r="57" spans="1:59" x14ac:dyDescent="0.3">
      <c r="A57" t="s">
        <v>170</v>
      </c>
      <c r="B57" t="s">
        <v>108</v>
      </c>
      <c r="I57">
        <v>1313</v>
      </c>
      <c r="J57">
        <v>1674</v>
      </c>
      <c r="K57" s="2" t="s">
        <v>23</v>
      </c>
      <c r="L57">
        <v>1894</v>
      </c>
      <c r="M57">
        <v>10306</v>
      </c>
      <c r="N57">
        <v>3247</v>
      </c>
      <c r="O57">
        <v>16556</v>
      </c>
      <c r="P57">
        <v>1804</v>
      </c>
      <c r="Q57">
        <v>18460</v>
      </c>
      <c r="R57" s="3">
        <v>4380</v>
      </c>
      <c r="S57" s="3">
        <v>21933</v>
      </c>
      <c r="AG57" t="s">
        <v>23</v>
      </c>
      <c r="AY57" t="s">
        <v>23</v>
      </c>
    </row>
    <row r="58" spans="1:59" x14ac:dyDescent="0.3">
      <c r="A58" t="s">
        <v>103</v>
      </c>
      <c r="B58" t="s">
        <v>117</v>
      </c>
      <c r="F58">
        <f>1600/0.8*25</f>
        <v>50000</v>
      </c>
      <c r="G58">
        <v>1600</v>
      </c>
      <c r="K58" s="2" t="s">
        <v>24</v>
      </c>
      <c r="L58">
        <v>25</v>
      </c>
      <c r="M58">
        <v>225</v>
      </c>
      <c r="N58">
        <v>158</v>
      </c>
      <c r="O58">
        <v>1399</v>
      </c>
      <c r="P58">
        <v>80</v>
      </c>
      <c r="Q58">
        <v>240</v>
      </c>
      <c r="R58" s="3">
        <v>76</v>
      </c>
      <c r="S58" s="3">
        <v>690</v>
      </c>
      <c r="AG58" s="2" t="s">
        <v>5</v>
      </c>
      <c r="AN58">
        <v>5</v>
      </c>
      <c r="AO58">
        <v>144</v>
      </c>
      <c r="AQ58">
        <v>12</v>
      </c>
      <c r="AR58">
        <v>370</v>
      </c>
      <c r="AY58" s="4" t="s">
        <v>5</v>
      </c>
    </row>
    <row r="59" spans="1:59" x14ac:dyDescent="0.3">
      <c r="A59" t="s">
        <v>104</v>
      </c>
      <c r="B59" t="s">
        <v>131</v>
      </c>
      <c r="C59" s="4"/>
      <c r="D59" s="4"/>
      <c r="E59" s="4"/>
      <c r="F59" s="4"/>
      <c r="G59" s="4"/>
      <c r="H59" s="4"/>
      <c r="R59" s="4"/>
      <c r="S59" s="4"/>
      <c r="AG59" s="4" t="s">
        <v>5</v>
      </c>
      <c r="AN59">
        <v>10</v>
      </c>
      <c r="AO59">
        <v>160</v>
      </c>
      <c r="AQ59">
        <v>9</v>
      </c>
      <c r="AR59">
        <v>150</v>
      </c>
      <c r="AY59" s="4" t="s">
        <v>5</v>
      </c>
    </row>
    <row r="60" spans="1:59" x14ac:dyDescent="0.3">
      <c r="A60" t="s">
        <v>172</v>
      </c>
      <c r="B60" t="s">
        <v>131</v>
      </c>
      <c r="C60" s="4"/>
      <c r="D60" s="4"/>
      <c r="E60" s="4"/>
      <c r="F60" s="4"/>
      <c r="G60" s="4"/>
      <c r="H60" s="4"/>
      <c r="R60" s="4"/>
      <c r="S60" s="4"/>
      <c r="AG60" s="4" t="s">
        <v>5</v>
      </c>
      <c r="AT60">
        <v>21</v>
      </c>
      <c r="AU60">
        <v>520</v>
      </c>
      <c r="AY60" s="4" t="s">
        <v>5</v>
      </c>
      <c r="AZ60">
        <v>26</v>
      </c>
      <c r="BA60">
        <v>640</v>
      </c>
      <c r="BB60">
        <v>21</v>
      </c>
      <c r="BC60">
        <v>600</v>
      </c>
      <c r="BD60">
        <v>23</v>
      </c>
      <c r="BE60">
        <v>600</v>
      </c>
      <c r="BF60">
        <v>25</v>
      </c>
      <c r="BG60">
        <v>700</v>
      </c>
    </row>
    <row r="61" spans="1:59" x14ac:dyDescent="0.3">
      <c r="A61" t="s">
        <v>105</v>
      </c>
      <c r="B61" t="s">
        <v>126</v>
      </c>
      <c r="N61">
        <v>1434</v>
      </c>
      <c r="O61">
        <v>6408</v>
      </c>
      <c r="P61">
        <v>1403</v>
      </c>
      <c r="Q61">
        <v>7900</v>
      </c>
      <c r="R61" s="4">
        <v>1900</v>
      </c>
      <c r="S61">
        <v>14800</v>
      </c>
      <c r="T61">
        <v>1484</v>
      </c>
      <c r="U61" s="4">
        <v>6612</v>
      </c>
      <c r="V61" s="4"/>
      <c r="AG61" s="2" t="s">
        <v>2</v>
      </c>
      <c r="AH61">
        <v>2800</v>
      </c>
      <c r="AI61">
        <v>5600</v>
      </c>
      <c r="AY61" s="4" t="s">
        <v>2</v>
      </c>
    </row>
    <row r="62" spans="1:59" x14ac:dyDescent="0.3">
      <c r="A62" t="s">
        <v>106</v>
      </c>
      <c r="B62" t="s">
        <v>118</v>
      </c>
      <c r="R62" s="4"/>
      <c r="U62" s="4"/>
      <c r="V62" s="4"/>
      <c r="W62">
        <v>300</v>
      </c>
      <c r="X62">
        <v>12100</v>
      </c>
      <c r="Y62" s="3">
        <v>330</v>
      </c>
      <c r="Z62" s="3">
        <v>13400</v>
      </c>
      <c r="AG62" t="s">
        <v>3</v>
      </c>
      <c r="AY62" t="s">
        <v>3</v>
      </c>
    </row>
    <row r="63" spans="1:59" x14ac:dyDescent="0.3">
      <c r="A63" t="s">
        <v>173</v>
      </c>
      <c r="B63" t="s">
        <v>131</v>
      </c>
      <c r="AG63" t="s">
        <v>5</v>
      </c>
      <c r="AH63">
        <v>50</v>
      </c>
      <c r="AI63">
        <v>1328</v>
      </c>
      <c r="AY63" t="s">
        <v>5</v>
      </c>
    </row>
    <row r="64" spans="1:59" x14ac:dyDescent="0.3">
      <c r="A64" t="s">
        <v>64</v>
      </c>
      <c r="B64" t="s">
        <v>129</v>
      </c>
      <c r="AG64" t="s">
        <v>2</v>
      </c>
      <c r="AH64">
        <v>420</v>
      </c>
      <c r="AI64">
        <v>1600</v>
      </c>
      <c r="AJ64" s="2" t="s">
        <v>18</v>
      </c>
      <c r="AK64">
        <v>45320</v>
      </c>
      <c r="AL64">
        <v>3000</v>
      </c>
      <c r="AN64">
        <v>57795</v>
      </c>
      <c r="AO64">
        <v>3500</v>
      </c>
      <c r="AY64" t="s">
        <v>18</v>
      </c>
    </row>
    <row r="65" spans="1:63" x14ac:dyDescent="0.3">
      <c r="A65" t="s">
        <v>107</v>
      </c>
      <c r="B65" t="s">
        <v>126</v>
      </c>
      <c r="I65">
        <v>1481</v>
      </c>
      <c r="J65">
        <v>2990</v>
      </c>
      <c r="AG65" s="2" t="s">
        <v>2</v>
      </c>
      <c r="AH65">
        <v>1600</v>
      </c>
      <c r="AI65">
        <v>3200</v>
      </c>
      <c r="AK65">
        <v>4800</v>
      </c>
      <c r="AL65">
        <v>10000</v>
      </c>
      <c r="AN65">
        <v>1600</v>
      </c>
      <c r="AO65">
        <v>3300</v>
      </c>
      <c r="AQ65">
        <v>2000</v>
      </c>
      <c r="AR65">
        <v>4500</v>
      </c>
      <c r="AY65" t="s">
        <v>2</v>
      </c>
    </row>
    <row r="66" spans="1:63" x14ac:dyDescent="0.3">
      <c r="A66" t="s">
        <v>108</v>
      </c>
      <c r="B66" t="s">
        <v>133</v>
      </c>
      <c r="AG66" t="s">
        <v>10</v>
      </c>
      <c r="AH66">
        <v>288645</v>
      </c>
      <c r="AI66">
        <v>8247</v>
      </c>
      <c r="AK66">
        <v>221682</v>
      </c>
      <c r="AL66">
        <v>8500</v>
      </c>
      <c r="AN66">
        <v>200000</v>
      </c>
      <c r="AO66">
        <v>8097</v>
      </c>
      <c r="AQ66">
        <v>200000</v>
      </c>
      <c r="AR66">
        <v>8000</v>
      </c>
      <c r="AT66">
        <v>200000</v>
      </c>
      <c r="AU66">
        <v>8000</v>
      </c>
      <c r="AY66" t="s">
        <v>10</v>
      </c>
    </row>
    <row r="67" spans="1:63" x14ac:dyDescent="0.3">
      <c r="A67" t="s">
        <v>109</v>
      </c>
      <c r="B67" t="s">
        <v>132</v>
      </c>
      <c r="I67">
        <v>320</v>
      </c>
      <c r="J67">
        <v>1792</v>
      </c>
      <c r="AG67" s="2" t="s">
        <v>2</v>
      </c>
      <c r="AK67">
        <v>685</v>
      </c>
      <c r="AL67">
        <v>1600</v>
      </c>
      <c r="AN67">
        <v>700</v>
      </c>
      <c r="AO67">
        <v>1650</v>
      </c>
      <c r="AQ67">
        <v>300</v>
      </c>
      <c r="AR67">
        <v>750</v>
      </c>
      <c r="AT67">
        <v>300</v>
      </c>
      <c r="AU67">
        <v>700</v>
      </c>
      <c r="AY67" t="s">
        <v>2</v>
      </c>
    </row>
    <row r="68" spans="1:63" x14ac:dyDescent="0.3">
      <c r="A68" t="s">
        <v>110</v>
      </c>
      <c r="B68" t="s">
        <v>117</v>
      </c>
      <c r="F68">
        <f>2000/0.6*25</f>
        <v>83333.333333333343</v>
      </c>
      <c r="G68">
        <v>2000</v>
      </c>
      <c r="AG68" s="2" t="s">
        <v>2</v>
      </c>
      <c r="AK68">
        <v>1957</v>
      </c>
      <c r="AL68">
        <v>1500</v>
      </c>
      <c r="AN68">
        <v>2095</v>
      </c>
      <c r="AO68">
        <v>1632</v>
      </c>
      <c r="AQ68">
        <v>2000</v>
      </c>
      <c r="AR68">
        <v>1600</v>
      </c>
      <c r="AY68" t="s">
        <v>2</v>
      </c>
    </row>
    <row r="69" spans="1:63" x14ac:dyDescent="0.3">
      <c r="A69" t="s">
        <v>111</v>
      </c>
      <c r="B69" t="s">
        <v>117</v>
      </c>
      <c r="F69">
        <f>2800/5.5*25</f>
        <v>12727.272727272726</v>
      </c>
      <c r="G69">
        <v>2800</v>
      </c>
      <c r="AG69" s="2" t="s">
        <v>2</v>
      </c>
      <c r="AK69">
        <v>320</v>
      </c>
      <c r="AL69">
        <v>1400</v>
      </c>
      <c r="AN69">
        <v>271</v>
      </c>
      <c r="AO69">
        <v>884</v>
      </c>
      <c r="AQ69">
        <v>372</v>
      </c>
      <c r="AR69">
        <v>1600</v>
      </c>
      <c r="AS69" s="2" t="s">
        <v>5</v>
      </c>
      <c r="AT69">
        <v>10.5</v>
      </c>
      <c r="AU69">
        <v>2500</v>
      </c>
      <c r="AY69" t="s">
        <v>5</v>
      </c>
      <c r="AZ69">
        <v>20</v>
      </c>
      <c r="BA69">
        <v>900</v>
      </c>
    </row>
    <row r="70" spans="1:63" x14ac:dyDescent="0.3">
      <c r="A70" t="s">
        <v>112</v>
      </c>
      <c r="B70" t="s">
        <v>129</v>
      </c>
      <c r="AG70" t="s">
        <v>2</v>
      </c>
      <c r="AK70">
        <v>237</v>
      </c>
      <c r="AL70">
        <v>13572</v>
      </c>
      <c r="AQ70">
        <v>40</v>
      </c>
      <c r="AR70">
        <v>5500</v>
      </c>
      <c r="AT70">
        <v>45</v>
      </c>
      <c r="AU70">
        <v>6300</v>
      </c>
      <c r="AY70" t="s">
        <v>2</v>
      </c>
    </row>
    <row r="71" spans="1:63" x14ac:dyDescent="0.3">
      <c r="A71" t="s">
        <v>327</v>
      </c>
      <c r="B71" t="s">
        <v>131</v>
      </c>
      <c r="AG71" t="s">
        <v>5</v>
      </c>
      <c r="AT71">
        <v>100</v>
      </c>
      <c r="AU71">
        <v>16660</v>
      </c>
      <c r="AW71">
        <v>140</v>
      </c>
      <c r="AX71">
        <v>23600</v>
      </c>
      <c r="AY71" t="s">
        <v>5</v>
      </c>
      <c r="AZ71">
        <v>155</v>
      </c>
      <c r="BA71">
        <v>27000</v>
      </c>
      <c r="BB71">
        <v>170</v>
      </c>
      <c r="BC71">
        <v>29000</v>
      </c>
      <c r="BD71">
        <v>175</v>
      </c>
      <c r="BE71">
        <v>30000</v>
      </c>
      <c r="BF71">
        <v>170</v>
      </c>
      <c r="BG71">
        <v>28000</v>
      </c>
      <c r="BH71">
        <v>221</v>
      </c>
      <c r="BI71">
        <v>36000</v>
      </c>
      <c r="BJ71">
        <v>200</v>
      </c>
      <c r="BK71">
        <v>33000</v>
      </c>
    </row>
    <row r="72" spans="1:63" x14ac:dyDescent="0.3">
      <c r="A72" t="s">
        <v>113</v>
      </c>
      <c r="B72" t="s">
        <v>134</v>
      </c>
      <c r="AG72" t="s">
        <v>28</v>
      </c>
      <c r="AK72">
        <v>18750</v>
      </c>
      <c r="AL72">
        <v>3000</v>
      </c>
      <c r="AN72">
        <v>28125</v>
      </c>
      <c r="AO72">
        <v>4550</v>
      </c>
      <c r="AQ72">
        <v>44000</v>
      </c>
      <c r="AR72">
        <v>5000</v>
      </c>
      <c r="AT72">
        <v>31250</v>
      </c>
      <c r="AU72">
        <v>5500</v>
      </c>
      <c r="AY72" t="s">
        <v>28</v>
      </c>
    </row>
    <row r="73" spans="1:63" x14ac:dyDescent="0.3">
      <c r="A73" t="s">
        <v>174</v>
      </c>
      <c r="B73" t="s">
        <v>131</v>
      </c>
      <c r="AG73" t="s">
        <v>5</v>
      </c>
      <c r="AK73">
        <v>75</v>
      </c>
      <c r="AL73">
        <v>3000</v>
      </c>
      <c r="AN73">
        <v>200</v>
      </c>
      <c r="AO73">
        <v>8500</v>
      </c>
      <c r="AQ73">
        <v>100</v>
      </c>
      <c r="AR73">
        <v>5000</v>
      </c>
      <c r="AT73">
        <v>90</v>
      </c>
      <c r="AU73">
        <v>4500</v>
      </c>
      <c r="AW73">
        <v>60</v>
      </c>
      <c r="AX73">
        <v>2500</v>
      </c>
      <c r="AY73" t="s">
        <v>5</v>
      </c>
      <c r="AZ73">
        <v>80</v>
      </c>
      <c r="BA73">
        <v>3300</v>
      </c>
      <c r="BB73">
        <v>75</v>
      </c>
      <c r="BC73">
        <v>3000</v>
      </c>
      <c r="BD73">
        <v>95</v>
      </c>
      <c r="BE73">
        <v>4000</v>
      </c>
      <c r="BF73">
        <v>100</v>
      </c>
      <c r="BG73">
        <v>5000</v>
      </c>
      <c r="BH73">
        <v>100</v>
      </c>
      <c r="BI73">
        <v>5000</v>
      </c>
      <c r="BJ73">
        <v>100</v>
      </c>
      <c r="BK73">
        <v>6000</v>
      </c>
    </row>
    <row r="74" spans="1:63" x14ac:dyDescent="0.3">
      <c r="A74" t="s">
        <v>114</v>
      </c>
      <c r="B74" t="s">
        <v>131</v>
      </c>
      <c r="AG74" t="s">
        <v>5</v>
      </c>
      <c r="AK74">
        <v>395</v>
      </c>
      <c r="AL74">
        <v>1100</v>
      </c>
      <c r="AN74">
        <v>400</v>
      </c>
      <c r="AO74">
        <v>1040</v>
      </c>
      <c r="AQ74">
        <v>400</v>
      </c>
      <c r="AR74">
        <v>1050</v>
      </c>
      <c r="AT74">
        <v>600</v>
      </c>
      <c r="AU74">
        <v>1418</v>
      </c>
      <c r="AY74" t="s">
        <v>5</v>
      </c>
      <c r="AZ74">
        <v>350</v>
      </c>
      <c r="BA74">
        <v>1000</v>
      </c>
      <c r="BB74">
        <v>360</v>
      </c>
      <c r="BC74">
        <v>1100</v>
      </c>
      <c r="BF74">
        <v>460</v>
      </c>
      <c r="BG74">
        <v>2000</v>
      </c>
    </row>
    <row r="75" spans="1:63" x14ac:dyDescent="0.3">
      <c r="A75" t="s">
        <v>115</v>
      </c>
      <c r="B75" t="s">
        <v>122</v>
      </c>
      <c r="AG75" t="s">
        <v>6</v>
      </c>
      <c r="AN75">
        <v>1000</v>
      </c>
      <c r="AO75">
        <v>1000</v>
      </c>
      <c r="AP75" s="2" t="s">
        <v>3</v>
      </c>
      <c r="AQ75">
        <v>90</v>
      </c>
      <c r="AR75">
        <v>1080</v>
      </c>
      <c r="AT75">
        <v>100</v>
      </c>
      <c r="AU75">
        <v>1250</v>
      </c>
      <c r="AY75" t="s">
        <v>3</v>
      </c>
    </row>
    <row r="76" spans="1:63" x14ac:dyDescent="0.3">
      <c r="A76" t="s">
        <v>175</v>
      </c>
      <c r="B76" t="s">
        <v>129</v>
      </c>
      <c r="AG76" t="s">
        <v>2</v>
      </c>
      <c r="AN76">
        <v>6000</v>
      </c>
      <c r="AO76">
        <v>12000</v>
      </c>
      <c r="AQ76">
        <v>2590</v>
      </c>
      <c r="AR76">
        <v>8238</v>
      </c>
      <c r="AY76" t="s">
        <v>2</v>
      </c>
    </row>
    <row r="77" spans="1:63" x14ac:dyDescent="0.3">
      <c r="A77" t="s">
        <v>176</v>
      </c>
      <c r="B77" t="s">
        <v>129</v>
      </c>
      <c r="AG77" t="s">
        <v>2</v>
      </c>
      <c r="AN77">
        <v>400</v>
      </c>
      <c r="AO77">
        <v>2000</v>
      </c>
      <c r="AP77" s="2" t="s">
        <v>5</v>
      </c>
      <c r="AQ77">
        <v>36</v>
      </c>
      <c r="AR77">
        <v>3480</v>
      </c>
      <c r="AT77">
        <v>35</v>
      </c>
      <c r="AU77">
        <v>3500</v>
      </c>
      <c r="AY77" t="s">
        <v>5</v>
      </c>
    </row>
    <row r="78" spans="1:63" x14ac:dyDescent="0.3">
      <c r="A78" t="s">
        <v>74</v>
      </c>
      <c r="B78" t="s">
        <v>129</v>
      </c>
      <c r="AG78" t="s">
        <v>2</v>
      </c>
      <c r="AN78">
        <v>476</v>
      </c>
      <c r="AO78">
        <v>4000</v>
      </c>
      <c r="AQ78">
        <v>600</v>
      </c>
      <c r="AR78">
        <v>6000</v>
      </c>
      <c r="AT78">
        <v>420</v>
      </c>
      <c r="AU78">
        <v>3800</v>
      </c>
      <c r="AY78" t="s">
        <v>2</v>
      </c>
    </row>
    <row r="79" spans="1:63" x14ac:dyDescent="0.3">
      <c r="A79" t="s">
        <v>177</v>
      </c>
      <c r="B79" t="s">
        <v>129</v>
      </c>
      <c r="AG79" t="s">
        <v>2</v>
      </c>
      <c r="AQ79">
        <v>40</v>
      </c>
      <c r="AR79">
        <v>560</v>
      </c>
      <c r="AY79" t="s">
        <v>2</v>
      </c>
    </row>
    <row r="80" spans="1:63" x14ac:dyDescent="0.3">
      <c r="A80" t="s">
        <v>116</v>
      </c>
      <c r="B80" t="s">
        <v>116</v>
      </c>
      <c r="AQ80" t="s">
        <v>29</v>
      </c>
      <c r="AR80">
        <v>824671</v>
      </c>
    </row>
    <row r="81" spans="1:63" x14ac:dyDescent="0.3">
      <c r="A81" s="41" t="s">
        <v>178</v>
      </c>
      <c r="B81" t="s">
        <v>116</v>
      </c>
      <c r="D81">
        <v>315400</v>
      </c>
      <c r="G81">
        <v>459000</v>
      </c>
      <c r="J81">
        <v>368302</v>
      </c>
      <c r="M81">
        <v>711883</v>
      </c>
      <c r="O81">
        <v>626218</v>
      </c>
      <c r="Q81">
        <v>398423</v>
      </c>
      <c r="S81">
        <v>611374</v>
      </c>
      <c r="U81">
        <v>670760</v>
      </c>
      <c r="X81">
        <v>525711</v>
      </c>
      <c r="Z81">
        <v>541719</v>
      </c>
      <c r="AB81">
        <v>611304</v>
      </c>
      <c r="AD81">
        <v>677500</v>
      </c>
      <c r="AF81">
        <v>614490</v>
      </c>
      <c r="AI81">
        <v>675080</v>
      </c>
      <c r="AL81">
        <v>855010</v>
      </c>
      <c r="AO81">
        <v>776350</v>
      </c>
      <c r="AQ81" t="s">
        <v>30</v>
      </c>
      <c r="AR81">
        <v>780671</v>
      </c>
      <c r="AU81">
        <v>784000</v>
      </c>
      <c r="AX81">
        <v>872400</v>
      </c>
      <c r="BA81">
        <v>920000</v>
      </c>
      <c r="BC81">
        <v>928500</v>
      </c>
      <c r="BE81">
        <v>853000</v>
      </c>
      <c r="BG81">
        <v>969000</v>
      </c>
      <c r="BI81">
        <v>949600</v>
      </c>
      <c r="BK81">
        <v>925800</v>
      </c>
    </row>
  </sheetData>
  <mergeCells count="25">
    <mergeCell ref="BH1:BI1"/>
    <mergeCell ref="BJ1:BK1"/>
    <mergeCell ref="AW1:AX1"/>
    <mergeCell ref="AZ1:BA1"/>
    <mergeCell ref="BB1:BC1"/>
    <mergeCell ref="BD1:BE1"/>
    <mergeCell ref="BF1:BG1"/>
    <mergeCell ref="AT1:AU1"/>
    <mergeCell ref="R1:S1"/>
    <mergeCell ref="T1:U1"/>
    <mergeCell ref="W1:X1"/>
    <mergeCell ref="Y1:Z1"/>
    <mergeCell ref="AA1:AB1"/>
    <mergeCell ref="AC1:AD1"/>
    <mergeCell ref="AE1:AF1"/>
    <mergeCell ref="AH1:AI1"/>
    <mergeCell ref="AK1:AL1"/>
    <mergeCell ref="AN1:AO1"/>
    <mergeCell ref="AQ1:AR1"/>
    <mergeCell ref="P1:Q1"/>
    <mergeCell ref="C1:D1"/>
    <mergeCell ref="F1:G1"/>
    <mergeCell ref="I1:J1"/>
    <mergeCell ref="L1:M1"/>
    <mergeCell ref="N1:O1"/>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82"/>
  <sheetViews>
    <sheetView zoomScale="70" zoomScaleNormal="70" workbookViewId="0">
      <pane xSplit="1" ySplit="2" topLeftCell="T54" activePane="bottomRight" state="frozen"/>
      <selection activeCell="BM32" sqref="BM32:BN35"/>
      <selection pane="topRight" activeCell="BM32" sqref="BM32:BN35"/>
      <selection pane="bottomLeft" activeCell="BM32" sqref="BM32:BN35"/>
      <selection pane="bottomRight" activeCell="W73" sqref="W73"/>
    </sheetView>
  </sheetViews>
  <sheetFormatPr defaultRowHeight="14.4" x14ac:dyDescent="0.3"/>
  <cols>
    <col min="1" max="1" width="22.21875" customWidth="1"/>
    <col min="2" max="2" width="10.5546875" style="39" customWidth="1"/>
    <col min="3" max="3" width="14.44140625" bestFit="1" customWidth="1"/>
    <col min="4" max="4" width="16.109375" bestFit="1" customWidth="1"/>
    <col min="5" max="5" width="14.44140625" bestFit="1" customWidth="1"/>
    <col min="6" max="6" width="16.109375" bestFit="1" customWidth="1"/>
    <col min="7" max="7" width="14.44140625" bestFit="1" customWidth="1"/>
    <col min="8" max="8" width="16.109375" bestFit="1" customWidth="1"/>
    <col min="9" max="13" width="14.44140625" bestFit="1" customWidth="1"/>
    <col min="14" max="14" width="16.109375" bestFit="1" customWidth="1"/>
    <col min="15" max="15" width="14.44140625" bestFit="1" customWidth="1"/>
    <col min="16" max="16" width="14.21875" bestFit="1" customWidth="1"/>
    <col min="17" max="19" width="14.44140625" bestFit="1" customWidth="1"/>
    <col min="20" max="20" width="16.109375" bestFit="1" customWidth="1"/>
    <col min="21" max="21" width="14.44140625" bestFit="1" customWidth="1"/>
    <col min="22" max="22" width="16.109375" bestFit="1" customWidth="1"/>
    <col min="23" max="23" width="14.21875" bestFit="1" customWidth="1"/>
    <col min="24" max="24" width="16.109375" bestFit="1" customWidth="1"/>
    <col min="25" max="25" width="14.44140625" bestFit="1" customWidth="1"/>
    <col min="26" max="26" width="16.109375" bestFit="1" customWidth="1"/>
    <col min="27" max="27" width="14.44140625" bestFit="1" customWidth="1"/>
    <col min="28" max="28" width="16.109375" bestFit="1" customWidth="1"/>
    <col min="29" max="29" width="14.44140625" bestFit="1" customWidth="1"/>
    <col min="30" max="30" width="16.109375" bestFit="1" customWidth="1"/>
    <col min="31" max="31" width="14.44140625" bestFit="1" customWidth="1"/>
    <col min="32" max="32" width="16.109375" bestFit="1" customWidth="1"/>
    <col min="33" max="36" width="14.44140625" bestFit="1" customWidth="1"/>
    <col min="37" max="38" width="14.21875" bestFit="1" customWidth="1"/>
    <col min="259" max="259" width="9.109375" customWidth="1"/>
    <col min="515" max="515" width="9.109375" customWidth="1"/>
    <col min="771" max="771" width="9.109375" customWidth="1"/>
    <col min="1027" max="1027" width="9.109375" customWidth="1"/>
    <col min="1283" max="1283" width="9.109375" customWidth="1"/>
    <col min="1539" max="1539" width="9.109375" customWidth="1"/>
    <col min="1795" max="1795" width="9.109375" customWidth="1"/>
    <col min="2051" max="2051" width="9.109375" customWidth="1"/>
    <col min="2307" max="2307" width="9.109375" customWidth="1"/>
    <col min="2563" max="2563" width="9.109375" customWidth="1"/>
    <col min="2819" max="2819" width="9.109375" customWidth="1"/>
    <col min="3075" max="3075" width="9.109375" customWidth="1"/>
    <col min="3331" max="3331" width="9.109375" customWidth="1"/>
    <col min="3587" max="3587" width="9.109375" customWidth="1"/>
    <col min="3843" max="3843" width="9.109375" customWidth="1"/>
    <col min="4099" max="4099" width="9.109375" customWidth="1"/>
    <col min="4355" max="4355" width="9.109375" customWidth="1"/>
    <col min="4611" max="4611" width="9.109375" customWidth="1"/>
    <col min="4867" max="4867" width="9.109375" customWidth="1"/>
    <col min="5123" max="5123" width="9.109375" customWidth="1"/>
    <col min="5379" max="5379" width="9.109375" customWidth="1"/>
    <col min="5635" max="5635" width="9.109375" customWidth="1"/>
    <col min="5891" max="5891" width="9.109375" customWidth="1"/>
    <col min="6147" max="6147" width="9.109375" customWidth="1"/>
    <col min="6403" max="6403" width="9.109375" customWidth="1"/>
    <col min="6659" max="6659" width="9.109375" customWidth="1"/>
    <col min="6915" max="6915" width="9.109375" customWidth="1"/>
    <col min="7171" max="7171" width="9.109375" customWidth="1"/>
    <col min="7427" max="7427" width="9.109375" customWidth="1"/>
    <col min="7683" max="7683" width="9.109375" customWidth="1"/>
    <col min="7939" max="7939" width="9.109375" customWidth="1"/>
    <col min="8195" max="8195" width="9.109375" customWidth="1"/>
    <col min="8451" max="8451" width="9.109375" customWidth="1"/>
    <col min="8707" max="8707" width="9.109375" customWidth="1"/>
    <col min="8963" max="8963" width="9.109375" customWidth="1"/>
    <col min="9219" max="9219" width="9.109375" customWidth="1"/>
    <col min="9475" max="9475" width="9.109375" customWidth="1"/>
    <col min="9731" max="9731" width="9.109375" customWidth="1"/>
    <col min="9987" max="9987" width="9.109375" customWidth="1"/>
    <col min="10243" max="10243" width="9.109375" customWidth="1"/>
    <col min="10499" max="10499" width="9.109375" customWidth="1"/>
    <col min="10755" max="10755" width="9.109375" customWidth="1"/>
    <col min="11011" max="11011" width="9.109375" customWidth="1"/>
    <col min="11267" max="11267" width="9.109375" customWidth="1"/>
    <col min="11523" max="11523" width="9.109375" customWidth="1"/>
    <col min="11779" max="11779" width="9.109375" customWidth="1"/>
    <col min="12035" max="12035" width="9.109375" customWidth="1"/>
    <col min="12291" max="12291" width="9.109375" customWidth="1"/>
    <col min="12547" max="12547" width="9.109375" customWidth="1"/>
    <col min="12803" max="12803" width="9.109375" customWidth="1"/>
    <col min="13059" max="13059" width="9.109375" customWidth="1"/>
    <col min="13315" max="13315" width="9.109375" customWidth="1"/>
    <col min="13571" max="13571" width="9.109375" customWidth="1"/>
    <col min="13827" max="13827" width="9.109375" customWidth="1"/>
    <col min="14083" max="14083" width="9.109375" customWidth="1"/>
    <col min="14339" max="14339" width="9.109375" customWidth="1"/>
    <col min="14595" max="14595" width="9.109375" customWidth="1"/>
    <col min="14851" max="14851" width="9.109375" customWidth="1"/>
    <col min="15107" max="15107" width="9.109375" customWidth="1"/>
    <col min="15363" max="15363" width="9.109375" customWidth="1"/>
    <col min="15619" max="15619" width="9.109375" customWidth="1"/>
    <col min="15875" max="15875" width="9.109375" customWidth="1"/>
    <col min="16131" max="16131" width="9.109375" customWidth="1"/>
  </cols>
  <sheetData>
    <row r="1" spans="1:38" s="43" customFormat="1" x14ac:dyDescent="0.3">
      <c r="C1" s="43" t="s">
        <v>195</v>
      </c>
      <c r="E1" s="43" t="s">
        <v>196</v>
      </c>
      <c r="G1" s="43" t="s">
        <v>197</v>
      </c>
      <c r="I1" s="43" t="s">
        <v>198</v>
      </c>
      <c r="J1" s="43" t="s">
        <v>199</v>
      </c>
      <c r="K1" s="43" t="s">
        <v>200</v>
      </c>
      <c r="L1" s="43" t="s">
        <v>201</v>
      </c>
      <c r="M1" s="43" t="s">
        <v>202</v>
      </c>
      <c r="O1" s="43" t="s">
        <v>203</v>
      </c>
      <c r="P1" s="43" t="s">
        <v>204</v>
      </c>
      <c r="Q1" s="43" t="s">
        <v>205</v>
      </c>
      <c r="R1" s="43" t="s">
        <v>206</v>
      </c>
      <c r="S1" s="43" t="s">
        <v>207</v>
      </c>
      <c r="U1" s="43" t="s">
        <v>208</v>
      </c>
      <c r="W1" s="43" t="s">
        <v>209</v>
      </c>
      <c r="Y1" s="43" t="s">
        <v>210</v>
      </c>
      <c r="AA1" s="43" t="s">
        <v>211</v>
      </c>
      <c r="AC1" s="43" t="s">
        <v>212</v>
      </c>
      <c r="AE1" s="43" t="s">
        <v>213</v>
      </c>
      <c r="AG1" s="43" t="s">
        <v>214</v>
      </c>
      <c r="AH1" s="43" t="s">
        <v>215</v>
      </c>
      <c r="AI1" s="43" t="s">
        <v>216</v>
      </c>
      <c r="AJ1" s="43" t="s">
        <v>217</v>
      </c>
      <c r="AK1" s="43" t="s">
        <v>218</v>
      </c>
      <c r="AL1" s="43" t="s">
        <v>219</v>
      </c>
    </row>
    <row r="2" spans="1:38" s="43" customFormat="1" x14ac:dyDescent="0.3">
      <c r="A2" s="43" t="s">
        <v>194</v>
      </c>
      <c r="B2" s="43" t="s">
        <v>0</v>
      </c>
      <c r="C2" s="43" t="s">
        <v>222</v>
      </c>
      <c r="D2" s="43" t="s">
        <v>0</v>
      </c>
      <c r="E2" s="43" t="s">
        <v>222</v>
      </c>
      <c r="F2" s="43" t="s">
        <v>0</v>
      </c>
      <c r="G2" s="43" t="s">
        <v>222</v>
      </c>
      <c r="H2" s="43" t="s">
        <v>0</v>
      </c>
      <c r="I2" s="43" t="s">
        <v>222</v>
      </c>
      <c r="J2" s="43" t="s">
        <v>222</v>
      </c>
      <c r="K2" s="43" t="s">
        <v>222</v>
      </c>
      <c r="L2" s="43" t="s">
        <v>222</v>
      </c>
      <c r="M2" s="43" t="s">
        <v>222</v>
      </c>
      <c r="N2" s="43" t="s">
        <v>0</v>
      </c>
      <c r="O2" s="43" t="s">
        <v>222</v>
      </c>
      <c r="P2" s="43" t="s">
        <v>222</v>
      </c>
      <c r="Q2" s="43" t="s">
        <v>222</v>
      </c>
      <c r="R2" s="43" t="s">
        <v>222</v>
      </c>
      <c r="S2" s="43" t="s">
        <v>222</v>
      </c>
      <c r="T2" s="43" t="s">
        <v>0</v>
      </c>
      <c r="U2" s="43" t="s">
        <v>222</v>
      </c>
      <c r="V2" s="43" t="s">
        <v>0</v>
      </c>
      <c r="W2" s="43" t="s">
        <v>222</v>
      </c>
      <c r="X2" s="43" t="s">
        <v>0</v>
      </c>
      <c r="Y2" s="43" t="s">
        <v>222</v>
      </c>
      <c r="Z2" s="43" t="s">
        <v>0</v>
      </c>
      <c r="AA2" s="43" t="s">
        <v>222</v>
      </c>
      <c r="AB2" s="43" t="s">
        <v>0</v>
      </c>
      <c r="AC2" s="43" t="s">
        <v>222</v>
      </c>
      <c r="AD2" s="43" t="s">
        <v>0</v>
      </c>
      <c r="AE2" s="43" t="s">
        <v>222</v>
      </c>
      <c r="AF2" s="43" t="s">
        <v>0</v>
      </c>
      <c r="AG2" s="43" t="s">
        <v>222</v>
      </c>
      <c r="AH2" s="43" t="s">
        <v>222</v>
      </c>
      <c r="AI2" s="43" t="s">
        <v>222</v>
      </c>
      <c r="AJ2" s="43" t="s">
        <v>222</v>
      </c>
      <c r="AK2" s="43" t="s">
        <v>222</v>
      </c>
      <c r="AL2" s="43" t="s">
        <v>222</v>
      </c>
    </row>
    <row r="3" spans="1:38" x14ac:dyDescent="0.3">
      <c r="A3" t="s">
        <v>244</v>
      </c>
      <c r="B3" s="40" t="s">
        <v>117</v>
      </c>
      <c r="D3" t="s">
        <v>14</v>
      </c>
      <c r="E3">
        <f>'Imports - Data (Raw)'!G3/'Imports - Data (Raw)'!F3</f>
        <v>1.32</v>
      </c>
      <c r="F3" s="2" t="s">
        <v>3</v>
      </c>
      <c r="G3">
        <f>'Imports - Data (Raw)'!J3/'Imports - Data (Raw)'!I3</f>
        <v>103.28510638297873</v>
      </c>
      <c r="H3" s="4" t="s">
        <v>3</v>
      </c>
      <c r="I3">
        <f>'Imports - Data (Raw)'!M3/'Imports - Data (Raw)'!L3</f>
        <v>164.87358490566038</v>
      </c>
      <c r="J3">
        <f>'Imports - Data (Raw)'!O3/'Imports - Data (Raw)'!N3</f>
        <v>106.36170212765957</v>
      </c>
      <c r="K3">
        <f>'Imports - Data (Raw)'!Q3/'Imports - Data (Raw)'!P3</f>
        <v>93.461267605633807</v>
      </c>
      <c r="L3">
        <f>'Imports - Data (Raw)'!S3/'Imports - Data (Raw)'!R3</f>
        <v>83.930753564154784</v>
      </c>
      <c r="M3">
        <f>'Imports - Data (Raw)'!U3/'Imports - Data (Raw)'!T3</f>
        <v>58.575000000000003</v>
      </c>
      <c r="N3" s="4" t="s">
        <v>3</v>
      </c>
      <c r="O3">
        <f>'Imports - Data (Raw)'!X3/'Imports - Data (Raw)'!W3</f>
        <v>66.92307692307692</v>
      </c>
      <c r="P3">
        <f>'Imports - Data (Raw)'!Z3/'Imports - Data (Raw)'!Y3</f>
        <v>82.474226804123717</v>
      </c>
      <c r="Q3">
        <f>'Imports - Data (Raw)'!AB3/'Imports - Data (Raw)'!AA3</f>
        <v>90.225563909774436</v>
      </c>
      <c r="R3">
        <f>'Imports - Data (Raw)'!AD3/'Imports - Data (Raw)'!AC3</f>
        <v>90.395480225988706</v>
      </c>
      <c r="S3">
        <f>'Imports - Data (Raw)'!AF3/'Imports - Data (Raw)'!AE3</f>
        <v>78.632478632478637</v>
      </c>
      <c r="T3" s="2" t="s">
        <v>15</v>
      </c>
      <c r="U3">
        <f>'Imports - Data (Raw)'!AI3/'Imports - Data (Raw)'!AH3</f>
        <v>0.51025400748007665</v>
      </c>
      <c r="V3" s="4" t="s">
        <v>15</v>
      </c>
      <c r="W3">
        <f>'Imports - Data (Raw)'!AL3/'Imports - Data (Raw)'!AK3</f>
        <v>0.5</v>
      </c>
      <c r="X3" s="2" t="s">
        <v>2</v>
      </c>
      <c r="Y3">
        <f>'Imports - Data (Raw)'!AO3/'Imports - Data (Raw)'!AN3</f>
        <v>51.903114186851212</v>
      </c>
      <c r="Z3" s="4" t="s">
        <v>2</v>
      </c>
      <c r="AA3">
        <f>'Imports - Data (Raw)'!AR3/'Imports - Data (Raw)'!AQ3</f>
        <v>72.164948453608247</v>
      </c>
      <c r="AB3" s="4" t="s">
        <v>2</v>
      </c>
      <c r="AC3">
        <f>'Imports - Data (Raw)'!AU3/'Imports - Data (Raw)'!AT3</f>
        <v>72.599999999999994</v>
      </c>
      <c r="AD3" s="4" t="s">
        <v>2</v>
      </c>
      <c r="AF3" s="2" t="s">
        <v>5</v>
      </c>
      <c r="AG3">
        <f>'Imports - Data (Raw)'!BA3/'Imports - Data (Raw)'!AZ3</f>
        <v>1454.3859649122808</v>
      </c>
      <c r="AI3">
        <f>'Imports - Data (Raw)'!BE3/'Imports - Data (Raw)'!BD3</f>
        <v>1281.25</v>
      </c>
      <c r="AJ3">
        <f>'Imports - Data (Raw)'!BG3/'Imports - Data (Raw)'!BF3</f>
        <v>1269.8412698412699</v>
      </c>
      <c r="AK3">
        <f>'Imports - Data (Raw)'!BI3/'Imports - Data (Raw)'!BH3</f>
        <v>1229.5081967213114</v>
      </c>
      <c r="AL3">
        <f>'Imports - Data (Raw)'!BK3/'Imports - Data (Raw)'!BJ3</f>
        <v>1200</v>
      </c>
    </row>
    <row r="4" spans="1:38" x14ac:dyDescent="0.3">
      <c r="A4" t="s">
        <v>314</v>
      </c>
      <c r="B4" s="40" t="s">
        <v>118</v>
      </c>
      <c r="D4" t="s">
        <v>3</v>
      </c>
      <c r="F4" s="4" t="s">
        <v>3</v>
      </c>
      <c r="G4">
        <f>'Imports - Data (Raw)'!J4/'Imports - Data (Raw)'!I4</f>
        <v>40</v>
      </c>
      <c r="H4" s="4" t="s">
        <v>3</v>
      </c>
      <c r="I4">
        <f>'Imports - Data (Raw)'!M4/'Imports - Data (Raw)'!L4</f>
        <v>38.579268292682926</v>
      </c>
      <c r="J4">
        <f>'Imports - Data (Raw)'!O4/'Imports - Data (Raw)'!N4</f>
        <v>38.806938159879337</v>
      </c>
      <c r="K4">
        <f>'Imports - Data (Raw)'!Q4/'Imports - Data (Raw)'!P4</f>
        <v>40</v>
      </c>
      <c r="L4">
        <f>'Imports - Data (Raw)'!S4/'Imports - Data (Raw)'!R4</f>
        <v>52.832580463015248</v>
      </c>
      <c r="M4">
        <f>'Imports - Data (Raw)'!U4/'Imports - Data (Raw)'!T4</f>
        <v>50</v>
      </c>
      <c r="N4" s="4" t="s">
        <v>3</v>
      </c>
      <c r="T4" t="s">
        <v>3</v>
      </c>
      <c r="V4" s="4" t="s">
        <v>3</v>
      </c>
      <c r="X4" s="4" t="s">
        <v>3</v>
      </c>
      <c r="Z4" s="4" t="s">
        <v>3</v>
      </c>
      <c r="AB4" s="4" t="s">
        <v>3</v>
      </c>
      <c r="AD4" s="4" t="s">
        <v>3</v>
      </c>
      <c r="AF4" t="s">
        <v>3</v>
      </c>
    </row>
    <row r="5" spans="1:38" x14ac:dyDescent="0.3">
      <c r="A5" t="s">
        <v>81</v>
      </c>
      <c r="B5" s="40" t="s">
        <v>118</v>
      </c>
      <c r="D5" t="s">
        <v>3</v>
      </c>
      <c r="F5" s="4" t="s">
        <v>3</v>
      </c>
      <c r="G5">
        <f>'Imports - Data (Raw)'!J5/'Imports - Data (Raw)'!I5</f>
        <v>31.304507819687213</v>
      </c>
      <c r="H5" s="4" t="s">
        <v>3</v>
      </c>
      <c r="I5">
        <f>'Imports - Data (Raw)'!M5/'Imports - Data (Raw)'!L5</f>
        <v>37.333333333333336</v>
      </c>
      <c r="J5">
        <f>'Imports - Data (Raw)'!O5/'Imports - Data (Raw)'!N5</f>
        <v>33.32826086956522</v>
      </c>
      <c r="K5">
        <f>'Imports - Data (Raw)'!Q5/'Imports - Data (Raw)'!P5</f>
        <v>45.453681710213779</v>
      </c>
      <c r="L5">
        <f>'Imports - Data (Raw)'!S5/'Imports - Data (Raw)'!R5</f>
        <v>23.771428571428572</v>
      </c>
      <c r="M5">
        <f>'Imports - Data (Raw)'!U5/'Imports - Data (Raw)'!T5</f>
        <v>17.985442329227325</v>
      </c>
      <c r="N5" s="4" t="s">
        <v>3</v>
      </c>
      <c r="O5">
        <f>'Imports - Data (Raw)'!X5/'Imports - Data (Raw)'!W5</f>
        <v>21.53846153846154</v>
      </c>
      <c r="T5" t="s">
        <v>3</v>
      </c>
      <c r="V5" s="4" t="s">
        <v>3</v>
      </c>
      <c r="X5" s="4" t="s">
        <v>3</v>
      </c>
      <c r="Z5" s="4" t="s">
        <v>3</v>
      </c>
      <c r="AB5" s="4" t="s">
        <v>3</v>
      </c>
      <c r="AD5" s="4" t="s">
        <v>3</v>
      </c>
      <c r="AF5" t="s">
        <v>3</v>
      </c>
    </row>
    <row r="6" spans="1:38" x14ac:dyDescent="0.3">
      <c r="A6" t="s">
        <v>315</v>
      </c>
      <c r="B6" s="40" t="s">
        <v>118</v>
      </c>
      <c r="D6" t="s">
        <v>3</v>
      </c>
      <c r="F6" s="4" t="s">
        <v>3</v>
      </c>
      <c r="H6" s="4" t="s">
        <v>3</v>
      </c>
      <c r="N6" s="4" t="s">
        <v>3</v>
      </c>
      <c r="P6">
        <f>'Imports - Data (Raw)'!Z6/'Imports - Data (Raw)'!Y6</f>
        <v>25.581395348837209</v>
      </c>
      <c r="Q6">
        <f>'Imports - Data (Raw)'!AB6/'Imports - Data (Raw)'!AA6</f>
        <v>32.647058823529413</v>
      </c>
      <c r="R6">
        <f>'Imports - Data (Raw)'!AD6/'Imports - Data (Raw)'!AC6</f>
        <v>31.625615763546797</v>
      </c>
      <c r="S6">
        <f>'Imports - Data (Raw)'!AF6/'Imports - Data (Raw)'!AE6</f>
        <v>32.127659574468083</v>
      </c>
      <c r="T6" t="s">
        <v>3</v>
      </c>
      <c r="V6" s="4" t="s">
        <v>3</v>
      </c>
      <c r="X6" s="4" t="s">
        <v>3</v>
      </c>
      <c r="Z6" s="4" t="s">
        <v>3</v>
      </c>
      <c r="AB6" s="4" t="s">
        <v>3</v>
      </c>
      <c r="AD6" s="4" t="s">
        <v>3</v>
      </c>
      <c r="AF6" t="s">
        <v>3</v>
      </c>
    </row>
    <row r="7" spans="1:38" x14ac:dyDescent="0.3">
      <c r="A7" t="s">
        <v>325</v>
      </c>
      <c r="B7" s="40" t="s">
        <v>119</v>
      </c>
      <c r="C7">
        <f>'Imports - Data (Raw)'!D7/'Imports - Data (Raw)'!C7</f>
        <v>0.54545454545454553</v>
      </c>
      <c r="D7" t="s">
        <v>11</v>
      </c>
      <c r="E7">
        <f>'Imports - Data (Raw)'!G7/'Imports - Data (Raw)'!F7</f>
        <v>0.54545454545454541</v>
      </c>
      <c r="F7" s="4" t="s">
        <v>11</v>
      </c>
      <c r="H7" s="4" t="s">
        <v>11</v>
      </c>
      <c r="N7" s="4" t="s">
        <v>11</v>
      </c>
      <c r="T7" t="s">
        <v>11</v>
      </c>
      <c r="V7" s="4" t="s">
        <v>11</v>
      </c>
      <c r="X7" s="4" t="s">
        <v>11</v>
      </c>
      <c r="Z7" s="4" t="s">
        <v>11</v>
      </c>
      <c r="AB7" s="4" t="s">
        <v>11</v>
      </c>
      <c r="AD7" s="4" t="s">
        <v>11</v>
      </c>
      <c r="AF7" t="s">
        <v>11</v>
      </c>
    </row>
    <row r="8" spans="1:38" x14ac:dyDescent="0.3">
      <c r="A8" t="s">
        <v>316</v>
      </c>
      <c r="B8" s="40" t="s">
        <v>119</v>
      </c>
      <c r="C8">
        <f>'Imports - Data (Raw)'!D8/'Imports - Data (Raw)'!C8</f>
        <v>0.63636363636363635</v>
      </c>
      <c r="D8" t="s">
        <v>11</v>
      </c>
      <c r="E8">
        <f>'Imports - Data (Raw)'!G8/'Imports - Data (Raw)'!F8</f>
        <v>0.63920454545454541</v>
      </c>
      <c r="F8" s="4" t="s">
        <v>11</v>
      </c>
      <c r="H8" s="4" t="s">
        <v>11</v>
      </c>
      <c r="N8" s="4" t="s">
        <v>11</v>
      </c>
      <c r="T8" t="s">
        <v>11</v>
      </c>
      <c r="U8">
        <f>'Imports - Data (Raw)'!AI8/'Imports - Data (Raw)'!AH8</f>
        <v>0.28000000000000003</v>
      </c>
      <c r="V8" s="4" t="s">
        <v>11</v>
      </c>
      <c r="X8" s="4" t="s">
        <v>11</v>
      </c>
      <c r="Z8" s="4" t="s">
        <v>11</v>
      </c>
      <c r="AB8" s="4" t="s">
        <v>11</v>
      </c>
      <c r="AD8" s="4" t="s">
        <v>11</v>
      </c>
      <c r="AF8" t="s">
        <v>11</v>
      </c>
    </row>
    <row r="9" spans="1:38" x14ac:dyDescent="0.3">
      <c r="A9" t="s">
        <v>317</v>
      </c>
      <c r="B9" s="40" t="s">
        <v>119</v>
      </c>
      <c r="C9">
        <f>'Imports - Data (Raw)'!D9/'Imports - Data (Raw)'!C9</f>
        <v>0.95454545454545447</v>
      </c>
      <c r="D9" t="s">
        <v>11</v>
      </c>
      <c r="E9">
        <f>'Imports - Data (Raw)'!G9/'Imports - Data (Raw)'!F9</f>
        <v>0.1364620228256592</v>
      </c>
      <c r="F9" s="4" t="s">
        <v>11</v>
      </c>
      <c r="H9" s="4" t="s">
        <v>11</v>
      </c>
      <c r="N9" s="4" t="s">
        <v>11</v>
      </c>
      <c r="T9" t="s">
        <v>11</v>
      </c>
      <c r="U9">
        <f>'Imports - Data (Raw)'!AI9/'Imports - Data (Raw)'!AH9</f>
        <v>0.34</v>
      </c>
      <c r="V9" s="4" t="s">
        <v>11</v>
      </c>
      <c r="X9" s="4" t="s">
        <v>11</v>
      </c>
      <c r="Z9" s="4" t="s">
        <v>11</v>
      </c>
      <c r="AB9" s="4" t="s">
        <v>11</v>
      </c>
      <c r="AD9" s="4" t="s">
        <v>11</v>
      </c>
      <c r="AF9" t="s">
        <v>11</v>
      </c>
    </row>
    <row r="10" spans="1:38" x14ac:dyDescent="0.3">
      <c r="A10" t="s">
        <v>323</v>
      </c>
      <c r="B10" s="40" t="s">
        <v>119</v>
      </c>
      <c r="C10">
        <f>'Imports - Data (Raw)'!D10/'Imports - Data (Raw)'!C10</f>
        <v>0.97499999999999998</v>
      </c>
      <c r="D10" t="s">
        <v>11</v>
      </c>
      <c r="E10">
        <f>'Imports - Data (Raw)'!G10/'Imports - Data (Raw)'!F10</f>
        <v>0.97278517660683261</v>
      </c>
      <c r="F10" s="4" t="s">
        <v>11</v>
      </c>
      <c r="H10" s="4" t="s">
        <v>11</v>
      </c>
      <c r="N10" s="4" t="s">
        <v>11</v>
      </c>
      <c r="T10" t="s">
        <v>11</v>
      </c>
      <c r="U10">
        <f>'Imports - Data (Raw)'!AI10/'Imports - Data (Raw)'!AH10</f>
        <v>0.36</v>
      </c>
      <c r="V10" s="4" t="s">
        <v>11</v>
      </c>
      <c r="X10" s="4" t="s">
        <v>11</v>
      </c>
      <c r="Z10" s="4" t="s">
        <v>11</v>
      </c>
      <c r="AB10" s="4" t="s">
        <v>11</v>
      </c>
      <c r="AD10" s="4" t="s">
        <v>11</v>
      </c>
      <c r="AF10" t="s">
        <v>11</v>
      </c>
    </row>
    <row r="11" spans="1:38" x14ac:dyDescent="0.3">
      <c r="A11" t="s">
        <v>318</v>
      </c>
      <c r="B11" s="40" t="s">
        <v>119</v>
      </c>
      <c r="C11">
        <f>'Imports - Data (Raw)'!D11/'Imports - Data (Raw)'!C11</f>
        <v>1.1363636363636362</v>
      </c>
      <c r="D11" t="s">
        <v>11</v>
      </c>
      <c r="E11">
        <f>'Imports - Data (Raw)'!G11/'Imports - Data (Raw)'!F11</f>
        <v>1.1374407582938388</v>
      </c>
      <c r="F11" s="4" t="s">
        <v>11</v>
      </c>
      <c r="H11" s="4" t="s">
        <v>11</v>
      </c>
      <c r="N11" s="4" t="s">
        <v>11</v>
      </c>
      <c r="T11" t="s">
        <v>11</v>
      </c>
      <c r="U11">
        <f>'Imports - Data (Raw)'!AI11/'Imports - Data (Raw)'!AH11</f>
        <v>0.44</v>
      </c>
      <c r="V11" s="4" t="s">
        <v>11</v>
      </c>
      <c r="X11" s="4" t="s">
        <v>11</v>
      </c>
      <c r="Z11" s="4" t="s">
        <v>11</v>
      </c>
      <c r="AB11" s="4" t="s">
        <v>11</v>
      </c>
      <c r="AD11" s="4" t="s">
        <v>11</v>
      </c>
      <c r="AF11" t="s">
        <v>11</v>
      </c>
    </row>
    <row r="12" spans="1:38" x14ac:dyDescent="0.3">
      <c r="A12" t="s">
        <v>320</v>
      </c>
      <c r="B12" s="40" t="s">
        <v>119</v>
      </c>
      <c r="D12" t="s">
        <v>11</v>
      </c>
      <c r="F12" s="4" t="s">
        <v>11</v>
      </c>
      <c r="H12" s="4" t="s">
        <v>11</v>
      </c>
      <c r="N12" s="4" t="s">
        <v>11</v>
      </c>
      <c r="T12" t="s">
        <v>11</v>
      </c>
      <c r="U12">
        <f>'Imports - Data (Raw)'!AI12/'Imports - Data (Raw)'!AH12</f>
        <v>0.48</v>
      </c>
      <c r="V12" s="4" t="s">
        <v>11</v>
      </c>
      <c r="X12" s="4" t="s">
        <v>11</v>
      </c>
      <c r="Z12" s="4" t="s">
        <v>11</v>
      </c>
      <c r="AB12" s="4" t="s">
        <v>11</v>
      </c>
      <c r="AD12" s="4" t="s">
        <v>11</v>
      </c>
      <c r="AF12" t="s">
        <v>11</v>
      </c>
    </row>
    <row r="13" spans="1:38" x14ac:dyDescent="0.3">
      <c r="A13" t="s">
        <v>321</v>
      </c>
      <c r="B13" s="40" t="s">
        <v>119</v>
      </c>
      <c r="D13" t="s">
        <v>11</v>
      </c>
      <c r="F13" s="4" t="s">
        <v>11</v>
      </c>
      <c r="H13" s="4" t="s">
        <v>11</v>
      </c>
      <c r="N13" s="4" t="s">
        <v>11</v>
      </c>
      <c r="T13" t="s">
        <v>11</v>
      </c>
      <c r="V13" s="4" t="s">
        <v>11</v>
      </c>
      <c r="W13">
        <f>'Imports - Data (Raw)'!AL13/'Imports - Data (Raw)'!AK13</f>
        <v>0.33663366336633666</v>
      </c>
      <c r="X13" s="4" t="s">
        <v>11</v>
      </c>
      <c r="Y13">
        <f>'Imports - Data (Raw)'!AO13/'Imports - Data (Raw)'!AN13</f>
        <v>0.47488764044943821</v>
      </c>
      <c r="Z13" s="4" t="s">
        <v>11</v>
      </c>
      <c r="AA13">
        <f>'Imports - Data (Raw)'!AR13/'Imports - Data (Raw)'!AQ13</f>
        <v>0.43512315270935958</v>
      </c>
      <c r="AB13" s="4" t="s">
        <v>11</v>
      </c>
      <c r="AC13">
        <f>'Imports - Data (Raw)'!AU13/'Imports - Data (Raw)'!AT13</f>
        <v>0.33306010928961749</v>
      </c>
      <c r="AD13" s="4" t="s">
        <v>11</v>
      </c>
      <c r="AF13" t="s">
        <v>11</v>
      </c>
    </row>
    <row r="14" spans="1:38" x14ac:dyDescent="0.3">
      <c r="A14" t="s">
        <v>315</v>
      </c>
      <c r="B14" s="40" t="s">
        <v>119</v>
      </c>
      <c r="D14" t="s">
        <v>11</v>
      </c>
      <c r="F14" s="4" t="s">
        <v>11</v>
      </c>
      <c r="H14" s="4" t="s">
        <v>11</v>
      </c>
      <c r="N14" s="4" t="s">
        <v>11</v>
      </c>
      <c r="T14" t="s">
        <v>11</v>
      </c>
      <c r="V14" s="4" t="s">
        <v>11</v>
      </c>
      <c r="X14" s="4" t="s">
        <v>11</v>
      </c>
      <c r="Z14" s="4" t="s">
        <v>11</v>
      </c>
      <c r="AB14" s="4" t="s">
        <v>11</v>
      </c>
      <c r="AD14" s="4" t="s">
        <v>11</v>
      </c>
      <c r="AE14">
        <f>'Imports - Data (Raw)'!AX14/'Imports - Data (Raw)'!AW14</f>
        <v>0.34166666666666667</v>
      </c>
      <c r="AF14" t="s">
        <v>11</v>
      </c>
      <c r="AG14">
        <f>'Imports - Data (Raw)'!BA14/'Imports - Data (Raw)'!AZ14</f>
        <v>0.35806451612903228</v>
      </c>
      <c r="AH14">
        <f>'Imports - Data (Raw)'!BC14/'Imports - Data (Raw)'!BB14</f>
        <v>0.3576923076923077</v>
      </c>
      <c r="AI14">
        <f>'Imports - Data (Raw)'!BE14/'Imports - Data (Raw)'!BD14</f>
        <v>0.33333333333333331</v>
      </c>
      <c r="AJ14">
        <f>'Imports - Data (Raw)'!BG14/'Imports - Data (Raw)'!BF14</f>
        <v>0.33913043478260868</v>
      </c>
      <c r="AK14">
        <f>'Imports - Data (Raw)'!BI14/'Imports - Data (Raw)'!BH14</f>
        <v>0.33636363636363636</v>
      </c>
      <c r="AL14">
        <f>'Imports - Data (Raw)'!BK14/'Imports - Data (Raw)'!BJ14</f>
        <v>0.33429752066115703</v>
      </c>
    </row>
    <row r="15" spans="1:38" x14ac:dyDescent="0.3">
      <c r="A15" t="s">
        <v>322</v>
      </c>
      <c r="B15" s="40" t="s">
        <v>120</v>
      </c>
      <c r="D15" t="s">
        <v>15</v>
      </c>
      <c r="F15" s="4" t="s">
        <v>15</v>
      </c>
      <c r="H15" s="4" t="s">
        <v>15</v>
      </c>
      <c r="N15" s="4" t="s">
        <v>15</v>
      </c>
      <c r="T15" t="s">
        <v>15</v>
      </c>
      <c r="V15" s="4" t="s">
        <v>15</v>
      </c>
      <c r="X15" s="4" t="s">
        <v>15</v>
      </c>
      <c r="Z15" s="4" t="s">
        <v>15</v>
      </c>
      <c r="AB15" s="4" t="s">
        <v>15</v>
      </c>
      <c r="AD15" s="4" t="s">
        <v>15</v>
      </c>
      <c r="AE15">
        <f>'Imports - Data (Raw)'!AX15/'Imports - Data (Raw)'!AW15</f>
        <v>0.1</v>
      </c>
      <c r="AF15" t="s">
        <v>15</v>
      </c>
      <c r="AG15">
        <f>'Imports - Data (Raw)'!BA15/'Imports - Data (Raw)'!AZ15</f>
        <v>0.1</v>
      </c>
      <c r="AH15">
        <f>'Imports - Data (Raw)'!BC15/'Imports - Data (Raw)'!BB15</f>
        <v>0.1125</v>
      </c>
      <c r="AI15">
        <f>'Imports - Data (Raw)'!BE15/'Imports - Data (Raw)'!BD15</f>
        <v>0.1</v>
      </c>
      <c r="AJ15">
        <f>'Imports - Data (Raw)'!BG15/'Imports - Data (Raw)'!BF15</f>
        <v>0.1</v>
      </c>
      <c r="AK15">
        <f>'Imports - Data (Raw)'!BI15/'Imports - Data (Raw)'!BH15</f>
        <v>0.1</v>
      </c>
      <c r="AL15">
        <f>'Imports - Data (Raw)'!BK15/'Imports - Data (Raw)'!BJ15</f>
        <v>8.3673469387755099E-3</v>
      </c>
    </row>
    <row r="16" spans="1:38" x14ac:dyDescent="0.3">
      <c r="A16" t="s">
        <v>324</v>
      </c>
      <c r="B16" s="40" t="s">
        <v>121</v>
      </c>
      <c r="C16">
        <f>'Imports - Data (Raw)'!D16/'Imports - Data (Raw)'!C16</f>
        <v>0.41818181818181821</v>
      </c>
      <c r="D16" t="s">
        <v>16</v>
      </c>
      <c r="F16" s="4" t="s">
        <v>16</v>
      </c>
      <c r="H16" s="4" t="s">
        <v>16</v>
      </c>
      <c r="N16" s="4" t="s">
        <v>16</v>
      </c>
      <c r="T16" t="s">
        <v>16</v>
      </c>
      <c r="V16" s="4" t="s">
        <v>16</v>
      </c>
      <c r="X16" s="4" t="s">
        <v>16</v>
      </c>
      <c r="Z16" s="4" t="s">
        <v>16</v>
      </c>
      <c r="AB16" s="4" t="s">
        <v>16</v>
      </c>
      <c r="AD16" s="4" t="s">
        <v>16</v>
      </c>
      <c r="AF16" t="s">
        <v>16</v>
      </c>
    </row>
    <row r="17" spans="1:32" x14ac:dyDescent="0.3">
      <c r="A17" t="s">
        <v>82</v>
      </c>
      <c r="B17" s="40" t="s">
        <v>118</v>
      </c>
      <c r="D17" t="s">
        <v>3</v>
      </c>
      <c r="F17" s="4" t="s">
        <v>3</v>
      </c>
      <c r="G17">
        <f>'Imports - Data (Raw)'!J17/'Imports - Data (Raw)'!I17</f>
        <v>8.0206611570247937</v>
      </c>
      <c r="H17" s="4" t="s">
        <v>3</v>
      </c>
      <c r="I17">
        <f>'Imports - Data (Raw)'!M17/'Imports - Data (Raw)'!L17</f>
        <v>4.6983408748114632</v>
      </c>
      <c r="J17">
        <f>'Imports - Data (Raw)'!O17/'Imports - Data (Raw)'!N17</f>
        <v>4.8040752351097176</v>
      </c>
      <c r="K17">
        <f>'Imports - Data (Raw)'!Q17/'Imports - Data (Raw)'!P17</f>
        <v>15.021390374331551</v>
      </c>
      <c r="L17">
        <f>'Imports - Data (Raw)'!S17/'Imports - Data (Raw)'!R17</f>
        <v>40</v>
      </c>
      <c r="M17">
        <f>'Imports - Data (Raw)'!U17/'Imports - Data (Raw)'!T17</f>
        <v>40</v>
      </c>
      <c r="N17" s="4" t="s">
        <v>3</v>
      </c>
      <c r="T17" t="s">
        <v>3</v>
      </c>
      <c r="V17" s="4" t="s">
        <v>3</v>
      </c>
      <c r="X17" s="4" t="s">
        <v>3</v>
      </c>
      <c r="Z17" s="4" t="s">
        <v>3</v>
      </c>
      <c r="AB17" s="4" t="s">
        <v>3</v>
      </c>
      <c r="AD17" s="4" t="s">
        <v>3</v>
      </c>
      <c r="AF17" t="s">
        <v>3</v>
      </c>
    </row>
    <row r="18" spans="1:32" x14ac:dyDescent="0.3">
      <c r="A18" t="s">
        <v>163</v>
      </c>
      <c r="B18" s="40" t="s">
        <v>122</v>
      </c>
      <c r="D18" t="s">
        <v>6</v>
      </c>
      <c r="F18" s="4" t="s">
        <v>6</v>
      </c>
      <c r="H18" s="4" t="s">
        <v>6</v>
      </c>
      <c r="N18" s="4" t="s">
        <v>6</v>
      </c>
      <c r="O18">
        <f>'Imports - Data (Raw)'!X18/'Imports - Data (Raw)'!W18</f>
        <v>0.37880645161290322</v>
      </c>
      <c r="P18">
        <f>'Imports - Data (Raw)'!Z18/'Imports - Data (Raw)'!Y18</f>
        <v>0.38333333333333336</v>
      </c>
      <c r="Q18">
        <f>'Imports - Data (Raw)'!AB18/'Imports - Data (Raw)'!AA18</f>
        <v>0.375</v>
      </c>
      <c r="R18">
        <f>'Imports - Data (Raw)'!AD18/'Imports - Data (Raw)'!AC18</f>
        <v>0.33950617283950618</v>
      </c>
      <c r="S18">
        <f>'Imports - Data (Raw)'!AF18/'Imports - Data (Raw)'!AE18</f>
        <v>0.33204633204633205</v>
      </c>
      <c r="T18" t="s">
        <v>6</v>
      </c>
      <c r="V18" s="4" t="s">
        <v>6</v>
      </c>
      <c r="X18" s="4" t="s">
        <v>6</v>
      </c>
      <c r="Z18" s="4" t="s">
        <v>6</v>
      </c>
      <c r="AB18" s="4" t="s">
        <v>6</v>
      </c>
      <c r="AD18" s="4" t="s">
        <v>6</v>
      </c>
      <c r="AF18" t="s">
        <v>6</v>
      </c>
    </row>
    <row r="19" spans="1:32" x14ac:dyDescent="0.3">
      <c r="A19" t="s">
        <v>164</v>
      </c>
      <c r="B19" s="40" t="s">
        <v>122</v>
      </c>
      <c r="C19">
        <f>'Imports - Data (Raw)'!D19/'Imports - Data (Raw)'!C19</f>
        <v>0.4363636363636364</v>
      </c>
      <c r="D19" t="s">
        <v>6</v>
      </c>
      <c r="E19">
        <f>'Imports - Data (Raw)'!G19/'Imports - Data (Raw)'!F19</f>
        <v>0.45454545454545453</v>
      </c>
      <c r="F19" s="4" t="s">
        <v>6</v>
      </c>
      <c r="H19" s="4" t="s">
        <v>6</v>
      </c>
      <c r="N19" s="4" t="s">
        <v>6</v>
      </c>
      <c r="T19" t="s">
        <v>6</v>
      </c>
      <c r="V19" s="4" t="s">
        <v>6</v>
      </c>
      <c r="X19" s="4" t="s">
        <v>6</v>
      </c>
      <c r="Z19" s="4" t="s">
        <v>6</v>
      </c>
      <c r="AB19" s="4" t="s">
        <v>6</v>
      </c>
      <c r="AD19" s="4" t="s">
        <v>6</v>
      </c>
      <c r="AF19" t="s">
        <v>6</v>
      </c>
    </row>
    <row r="20" spans="1:32" x14ac:dyDescent="0.3">
      <c r="A20" t="s">
        <v>83</v>
      </c>
      <c r="B20" s="40" t="s">
        <v>122</v>
      </c>
      <c r="C20">
        <f>'Imports - Data (Raw)'!D20/'Imports - Data (Raw)'!C20</f>
        <v>0.81818181818181823</v>
      </c>
      <c r="D20" t="s">
        <v>6</v>
      </c>
      <c r="E20">
        <f>'Imports - Data (Raw)'!G20/'Imports - Data (Raw)'!F20</f>
        <v>0.55168119551681194</v>
      </c>
      <c r="F20" s="4" t="s">
        <v>6</v>
      </c>
      <c r="H20" s="4" t="s">
        <v>6</v>
      </c>
      <c r="N20" s="4" t="s">
        <v>6</v>
      </c>
      <c r="T20" t="s">
        <v>6</v>
      </c>
      <c r="V20" s="4" t="s">
        <v>6</v>
      </c>
      <c r="X20" s="4" t="s">
        <v>6</v>
      </c>
      <c r="Z20" s="4" t="s">
        <v>6</v>
      </c>
      <c r="AB20" s="4" t="s">
        <v>6</v>
      </c>
      <c r="AD20" s="4" t="s">
        <v>6</v>
      </c>
      <c r="AF20" t="s">
        <v>6</v>
      </c>
    </row>
    <row r="21" spans="1:32" x14ac:dyDescent="0.3">
      <c r="A21" t="s">
        <v>84</v>
      </c>
      <c r="B21" s="40" t="s">
        <v>122</v>
      </c>
      <c r="C21">
        <f>'Imports - Data (Raw)'!D21/'Imports - Data (Raw)'!C21</f>
        <v>0.88545454545454549</v>
      </c>
      <c r="D21" t="s">
        <v>6</v>
      </c>
      <c r="E21">
        <f>'Imports - Data (Raw)'!G21/'Imports - Data (Raw)'!F21</f>
        <v>0.63636363636363635</v>
      </c>
      <c r="F21" s="4" t="s">
        <v>6</v>
      </c>
      <c r="H21" s="4" t="s">
        <v>6</v>
      </c>
      <c r="N21" s="4" t="s">
        <v>6</v>
      </c>
      <c r="T21" t="s">
        <v>6</v>
      </c>
      <c r="V21" s="4" t="s">
        <v>6</v>
      </c>
      <c r="X21" s="4" t="s">
        <v>6</v>
      </c>
      <c r="Z21" s="4" t="s">
        <v>6</v>
      </c>
      <c r="AB21" s="4" t="s">
        <v>6</v>
      </c>
      <c r="AD21" s="4" t="s">
        <v>6</v>
      </c>
      <c r="AF21" t="s">
        <v>6</v>
      </c>
    </row>
    <row r="22" spans="1:32" x14ac:dyDescent="0.3">
      <c r="A22" t="s">
        <v>85</v>
      </c>
      <c r="B22" s="40" t="s">
        <v>122</v>
      </c>
      <c r="C22">
        <f>'Imports - Data (Raw)'!D22/'Imports - Data (Raw)'!C22</f>
        <v>1.3090909090909091</v>
      </c>
      <c r="D22" t="s">
        <v>6</v>
      </c>
      <c r="F22" s="4" t="s">
        <v>6</v>
      </c>
      <c r="H22" s="4" t="s">
        <v>6</v>
      </c>
      <c r="N22" s="4" t="s">
        <v>6</v>
      </c>
      <c r="T22" t="s">
        <v>6</v>
      </c>
      <c r="V22" s="4" t="s">
        <v>6</v>
      </c>
      <c r="X22" s="4" t="s">
        <v>6</v>
      </c>
      <c r="Z22" s="4" t="s">
        <v>6</v>
      </c>
      <c r="AB22" s="4" t="s">
        <v>6</v>
      </c>
      <c r="AD22" s="4" t="s">
        <v>6</v>
      </c>
      <c r="AF22" t="s">
        <v>6</v>
      </c>
    </row>
    <row r="23" spans="1:32" x14ac:dyDescent="0.3">
      <c r="A23" t="s">
        <v>86</v>
      </c>
      <c r="B23" s="40" t="s">
        <v>122</v>
      </c>
      <c r="C23">
        <f>'Imports - Data (Raw)'!D23/'Imports - Data (Raw)'!C23</f>
        <v>0.4363636363636364</v>
      </c>
      <c r="D23" s="2" t="s">
        <v>17</v>
      </c>
      <c r="E23">
        <f>'Imports - Data (Raw)'!G23/'Imports - Data (Raw)'!F23</f>
        <v>4.1999999999999993</v>
      </c>
      <c r="F23" s="4" t="s">
        <v>17</v>
      </c>
      <c r="H23" s="4" t="s">
        <v>17</v>
      </c>
      <c r="N23" s="4" t="s">
        <v>17</v>
      </c>
      <c r="T23" t="s">
        <v>6</v>
      </c>
      <c r="V23" s="4" t="s">
        <v>6</v>
      </c>
      <c r="X23" s="4" t="s">
        <v>6</v>
      </c>
      <c r="Z23" s="4" t="s">
        <v>6</v>
      </c>
      <c r="AB23" s="4" t="s">
        <v>6</v>
      </c>
      <c r="AD23" s="4" t="s">
        <v>6</v>
      </c>
      <c r="AF23" t="s">
        <v>6</v>
      </c>
    </row>
    <row r="24" spans="1:32" x14ac:dyDescent="0.3">
      <c r="A24" t="s">
        <v>87</v>
      </c>
      <c r="B24" s="40" t="s">
        <v>122</v>
      </c>
      <c r="C24">
        <f>'Imports - Data (Raw)'!D24/'Imports - Data (Raw)'!C24</f>
        <v>0.29090909090909089</v>
      </c>
      <c r="D24" t="s">
        <v>6</v>
      </c>
      <c r="E24">
        <f>'Imports - Data (Raw)'!G24/'Imports - Data (Raw)'!F24</f>
        <v>0.1818181818181818</v>
      </c>
      <c r="F24" s="4" t="s">
        <v>6</v>
      </c>
      <c r="H24" s="4" t="s">
        <v>6</v>
      </c>
      <c r="N24" s="4" t="s">
        <v>6</v>
      </c>
      <c r="T24" t="s">
        <v>6</v>
      </c>
      <c r="V24" s="4" t="s">
        <v>6</v>
      </c>
      <c r="X24" s="4" t="s">
        <v>6</v>
      </c>
      <c r="Z24" s="4" t="s">
        <v>6</v>
      </c>
      <c r="AB24" s="4" t="s">
        <v>6</v>
      </c>
      <c r="AD24" s="4" t="s">
        <v>6</v>
      </c>
      <c r="AF24" t="s">
        <v>6</v>
      </c>
    </row>
    <row r="25" spans="1:32" x14ac:dyDescent="0.3">
      <c r="A25" t="s">
        <v>88</v>
      </c>
      <c r="B25" s="40" t="s">
        <v>123</v>
      </c>
      <c r="C25">
        <f>'Imports - Data (Raw)'!D25/'Imports - Data (Raw)'!C25</f>
        <v>0.90909090909090917</v>
      </c>
      <c r="D25" t="s">
        <v>18</v>
      </c>
      <c r="F25" s="4" t="s">
        <v>18</v>
      </c>
      <c r="H25" s="4" t="s">
        <v>18</v>
      </c>
      <c r="N25" s="4" t="s">
        <v>18</v>
      </c>
      <c r="T25" t="s">
        <v>18</v>
      </c>
      <c r="V25" s="4" t="s">
        <v>18</v>
      </c>
      <c r="X25" s="4" t="s">
        <v>18</v>
      </c>
      <c r="Z25" s="4" t="s">
        <v>18</v>
      </c>
      <c r="AB25" s="4" t="s">
        <v>18</v>
      </c>
      <c r="AD25" s="4" t="s">
        <v>18</v>
      </c>
      <c r="AF25" t="s">
        <v>18</v>
      </c>
    </row>
    <row r="26" spans="1:32" x14ac:dyDescent="0.3">
      <c r="A26" t="s">
        <v>89</v>
      </c>
      <c r="B26" s="40" t="s">
        <v>124</v>
      </c>
      <c r="C26">
        <f>'Imports - Data (Raw)'!D26/'Imports - Data (Raw)'!C26</f>
        <v>7.2727272727272725</v>
      </c>
      <c r="D26" t="s">
        <v>19</v>
      </c>
      <c r="F26" s="4" t="s">
        <v>19</v>
      </c>
      <c r="H26" s="4" t="s">
        <v>19</v>
      </c>
      <c r="N26" s="4" t="s">
        <v>19</v>
      </c>
      <c r="T26" t="s">
        <v>19</v>
      </c>
      <c r="V26" s="4" t="s">
        <v>19</v>
      </c>
      <c r="X26" s="4" t="s">
        <v>19</v>
      </c>
      <c r="Z26" s="4" t="s">
        <v>19</v>
      </c>
      <c r="AB26" s="4" t="s">
        <v>19</v>
      </c>
      <c r="AD26" s="4" t="s">
        <v>19</v>
      </c>
      <c r="AF26" t="s">
        <v>19</v>
      </c>
    </row>
    <row r="27" spans="1:32" x14ac:dyDescent="0.3">
      <c r="A27" t="s">
        <v>90</v>
      </c>
      <c r="B27" s="40" t="s">
        <v>123</v>
      </c>
      <c r="C27">
        <f>'Imports - Data (Raw)'!D27/'Imports - Data (Raw)'!C27</f>
        <v>1.5</v>
      </c>
      <c r="D27" t="s">
        <v>18</v>
      </c>
      <c r="F27" s="4" t="s">
        <v>18</v>
      </c>
      <c r="H27" s="4" t="s">
        <v>18</v>
      </c>
      <c r="N27" s="4" t="s">
        <v>18</v>
      </c>
      <c r="T27" t="s">
        <v>18</v>
      </c>
      <c r="V27" s="4" t="s">
        <v>18</v>
      </c>
      <c r="X27" s="4" t="s">
        <v>18</v>
      </c>
      <c r="Z27" s="4" t="s">
        <v>18</v>
      </c>
      <c r="AB27" s="4" t="s">
        <v>18</v>
      </c>
      <c r="AD27" s="4" t="s">
        <v>18</v>
      </c>
      <c r="AF27" t="s">
        <v>18</v>
      </c>
    </row>
    <row r="28" spans="1:32" x14ac:dyDescent="0.3">
      <c r="A28" t="s">
        <v>165</v>
      </c>
      <c r="B28" s="40" t="s">
        <v>122</v>
      </c>
      <c r="C28">
        <f>'Imports - Data (Raw)'!D28/'Imports - Data (Raw)'!C28</f>
        <v>1.4090909090909089</v>
      </c>
      <c r="D28" t="s">
        <v>6</v>
      </c>
      <c r="F28" s="4" t="s">
        <v>6</v>
      </c>
      <c r="H28" s="4" t="s">
        <v>6</v>
      </c>
      <c r="N28" s="4" t="s">
        <v>6</v>
      </c>
      <c r="T28" t="s">
        <v>6</v>
      </c>
      <c r="V28" s="4" t="s">
        <v>6</v>
      </c>
      <c r="X28" s="4" t="s">
        <v>6</v>
      </c>
      <c r="Z28" s="4" t="s">
        <v>6</v>
      </c>
      <c r="AB28" s="4" t="s">
        <v>6</v>
      </c>
      <c r="AD28" s="4" t="s">
        <v>6</v>
      </c>
      <c r="AF28" t="s">
        <v>6</v>
      </c>
    </row>
    <row r="29" spans="1:32" x14ac:dyDescent="0.3">
      <c r="A29" t="s">
        <v>91</v>
      </c>
      <c r="B29" s="40" t="s">
        <v>122</v>
      </c>
      <c r="C29">
        <f>'Imports - Data (Raw)'!D29/'Imports - Data (Raw)'!C29</f>
        <v>0.81818181818181823</v>
      </c>
      <c r="D29" t="s">
        <v>6</v>
      </c>
      <c r="E29">
        <f>'Imports - Data (Raw)'!G29/'Imports - Data (Raw)'!F29</f>
        <v>0.51194805194805204</v>
      </c>
      <c r="F29" s="4" t="s">
        <v>6</v>
      </c>
      <c r="H29" s="4" t="s">
        <v>6</v>
      </c>
      <c r="N29" s="2" t="s">
        <v>3</v>
      </c>
      <c r="O29">
        <f>'Imports - Data (Raw)'!X29/'Imports - Data (Raw)'!W29</f>
        <v>61.428571428571431</v>
      </c>
      <c r="P29">
        <f>'Imports - Data (Raw)'!Z29/'Imports - Data (Raw)'!Y29</f>
        <v>61.53846153846154</v>
      </c>
      <c r="T29" t="s">
        <v>3</v>
      </c>
      <c r="V29" s="4" t="s">
        <v>3</v>
      </c>
      <c r="X29" s="4" t="s">
        <v>3</v>
      </c>
      <c r="Z29" s="4" t="s">
        <v>3</v>
      </c>
      <c r="AB29" s="4" t="s">
        <v>3</v>
      </c>
      <c r="AD29" s="4" t="s">
        <v>3</v>
      </c>
      <c r="AF29" t="s">
        <v>3</v>
      </c>
    </row>
    <row r="30" spans="1:32" x14ac:dyDescent="0.3">
      <c r="A30" t="s">
        <v>326</v>
      </c>
      <c r="B30" s="40" t="s">
        <v>125</v>
      </c>
      <c r="D30" t="s">
        <v>17</v>
      </c>
      <c r="E30">
        <f>'Imports - Data (Raw)'!G30/'Imports - Data (Raw)'!F30</f>
        <v>0.09</v>
      </c>
      <c r="F30" s="4" t="s">
        <v>17</v>
      </c>
      <c r="H30" s="4" t="s">
        <v>17</v>
      </c>
      <c r="N30" s="2" t="s">
        <v>3</v>
      </c>
      <c r="O30">
        <f>'Imports - Data (Raw)'!X30/'Imports - Data (Raw)'!W30</f>
        <v>44.299065420560744</v>
      </c>
      <c r="P30">
        <f>'Imports - Data (Raw)'!Z30/'Imports - Data (Raw)'!Y30</f>
        <v>40.549273021001618</v>
      </c>
      <c r="T30" t="s">
        <v>3</v>
      </c>
      <c r="V30" s="4" t="s">
        <v>3</v>
      </c>
      <c r="X30" s="4" t="s">
        <v>3</v>
      </c>
      <c r="Z30" s="4" t="s">
        <v>3</v>
      </c>
      <c r="AB30" s="4" t="s">
        <v>3</v>
      </c>
      <c r="AD30" s="4" t="s">
        <v>3</v>
      </c>
      <c r="AF30" t="s">
        <v>3</v>
      </c>
    </row>
    <row r="31" spans="1:32" x14ac:dyDescent="0.3">
      <c r="A31" t="s">
        <v>166</v>
      </c>
      <c r="B31" s="40" t="s">
        <v>126</v>
      </c>
      <c r="D31" t="s">
        <v>9</v>
      </c>
      <c r="F31" s="4" t="s">
        <v>9</v>
      </c>
      <c r="H31" s="4" t="s">
        <v>9</v>
      </c>
      <c r="N31" s="4" t="s">
        <v>9</v>
      </c>
      <c r="O31">
        <f>'Imports - Data (Raw)'!X31/'Imports - Data (Raw)'!W31</f>
        <v>58.972972972972975</v>
      </c>
      <c r="P31">
        <f>'Imports - Data (Raw)'!Z31/'Imports - Data (Raw)'!Y31</f>
        <v>60.615384615384613</v>
      </c>
      <c r="Q31">
        <f>'Imports - Data (Raw)'!AB31/'Imports - Data (Raw)'!AA31</f>
        <v>58.098591549295776</v>
      </c>
      <c r="R31">
        <f>'Imports - Data (Raw)'!AD31/'Imports - Data (Raw)'!AC31</f>
        <v>64.21052631578948</v>
      </c>
      <c r="S31">
        <f>'Imports - Data (Raw)'!AF31/'Imports - Data (Raw)'!AE31</f>
        <v>57.058823529411768</v>
      </c>
      <c r="T31" t="s">
        <v>9</v>
      </c>
      <c r="V31" s="4" t="s">
        <v>9</v>
      </c>
      <c r="X31" s="4" t="s">
        <v>9</v>
      </c>
      <c r="Z31" s="4" t="s">
        <v>9</v>
      </c>
      <c r="AB31" s="4" t="s">
        <v>9</v>
      </c>
      <c r="AD31" s="4" t="s">
        <v>9</v>
      </c>
      <c r="AF31" t="s">
        <v>9</v>
      </c>
    </row>
    <row r="32" spans="1:32" x14ac:dyDescent="0.3">
      <c r="A32" t="s">
        <v>167</v>
      </c>
      <c r="B32" s="40" t="s">
        <v>125</v>
      </c>
      <c r="D32" t="s">
        <v>17</v>
      </c>
      <c r="E32">
        <f>'Imports - Data (Raw)'!G32/'Imports - Data (Raw)'!F32</f>
        <v>0.4</v>
      </c>
      <c r="F32" s="4" t="s">
        <v>17</v>
      </c>
      <c r="H32" s="4" t="s">
        <v>17</v>
      </c>
      <c r="N32" s="4" t="s">
        <v>17</v>
      </c>
      <c r="T32" t="s">
        <v>17</v>
      </c>
      <c r="V32" s="4" t="s">
        <v>17</v>
      </c>
      <c r="X32" s="4" t="s">
        <v>17</v>
      </c>
      <c r="Z32" s="4" t="s">
        <v>17</v>
      </c>
      <c r="AB32" s="4" t="s">
        <v>17</v>
      </c>
      <c r="AD32" s="4" t="s">
        <v>17</v>
      </c>
      <c r="AF32" t="s">
        <v>17</v>
      </c>
    </row>
    <row r="33" spans="1:38" x14ac:dyDescent="0.3">
      <c r="A33" t="s">
        <v>92</v>
      </c>
      <c r="B33" s="40" t="s">
        <v>126</v>
      </c>
      <c r="D33" t="s">
        <v>9</v>
      </c>
      <c r="F33" s="4" t="s">
        <v>9</v>
      </c>
      <c r="H33" s="4" t="s">
        <v>9</v>
      </c>
      <c r="N33" s="4" t="s">
        <v>9</v>
      </c>
      <c r="O33">
        <f>'Imports - Data (Raw)'!X33/'Imports - Data (Raw)'!W33</f>
        <v>78.142857142857139</v>
      </c>
      <c r="P33">
        <f>'Imports - Data (Raw)'!Z33/'Imports - Data (Raw)'!Y33</f>
        <v>78.260869565217391</v>
      </c>
      <c r="Q33">
        <f>'Imports - Data (Raw)'!AB33/'Imports - Data (Raw)'!AA33</f>
        <v>61.53846153846154</v>
      </c>
      <c r="R33">
        <f>'Imports - Data (Raw)'!AD33/'Imports - Data (Raw)'!AC33</f>
        <v>79.545454545454547</v>
      </c>
      <c r="S33">
        <f>'Imports - Data (Raw)'!AF33/'Imports - Data (Raw)'!AE33</f>
        <v>100</v>
      </c>
      <c r="T33" s="2" t="s">
        <v>20</v>
      </c>
      <c r="U33">
        <f>'Imports - Data (Raw)'!AI33/'Imports - Data (Raw)'!AH33</f>
        <v>0.58746736292428203</v>
      </c>
      <c r="V33" s="4" t="s">
        <v>20</v>
      </c>
      <c r="W33">
        <f>'Imports - Data (Raw)'!AL33/'Imports - Data (Raw)'!AK33</f>
        <v>0.66666666666666663</v>
      </c>
      <c r="X33" s="4" t="s">
        <v>20</v>
      </c>
      <c r="Y33">
        <f>'Imports - Data (Raw)'!AO33/'Imports - Data (Raw)'!AN33</f>
        <v>0.66900819535039302</v>
      </c>
      <c r="Z33" s="4" t="s">
        <v>20</v>
      </c>
      <c r="AA33">
        <f>'Imports - Data (Raw)'!AR33/'Imports - Data (Raw)'!AQ33</f>
        <v>0.625</v>
      </c>
      <c r="AB33" s="4" t="s">
        <v>20</v>
      </c>
      <c r="AC33">
        <f>'Imports - Data (Raw)'!AU33/'Imports - Data (Raw)'!AT33</f>
        <v>0.78125</v>
      </c>
      <c r="AD33" s="4" t="s">
        <v>20</v>
      </c>
      <c r="AF33" s="4" t="s">
        <v>20</v>
      </c>
    </row>
    <row r="34" spans="1:38" x14ac:dyDescent="0.3">
      <c r="A34" t="s">
        <v>60</v>
      </c>
      <c r="B34" s="40" t="s">
        <v>117</v>
      </c>
      <c r="D34" t="s">
        <v>14</v>
      </c>
      <c r="E34">
        <f>'Imports - Data (Raw)'!G34/'Imports - Data (Raw)'!F34</f>
        <v>0.94000000000000006</v>
      </c>
      <c r="F34" s="2" t="s">
        <v>21</v>
      </c>
      <c r="G34">
        <f>'Imports - Data (Raw)'!J34/'Imports - Data (Raw)'!I34</f>
        <v>69.859154929577471</v>
      </c>
      <c r="H34" s="2" t="s">
        <v>9</v>
      </c>
      <c r="I34">
        <f>'Imports - Data (Raw)'!M34/'Imports - Data (Raw)'!L34</f>
        <v>80.135416666666671</v>
      </c>
      <c r="J34">
        <f>'Imports - Data (Raw)'!O34/'Imports - Data (Raw)'!N34</f>
        <v>119.04132231404958</v>
      </c>
      <c r="K34">
        <f>'Imports - Data (Raw)'!Q34/'Imports - Data (Raw)'!P34</f>
        <v>95.088669950738918</v>
      </c>
      <c r="L34">
        <f>'Imports - Data (Raw)'!S34/'Imports - Data (Raw)'!R34</f>
        <v>121.74444444444444</v>
      </c>
      <c r="M34">
        <f>'Imports - Data (Raw)'!U34/'Imports - Data (Raw)'!T34</f>
        <v>70.735955056179776</v>
      </c>
      <c r="N34" s="4" t="s">
        <v>9</v>
      </c>
      <c r="O34">
        <f>'Imports - Data (Raw)'!X34/'Imports - Data (Raw)'!W34</f>
        <v>16.470588235294116</v>
      </c>
      <c r="P34">
        <f>'Imports - Data (Raw)'!Z34/'Imports - Data (Raw)'!Y34</f>
        <v>73.856603773584908</v>
      </c>
      <c r="Q34">
        <f>'Imports - Data (Raw)'!AB34/'Imports - Data (Raw)'!AA34</f>
        <v>63.309090909090912</v>
      </c>
      <c r="R34">
        <f>'Imports - Data (Raw)'!AD34/'Imports - Data (Raw)'!AC34</f>
        <v>60.520446096654275</v>
      </c>
      <c r="S34">
        <f>'Imports - Data (Raw)'!AF34/'Imports - Data (Raw)'!AE34</f>
        <v>57.41935483870968</v>
      </c>
      <c r="T34" s="2" t="s">
        <v>2</v>
      </c>
      <c r="U34">
        <f>'Imports - Data (Raw)'!AI34/'Imports - Data (Raw)'!AH34</f>
        <v>25.062745098039215</v>
      </c>
      <c r="V34" s="4" t="s">
        <v>2</v>
      </c>
      <c r="W34">
        <f>'Imports - Data (Raw)'!AL34/'Imports - Data (Raw)'!AK34</f>
        <v>21.428571428571427</v>
      </c>
      <c r="X34" s="4" t="s">
        <v>2</v>
      </c>
      <c r="Y34">
        <f>'Imports - Data (Raw)'!AO34/'Imports - Data (Raw)'!AN34</f>
        <v>13.632958801498127</v>
      </c>
      <c r="Z34" s="4" t="s">
        <v>2</v>
      </c>
      <c r="AA34">
        <f>'Imports - Data (Raw)'!AR34/'Imports - Data (Raw)'!AQ34</f>
        <v>15.116</v>
      </c>
      <c r="AB34" s="4" t="s">
        <v>2</v>
      </c>
      <c r="AC34">
        <f>'Imports - Data (Raw)'!AU34/'Imports - Data (Raw)'!AT34</f>
        <v>14.5</v>
      </c>
      <c r="AD34" s="4" t="s">
        <v>2</v>
      </c>
      <c r="AE34">
        <f>'Imports - Data (Raw)'!AX34/'Imports - Data (Raw)'!AW34</f>
        <v>16.5</v>
      </c>
      <c r="AF34" s="4" t="s">
        <v>2</v>
      </c>
    </row>
    <row r="35" spans="1:38" x14ac:dyDescent="0.3">
      <c r="A35" t="s">
        <v>93</v>
      </c>
      <c r="B35" s="40" t="s">
        <v>126</v>
      </c>
      <c r="D35" t="s">
        <v>9</v>
      </c>
      <c r="E35">
        <f>'Imports - Data (Raw)'!G35/'Imports - Data (Raw)'!F35</f>
        <v>0.42</v>
      </c>
      <c r="F35" s="2" t="s">
        <v>21</v>
      </c>
      <c r="G35">
        <f>'Imports - Data (Raw)'!J35/'Imports - Data (Raw)'!I35</f>
        <v>0.36001902346227016</v>
      </c>
      <c r="H35" s="2" t="s">
        <v>9</v>
      </c>
      <c r="I35">
        <f>'Imports - Data (Raw)'!M35/'Imports - Data (Raw)'!L35</f>
        <v>0.34059493530907886</v>
      </c>
      <c r="J35">
        <f>'Imports - Data (Raw)'!O35/'Imports - Data (Raw)'!N35</f>
        <v>0.41656488894920163</v>
      </c>
      <c r="K35">
        <f>'Imports - Data (Raw)'!Q35/'Imports - Data (Raw)'!P35</f>
        <v>0.43632711981422206</v>
      </c>
      <c r="L35">
        <f>'Imports - Data (Raw)'!S35/'Imports - Data (Raw)'!R35</f>
        <v>0.40933503836317137</v>
      </c>
      <c r="M35">
        <f>'Imports - Data (Raw)'!U35/'Imports - Data (Raw)'!T35</f>
        <v>0.3021388888888889</v>
      </c>
      <c r="N35" s="4" t="s">
        <v>9</v>
      </c>
      <c r="O35">
        <f>'Imports - Data (Raw)'!X35/'Imports - Data (Raw)'!W35</f>
        <v>0.3241627906976744</v>
      </c>
      <c r="P35">
        <f>'Imports - Data (Raw)'!Z35/'Imports - Data (Raw)'!Y35</f>
        <v>0.32373809523809521</v>
      </c>
      <c r="Q35">
        <f>'Imports - Data (Raw)'!AB35/'Imports - Data (Raw)'!AA35</f>
        <v>0.28776666666666667</v>
      </c>
      <c r="R35">
        <f>'Imports - Data (Raw)'!AD35/'Imports - Data (Raw)'!AC35</f>
        <v>0.32142857142857145</v>
      </c>
      <c r="S35">
        <f>'Imports - Data (Raw)'!AF35/'Imports - Data (Raw)'!AE35</f>
        <v>0.27846153846153848</v>
      </c>
      <c r="T35" t="s">
        <v>9</v>
      </c>
      <c r="U35">
        <f>'Imports - Data (Raw)'!AI35/'Imports - Data (Raw)'!AH35</f>
        <v>0.22857142857142856</v>
      </c>
      <c r="V35" s="4" t="s">
        <v>9</v>
      </c>
      <c r="W35">
        <f>'Imports - Data (Raw)'!AL35/'Imports - Data (Raw)'!AK35</f>
        <v>0.23650666666666667</v>
      </c>
      <c r="X35" s="4" t="s">
        <v>9</v>
      </c>
      <c r="Y35">
        <f>'Imports - Data (Raw)'!AO35/'Imports - Data (Raw)'!AN35</f>
        <v>0.25040650406504067</v>
      </c>
      <c r="Z35" s="4" t="s">
        <v>9</v>
      </c>
      <c r="AA35">
        <f>'Imports - Data (Raw)'!AR35/'Imports - Data (Raw)'!AQ35</f>
        <v>0.30060792482077114</v>
      </c>
      <c r="AB35" s="4" t="s">
        <v>9</v>
      </c>
      <c r="AC35">
        <f>'Imports - Data (Raw)'!AU35/'Imports - Data (Raw)'!AT35</f>
        <v>0.29135802469135802</v>
      </c>
      <c r="AD35" s="4" t="s">
        <v>9</v>
      </c>
      <c r="AF35" t="s">
        <v>9</v>
      </c>
      <c r="AG35">
        <f>'Imports - Data (Raw)'!BA35/'Imports - Data (Raw)'!AZ35</f>
        <v>0.30681818181818182</v>
      </c>
      <c r="AI35">
        <f>'Imports - Data (Raw)'!BE35/'Imports - Data (Raw)'!BD35</f>
        <v>0.3</v>
      </c>
      <c r="AJ35">
        <f>'Imports - Data (Raw)'!BG35/'Imports - Data (Raw)'!BF35</f>
        <v>0.3125</v>
      </c>
      <c r="AK35">
        <f>'Imports - Data (Raw)'!BI35/'Imports - Data (Raw)'!BH35</f>
        <v>0.3125</v>
      </c>
      <c r="AL35">
        <f>'Imports - Data (Raw)'!BK35/'Imports - Data (Raw)'!BJ35</f>
        <v>0.33333333333333331</v>
      </c>
    </row>
    <row r="36" spans="1:38" x14ac:dyDescent="0.3">
      <c r="A36" t="s">
        <v>62</v>
      </c>
      <c r="B36" s="40" t="s">
        <v>127</v>
      </c>
      <c r="D36" t="s">
        <v>22</v>
      </c>
      <c r="E36">
        <f>'Imports - Data (Raw)'!G36/'Imports - Data (Raw)'!F36</f>
        <v>3.5567828678521547E-2</v>
      </c>
      <c r="F36" s="2" t="s">
        <v>23</v>
      </c>
      <c r="G36">
        <f>'Imports - Data (Raw)'!J36/'Imports - Data (Raw)'!I36</f>
        <v>3.0757590549643661</v>
      </c>
      <c r="H36" s="4" t="s">
        <v>23</v>
      </c>
      <c r="K36">
        <f>'Imports - Data (Raw)'!Q36/'Imports - Data (Raw)'!P36</f>
        <v>1.0909586480803675</v>
      </c>
      <c r="L36">
        <f>'Imports - Data (Raw)'!S36/'Imports - Data (Raw)'!R36</f>
        <v>2.1760633036597428</v>
      </c>
      <c r="M36">
        <f>'Imports - Data (Raw)'!U36/'Imports - Data (Raw)'!T36</f>
        <v>1.1447355363699514</v>
      </c>
      <c r="N36" s="2" t="s">
        <v>2</v>
      </c>
      <c r="O36">
        <f>'Imports - Data (Raw)'!X36/'Imports - Data (Raw)'!W36</f>
        <v>0.9506205439662001</v>
      </c>
      <c r="P36">
        <f>'Imports - Data (Raw)'!Z36/'Imports - Data (Raw)'!Y36</f>
        <v>0.81888246628131023</v>
      </c>
      <c r="Q36">
        <f>'Imports - Data (Raw)'!AB36/'Imports - Data (Raw)'!AA36</f>
        <v>0.85333333333333339</v>
      </c>
      <c r="R36">
        <f>'Imports - Data (Raw)'!AD36/'Imports - Data (Raw)'!AC36</f>
        <v>0.95533795080009554</v>
      </c>
      <c r="S36">
        <f>'Imports - Data (Raw)'!AF36/'Imports - Data (Raw)'!AE36</f>
        <v>0.81395348837209303</v>
      </c>
      <c r="T36" s="4" t="s">
        <v>2</v>
      </c>
      <c r="U36">
        <f>'Imports - Data (Raw)'!AI36/'Imports - Data (Raw)'!AH36</f>
        <v>0.8</v>
      </c>
      <c r="V36" s="4" t="s">
        <v>2</v>
      </c>
      <c r="W36">
        <f>'Imports - Data (Raw)'!AL36/'Imports - Data (Raw)'!AK36</f>
        <v>0.79629629629629628</v>
      </c>
      <c r="X36" s="4" t="s">
        <v>2</v>
      </c>
      <c r="Y36">
        <f>'Imports - Data (Raw)'!AO36/'Imports - Data (Raw)'!AN36</f>
        <v>0.81395348837209303</v>
      </c>
      <c r="Z36" s="4" t="s">
        <v>2</v>
      </c>
      <c r="AA36">
        <f>'Imports - Data (Raw)'!AR36/'Imports - Data (Raw)'!AQ36</f>
        <v>0.82499999999999996</v>
      </c>
      <c r="AB36" s="4" t="s">
        <v>2</v>
      </c>
      <c r="AC36">
        <f>'Imports - Data (Raw)'!AU36/'Imports - Data (Raw)'!AT36</f>
        <v>0.73809523809523814</v>
      </c>
      <c r="AD36" s="4" t="s">
        <v>2</v>
      </c>
      <c r="AF36" s="2" t="s">
        <v>5</v>
      </c>
      <c r="AI36">
        <f>'Imports - Data (Raw)'!BE36/'Imports - Data (Raw)'!BD36</f>
        <v>20</v>
      </c>
      <c r="AJ36">
        <f>'Imports - Data (Raw)'!BG36/'Imports - Data (Raw)'!BF36</f>
        <v>20</v>
      </c>
      <c r="AK36">
        <f>'Imports - Data (Raw)'!BI36/'Imports - Data (Raw)'!BH36</f>
        <v>20</v>
      </c>
      <c r="AL36">
        <f>'Imports - Data (Raw)'!BK36/'Imports - Data (Raw)'!BJ36</f>
        <v>20</v>
      </c>
    </row>
    <row r="37" spans="1:38" x14ac:dyDescent="0.3">
      <c r="A37" t="s">
        <v>59</v>
      </c>
      <c r="B37" s="40" t="s">
        <v>127</v>
      </c>
      <c r="D37" t="s">
        <v>22</v>
      </c>
      <c r="E37">
        <f>'Imports - Data (Raw)'!G37/'Imports - Data (Raw)'!F37</f>
        <v>0.16363636363636364</v>
      </c>
      <c r="F37" s="2" t="s">
        <v>23</v>
      </c>
      <c r="G37">
        <f>'Imports - Data (Raw)'!J37/'Imports - Data (Raw)'!I37</f>
        <v>5.6789473684210527</v>
      </c>
      <c r="H37" s="4" t="s">
        <v>23</v>
      </c>
      <c r="I37">
        <f>'Imports - Data (Raw)'!M37/'Imports - Data (Raw)'!L37</f>
        <v>5.9636075949367084</v>
      </c>
      <c r="J37">
        <f>'Imports - Data (Raw)'!O37/'Imports - Data (Raw)'!N37</f>
        <v>7.2760072158749249</v>
      </c>
      <c r="K37">
        <f>'Imports - Data (Raw)'!Q37/'Imports - Data (Raw)'!P37</f>
        <v>17.521591871295513</v>
      </c>
      <c r="L37">
        <f>'Imports - Data (Raw)'!S37/'Imports - Data (Raw)'!R37</f>
        <v>16.212348528563187</v>
      </c>
      <c r="M37">
        <f>'Imports - Data (Raw)'!U37/'Imports - Data (Raw)'!T37</f>
        <v>3.0696644920782852</v>
      </c>
      <c r="N37" s="2" t="s">
        <v>2</v>
      </c>
      <c r="O37">
        <f>'Imports - Data (Raw)'!X37/'Imports - Data (Raw)'!W37</f>
        <v>5.7571428571428571</v>
      </c>
      <c r="P37">
        <f>'Imports - Data (Raw)'!Z37/'Imports - Data (Raw)'!Y37</f>
        <v>5.7554285714285713</v>
      </c>
      <c r="Q37">
        <f>'Imports - Data (Raw)'!AB37/'Imports - Data (Raw)'!AA37</f>
        <v>5.76</v>
      </c>
      <c r="R37">
        <f>'Imports - Data (Raw)'!AD37/'Imports - Data (Raw)'!AC37</f>
        <v>5.333333333333333</v>
      </c>
      <c r="S37">
        <f>'Imports - Data (Raw)'!AF37/'Imports - Data (Raw)'!AE37</f>
        <v>5.0793650793650791</v>
      </c>
      <c r="T37" s="4" t="s">
        <v>2</v>
      </c>
      <c r="U37">
        <f>'Imports - Data (Raw)'!AI37/'Imports - Data (Raw)'!AH37</f>
        <v>0.80372093023255819</v>
      </c>
      <c r="V37" s="4" t="s">
        <v>2</v>
      </c>
      <c r="W37">
        <f>'Imports - Data (Raw)'!AL37/'Imports - Data (Raw)'!AK37</f>
        <v>2.3706896551724137</v>
      </c>
      <c r="X37" s="4" t="s">
        <v>2</v>
      </c>
      <c r="Y37">
        <f>'Imports - Data (Raw)'!AO37/'Imports - Data (Raw)'!AN37</f>
        <v>2.3885350318471339</v>
      </c>
      <c r="Z37" s="4" t="s">
        <v>2</v>
      </c>
      <c r="AA37">
        <f>'Imports - Data (Raw)'!AR37/'Imports - Data (Raw)'!AQ37</f>
        <v>2.4210526315789473</v>
      </c>
      <c r="AB37" s="4" t="s">
        <v>2</v>
      </c>
      <c r="AC37">
        <f>'Imports - Data (Raw)'!AU37/'Imports - Data (Raw)'!AT37</f>
        <v>3.0935672514619883</v>
      </c>
      <c r="AD37" s="4" t="s">
        <v>2</v>
      </c>
      <c r="AF37" s="2" t="s">
        <v>5</v>
      </c>
      <c r="AI37">
        <f>'Imports - Data (Raw)'!BE37/'Imports - Data (Raw)'!BD37</f>
        <v>55.555555555555557</v>
      </c>
      <c r="AJ37">
        <f>'Imports - Data (Raw)'!BG37/'Imports - Data (Raw)'!BF37</f>
        <v>87.5</v>
      </c>
      <c r="AK37">
        <f>'Imports - Data (Raw)'!BI37/'Imports - Data (Raw)'!BH37</f>
        <v>74</v>
      </c>
      <c r="AL37">
        <f>'Imports - Data (Raw)'!BK37/'Imports - Data (Raw)'!BJ37</f>
        <v>80</v>
      </c>
    </row>
    <row r="38" spans="1:38" x14ac:dyDescent="0.3">
      <c r="A38" t="s">
        <v>73</v>
      </c>
      <c r="B38" s="40" t="s">
        <v>117</v>
      </c>
      <c r="D38" t="s">
        <v>14</v>
      </c>
      <c r="E38">
        <f>'Imports - Data (Raw)'!G38/'Imports - Data (Raw)'!F38</f>
        <v>0.04</v>
      </c>
      <c r="F38" s="2" t="s">
        <v>24</v>
      </c>
      <c r="G38">
        <f>'Imports - Data (Raw)'!J38/'Imports - Data (Raw)'!I38</f>
        <v>5.4001124437781112</v>
      </c>
      <c r="H38" s="4" t="s">
        <v>24</v>
      </c>
      <c r="I38">
        <f>'Imports - Data (Raw)'!M38/'Imports - Data (Raw)'!L38</f>
        <v>2.2617464788732393</v>
      </c>
      <c r="J38">
        <f>'Imports - Data (Raw)'!O38/'Imports - Data (Raw)'!N38</f>
        <v>2.3479515291402193</v>
      </c>
      <c r="K38">
        <f>'Imports - Data (Raw)'!Q38/'Imports - Data (Raw)'!P38</f>
        <v>2.674369441609564</v>
      </c>
      <c r="L38">
        <f>'Imports - Data (Raw)'!S38/'Imports - Data (Raw)'!R38</f>
        <v>2.909079777138309</v>
      </c>
      <c r="M38">
        <f>'Imports - Data (Raw)'!U38/'Imports - Data (Raw)'!T38</f>
        <v>2.0145635050869708</v>
      </c>
      <c r="N38" s="2" t="s">
        <v>2</v>
      </c>
      <c r="O38">
        <f>'Imports - Data (Raw)'!X38/'Imports - Data (Raw)'!W38</f>
        <v>1.1767234600262124</v>
      </c>
      <c r="P38">
        <f>'Imports - Data (Raw)'!Z38/'Imports - Data (Raw)'!Y38</f>
        <v>1.203529411764706</v>
      </c>
      <c r="Q38">
        <f>'Imports - Data (Raw)'!AB38/'Imports - Data (Raw)'!AA38</f>
        <v>1.2</v>
      </c>
      <c r="R38">
        <f>'Imports - Data (Raw)'!AD38/'Imports - Data (Raw)'!AC38</f>
        <v>1.0666666666666667</v>
      </c>
      <c r="S38">
        <f>'Imports - Data (Raw)'!AF38/'Imports - Data (Raw)'!AE38</f>
        <v>0.8527131782945736</v>
      </c>
      <c r="T38" s="4" t="s">
        <v>2</v>
      </c>
      <c r="U38">
        <f>'Imports - Data (Raw)'!AI38/'Imports - Data (Raw)'!AH38</f>
        <v>0.84</v>
      </c>
      <c r="V38" s="4" t="s">
        <v>2</v>
      </c>
      <c r="X38" s="4" t="s">
        <v>2</v>
      </c>
      <c r="Y38">
        <f>'Imports - Data (Raw)'!AO38/'Imports - Data (Raw)'!AN38</f>
        <v>0.93348891481913654</v>
      </c>
      <c r="Z38" s="4" t="s">
        <v>2</v>
      </c>
      <c r="AA38">
        <f>'Imports - Data (Raw)'!AR38/'Imports - Data (Raw)'!AQ38</f>
        <v>0.7142857142857143</v>
      </c>
      <c r="AB38" s="4" t="s">
        <v>2</v>
      </c>
      <c r="AC38">
        <f>'Imports - Data (Raw)'!AU38/'Imports - Data (Raw)'!AT38</f>
        <v>0.90252707581227432</v>
      </c>
      <c r="AD38" s="2" t="s">
        <v>5</v>
      </c>
      <c r="AE38">
        <f>'Imports - Data (Raw)'!AX38/'Imports - Data (Raw)'!AW38</f>
        <v>13.2</v>
      </c>
      <c r="AF38" s="4" t="s">
        <v>5</v>
      </c>
      <c r="AG38">
        <f>'Imports - Data (Raw)'!BA38/'Imports - Data (Raw)'!AZ38</f>
        <v>13.461538461538462</v>
      </c>
      <c r="AI38">
        <f>'Imports - Data (Raw)'!BE38/'Imports - Data (Raw)'!BD38</f>
        <v>18.333333333333332</v>
      </c>
      <c r="AJ38">
        <f>'Imports - Data (Raw)'!BG38/'Imports - Data (Raw)'!BF38</f>
        <v>22.3</v>
      </c>
      <c r="AK38">
        <f>'Imports - Data (Raw)'!BI38/'Imports - Data (Raw)'!BH38</f>
        <v>19.375</v>
      </c>
      <c r="AL38">
        <f>'Imports - Data (Raw)'!BK38/'Imports - Data (Raw)'!BJ38</f>
        <v>19.204545454545453</v>
      </c>
    </row>
    <row r="39" spans="1:38" x14ac:dyDescent="0.3">
      <c r="A39" t="s">
        <v>94</v>
      </c>
      <c r="B39" s="40" t="s">
        <v>128</v>
      </c>
      <c r="D39" t="s">
        <v>24</v>
      </c>
      <c r="F39" t="s">
        <v>24</v>
      </c>
      <c r="G39">
        <f>'Imports - Data (Raw)'!J39/'Imports - Data (Raw)'!I39</f>
        <v>3.0293159609120521</v>
      </c>
      <c r="H39" s="2" t="s">
        <v>23</v>
      </c>
      <c r="I39">
        <f>'Imports - Data (Raw)'!M39/'Imports - Data (Raw)'!L39</f>
        <v>4.3672680412371134</v>
      </c>
      <c r="J39">
        <f>'Imports - Data (Raw)'!O39/'Imports - Data (Raw)'!N39</f>
        <v>3.3234200743494422</v>
      </c>
      <c r="K39">
        <f>'Imports - Data (Raw)'!Q39/'Imports - Data (Raw)'!P39</f>
        <v>6.5621052631578944</v>
      </c>
      <c r="L39">
        <f>'Imports - Data (Raw)'!S39/'Imports - Data (Raw)'!R39</f>
        <v>4.4987633965375107</v>
      </c>
      <c r="N39" s="4" t="s">
        <v>23</v>
      </c>
      <c r="T39" s="2" t="s">
        <v>2</v>
      </c>
      <c r="V39" s="4" t="s">
        <v>2</v>
      </c>
      <c r="W39">
        <f>'Imports - Data (Raw)'!AL39/'Imports - Data (Raw)'!AK39</f>
        <v>3.3333333333333335</v>
      </c>
      <c r="X39" s="4" t="s">
        <v>2</v>
      </c>
      <c r="Z39" s="4" t="s">
        <v>2</v>
      </c>
      <c r="AB39" s="4" t="s">
        <v>2</v>
      </c>
      <c r="AD39" s="4" t="s">
        <v>2</v>
      </c>
      <c r="AF39" s="4" t="s">
        <v>2</v>
      </c>
    </row>
    <row r="40" spans="1:38" x14ac:dyDescent="0.3">
      <c r="A40" t="s">
        <v>95</v>
      </c>
      <c r="B40" s="40" t="s">
        <v>127</v>
      </c>
      <c r="D40" t="s">
        <v>22</v>
      </c>
      <c r="E40">
        <f>'Imports - Data (Raw)'!G40/'Imports - Data (Raw)'!F40</f>
        <v>0.1818181818181818</v>
      </c>
      <c r="F40" t="s">
        <v>22</v>
      </c>
      <c r="H40" s="4" t="s">
        <v>22</v>
      </c>
      <c r="N40" s="4" t="s">
        <v>22</v>
      </c>
      <c r="T40" s="4" t="s">
        <v>22</v>
      </c>
      <c r="V40" s="4" t="s">
        <v>22</v>
      </c>
      <c r="X40" s="4" t="s">
        <v>22</v>
      </c>
      <c r="Z40" s="4" t="s">
        <v>22</v>
      </c>
      <c r="AB40" s="4" t="s">
        <v>22</v>
      </c>
      <c r="AD40" s="4" t="s">
        <v>22</v>
      </c>
      <c r="AF40" s="4" t="s">
        <v>22</v>
      </c>
    </row>
    <row r="41" spans="1:38" x14ac:dyDescent="0.3">
      <c r="A41" t="s">
        <v>72</v>
      </c>
      <c r="B41" s="40" t="s">
        <v>129</v>
      </c>
      <c r="D41" s="4" t="s">
        <v>2</v>
      </c>
      <c r="F41" s="4" t="s">
        <v>2</v>
      </c>
      <c r="H41" s="4" t="s">
        <v>2</v>
      </c>
      <c r="N41" s="4" t="s">
        <v>2</v>
      </c>
      <c r="T41" s="4" t="s">
        <v>2</v>
      </c>
      <c r="U41">
        <f>'Imports - Data (Raw)'!AI41/'Imports - Data (Raw)'!AH41</f>
        <v>3.2</v>
      </c>
      <c r="V41" s="4" t="s">
        <v>2</v>
      </c>
      <c r="W41">
        <f>'Imports - Data (Raw)'!AL41/'Imports - Data (Raw)'!AK41</f>
        <v>3.2673267326732671</v>
      </c>
      <c r="X41" s="4" t="s">
        <v>2</v>
      </c>
      <c r="Z41" s="4" t="s">
        <v>2</v>
      </c>
      <c r="AB41" s="4" t="s">
        <v>2</v>
      </c>
      <c r="AD41" s="4" t="s">
        <v>2</v>
      </c>
      <c r="AF41" s="4" t="s">
        <v>2</v>
      </c>
    </row>
    <row r="42" spans="1:38" x14ac:dyDescent="0.3">
      <c r="A42" t="s">
        <v>96</v>
      </c>
      <c r="B42" s="40" t="s">
        <v>126</v>
      </c>
      <c r="D42" t="s">
        <v>9</v>
      </c>
      <c r="F42" t="s">
        <v>9</v>
      </c>
      <c r="G42">
        <f>'Imports - Data (Raw)'!J42/'Imports - Data (Raw)'!I42</f>
        <v>3</v>
      </c>
      <c r="H42" s="4" t="s">
        <v>9</v>
      </c>
      <c r="N42" s="4" t="s">
        <v>9</v>
      </c>
      <c r="T42" t="s">
        <v>9</v>
      </c>
      <c r="V42" s="4" t="s">
        <v>9</v>
      </c>
      <c r="X42" s="4" t="s">
        <v>9</v>
      </c>
      <c r="Z42" s="4" t="s">
        <v>9</v>
      </c>
      <c r="AB42" s="4" t="s">
        <v>9</v>
      </c>
      <c r="AD42" s="4" t="s">
        <v>9</v>
      </c>
      <c r="AF42" t="s">
        <v>9</v>
      </c>
    </row>
    <row r="43" spans="1:38" x14ac:dyDescent="0.3">
      <c r="A43" t="s">
        <v>71</v>
      </c>
      <c r="B43" s="40" t="s">
        <v>128</v>
      </c>
      <c r="D43" s="4" t="s">
        <v>24</v>
      </c>
      <c r="F43" s="4" t="s">
        <v>24</v>
      </c>
      <c r="G43">
        <f>'Imports - Data (Raw)'!J43/'Imports - Data (Raw)'!I43</f>
        <v>1.0096566523605151</v>
      </c>
      <c r="H43" s="4" t="s">
        <v>24</v>
      </c>
      <c r="N43" s="2" t="s">
        <v>2</v>
      </c>
      <c r="O43">
        <f>'Imports - Data (Raw)'!X43/'Imports - Data (Raw)'!W43</f>
        <v>0.35978378378378378</v>
      </c>
      <c r="P43">
        <f>'Imports - Data (Raw)'!Z43/'Imports - Data (Raw)'!Y43</f>
        <v>0.35952941176470588</v>
      </c>
      <c r="Q43">
        <f>'Imports - Data (Raw)'!AB43/'Imports - Data (Raw)'!AA43</f>
        <v>0.3075</v>
      </c>
      <c r="R43">
        <f>'Imports - Data (Raw)'!AD43/'Imports - Data (Raw)'!AC43</f>
        <v>0.25600000000000001</v>
      </c>
      <c r="S43">
        <f>'Imports - Data (Raw)'!AF43/'Imports - Data (Raw)'!AE43</f>
        <v>0.216</v>
      </c>
      <c r="T43" s="4" t="s">
        <v>2</v>
      </c>
      <c r="U43">
        <f>'Imports - Data (Raw)'!AI43/'Imports - Data (Raw)'!AH43</f>
        <v>0.28000000000000003</v>
      </c>
      <c r="V43" s="2" t="s">
        <v>5</v>
      </c>
      <c r="W43">
        <f>'Imports - Data (Raw)'!AL43/'Imports - Data (Raw)'!AK43</f>
        <v>5.575117370892019</v>
      </c>
      <c r="X43" s="4" t="s">
        <v>5</v>
      </c>
      <c r="Y43">
        <f>'Imports - Data (Raw)'!AO43/'Imports - Data (Raw)'!AN43</f>
        <v>3.8095238095238093</v>
      </c>
      <c r="Z43" s="4" t="s">
        <v>5</v>
      </c>
      <c r="AA43">
        <f>'Imports - Data (Raw)'!AR43/'Imports - Data (Raw)'!AQ43</f>
        <v>4.1363636363636367</v>
      </c>
      <c r="AB43" s="4" t="s">
        <v>5</v>
      </c>
      <c r="AC43">
        <f>'Imports - Data (Raw)'!AU43/'Imports - Data (Raw)'!AT43</f>
        <v>4.0898550724637683</v>
      </c>
      <c r="AD43" s="4" t="s">
        <v>5</v>
      </c>
      <c r="AF43" s="4" t="s">
        <v>5</v>
      </c>
      <c r="AG43">
        <f>'Imports - Data (Raw)'!BA43/'Imports - Data (Raw)'!AZ43</f>
        <v>3.8235294117647061</v>
      </c>
      <c r="AI43">
        <f>'Imports - Data (Raw)'!BE43/'Imports - Data (Raw)'!BD43</f>
        <v>3.9285714285714284</v>
      </c>
      <c r="AJ43">
        <f>'Imports - Data (Raw)'!BG43/'Imports - Data (Raw)'!BF43</f>
        <v>4</v>
      </c>
      <c r="AK43">
        <f>'Imports - Data (Raw)'!BI43/'Imports - Data (Raw)'!BH43</f>
        <v>4.375</v>
      </c>
      <c r="AL43">
        <f>'Imports - Data (Raw)'!BK43/'Imports - Data (Raw)'!BJ43</f>
        <v>4.4117647058823533</v>
      </c>
    </row>
    <row r="44" spans="1:38" x14ac:dyDescent="0.3">
      <c r="A44" t="s">
        <v>67</v>
      </c>
      <c r="B44" s="40" t="s">
        <v>130</v>
      </c>
      <c r="D44" s="4" t="s">
        <v>4</v>
      </c>
      <c r="E44">
        <f>'Imports - Data (Raw)'!G44/'Imports - Data (Raw)'!F44</f>
        <v>5.9090909090909092</v>
      </c>
      <c r="F44" s="2" t="s">
        <v>25</v>
      </c>
      <c r="G44">
        <f>'Imports - Data (Raw)'!J44/'Imports - Data (Raw)'!I44</f>
        <v>0.19388791432000738</v>
      </c>
      <c r="H44" s="4" t="s">
        <v>25</v>
      </c>
      <c r="I44">
        <f>'Imports - Data (Raw)'!M44/'Imports - Data (Raw)'!L44</f>
        <v>1.0906363636363636</v>
      </c>
      <c r="J44">
        <f>'Imports - Data (Raw)'!O44/'Imports - Data (Raw)'!N44</f>
        <v>1.0593730697961705</v>
      </c>
      <c r="K44">
        <f>'Imports - Data (Raw)'!Q44/'Imports - Data (Raw)'!P44</f>
        <v>0.48578227971686599</v>
      </c>
      <c r="L44">
        <f>'Imports - Data (Raw)'!S44/'Imports - Data (Raw)'!R44</f>
        <v>0.545826571650321</v>
      </c>
      <c r="M44">
        <f>'Imports - Data (Raw)'!U44/'Imports - Data (Raw)'!T44</f>
        <v>0.57555188289458148</v>
      </c>
      <c r="N44" s="2" t="s">
        <v>5</v>
      </c>
      <c r="O44">
        <f>'Imports - Data (Raw)'!X44/'Imports - Data (Raw)'!W44</f>
        <v>12.164579606440071</v>
      </c>
      <c r="P44">
        <f>'Imports - Data (Raw)'!Z44/'Imports - Data (Raw)'!Y44</f>
        <v>11.851851851851851</v>
      </c>
      <c r="Q44">
        <f>'Imports - Data (Raw)'!AB44/'Imports - Data (Raw)'!AA44</f>
        <v>12.682926829268293</v>
      </c>
      <c r="R44">
        <f>'Imports - Data (Raw)'!AD44/'Imports - Data (Raw)'!AC44</f>
        <v>12</v>
      </c>
      <c r="S44">
        <f>'Imports - Data (Raw)'!AF44/'Imports - Data (Raw)'!AE44</f>
        <v>12.8</v>
      </c>
      <c r="T44" s="4" t="s">
        <v>5</v>
      </c>
      <c r="U44">
        <f>'Imports - Data (Raw)'!AI44/'Imports - Data (Raw)'!AH44</f>
        <v>18.666666666666668</v>
      </c>
      <c r="V44" s="4" t="s">
        <v>5</v>
      </c>
      <c r="W44">
        <f>'Imports - Data (Raw)'!AL44/'Imports - Data (Raw)'!AK44</f>
        <v>13.93188854489164</v>
      </c>
      <c r="X44" s="4" t="s">
        <v>5</v>
      </c>
      <c r="Y44">
        <f>'Imports - Data (Raw)'!AO44/'Imports - Data (Raw)'!AN44</f>
        <v>10.59047619047619</v>
      </c>
      <c r="Z44" s="4" t="s">
        <v>5</v>
      </c>
      <c r="AA44">
        <f>'Imports - Data (Raw)'!AR44/'Imports - Data (Raw)'!AQ44</f>
        <v>10.24421052631579</v>
      </c>
      <c r="AB44" s="4" t="s">
        <v>5</v>
      </c>
      <c r="AC44">
        <f>'Imports - Data (Raw)'!AU44/'Imports - Data (Raw)'!AT44</f>
        <v>10.333333333333334</v>
      </c>
      <c r="AD44" s="4" t="s">
        <v>5</v>
      </c>
      <c r="AE44">
        <f>'Imports - Data (Raw)'!AX44/'Imports - Data (Raw)'!AW44</f>
        <v>9.4827586206896548</v>
      </c>
      <c r="AF44" s="4" t="s">
        <v>5</v>
      </c>
      <c r="AG44">
        <f>'Imports - Data (Raw)'!BA44/'Imports - Data (Raw)'!AZ44</f>
        <v>11.470588235294118</v>
      </c>
      <c r="AH44">
        <f>'Imports - Data (Raw)'!BC44/'Imports - Data (Raw)'!BB44</f>
        <v>11.666666666666666</v>
      </c>
      <c r="AI44">
        <f>'Imports - Data (Raw)'!BE44/'Imports - Data (Raw)'!BD44</f>
        <v>10.909090909090908</v>
      </c>
      <c r="AJ44">
        <f>'Imports - Data (Raw)'!BG44/'Imports - Data (Raw)'!BF44</f>
        <v>11.666666666666666</v>
      </c>
      <c r="AK44">
        <f>'Imports - Data (Raw)'!BI44/'Imports - Data (Raw)'!BH44</f>
        <v>11.666666666666666</v>
      </c>
      <c r="AL44">
        <f>'Imports - Data (Raw)'!BK44/'Imports - Data (Raw)'!BJ44</f>
        <v>11.363636363636363</v>
      </c>
    </row>
    <row r="45" spans="1:38" x14ac:dyDescent="0.3">
      <c r="A45" t="s">
        <v>65</v>
      </c>
      <c r="B45" s="40" t="s">
        <v>127</v>
      </c>
      <c r="D45" t="s">
        <v>22</v>
      </c>
      <c r="E45">
        <f>'Imports - Data (Raw)'!G45/'Imports - Data (Raw)'!F45</f>
        <v>0.20909090909090908</v>
      </c>
      <c r="F45" s="2" t="s">
        <v>26</v>
      </c>
      <c r="G45">
        <f>'Imports - Data (Raw)'!J45/'Imports - Data (Raw)'!I45</f>
        <v>18.930327868852459</v>
      </c>
      <c r="H45" s="4" t="s">
        <v>26</v>
      </c>
      <c r="I45">
        <f>'Imports - Data (Raw)'!M45/'Imports - Data (Raw)'!L45</f>
        <v>10.447718631178708</v>
      </c>
      <c r="J45">
        <f>'Imports - Data (Raw)'!O45/'Imports - Data (Raw)'!N45</f>
        <v>9.6971279373368144</v>
      </c>
      <c r="K45">
        <f>'Imports - Data (Raw)'!Q45/'Imports - Data (Raw)'!P45</f>
        <v>14.402277039848197</v>
      </c>
      <c r="L45">
        <f>'Imports - Data (Raw)'!S45/'Imports - Data (Raw)'!R45</f>
        <v>14.09433962264151</v>
      </c>
      <c r="M45">
        <f>'Imports - Data (Raw)'!U45/'Imports - Data (Raw)'!T45</f>
        <v>8.3568329718004346</v>
      </c>
      <c r="N45" s="4" t="s">
        <v>26</v>
      </c>
      <c r="T45" s="2" t="s">
        <v>5</v>
      </c>
      <c r="U45">
        <f>'Imports - Data (Raw)'!AI45/'Imports - Data (Raw)'!AH45</f>
        <v>97.647058823529406</v>
      </c>
      <c r="V45" s="4" t="s">
        <v>5</v>
      </c>
      <c r="W45">
        <f>'Imports - Data (Raw)'!AL45/'Imports - Data (Raw)'!AK45</f>
        <v>95.238095238095241</v>
      </c>
      <c r="X45" s="4" t="s">
        <v>5</v>
      </c>
      <c r="Y45">
        <f>'Imports - Data (Raw)'!AO45/'Imports - Data (Raw)'!AN45</f>
        <v>86.4</v>
      </c>
      <c r="Z45" s="4" t="s">
        <v>5</v>
      </c>
      <c r="AA45">
        <f>'Imports - Data (Raw)'!AR45/'Imports - Data (Raw)'!AQ45</f>
        <v>83.5</v>
      </c>
      <c r="AB45" s="4" t="s">
        <v>5</v>
      </c>
      <c r="AC45">
        <f>'Imports - Data (Raw)'!AU45/'Imports - Data (Raw)'!AT45</f>
        <v>100</v>
      </c>
      <c r="AD45" s="4" t="s">
        <v>5</v>
      </c>
      <c r="AE45">
        <f>'Imports - Data (Raw)'!AX45/'Imports - Data (Raw)'!AW45</f>
        <v>100</v>
      </c>
      <c r="AF45" s="4" t="s">
        <v>5</v>
      </c>
      <c r="AG45">
        <f>'Imports - Data (Raw)'!BA45/'Imports - Data (Raw)'!AZ45</f>
        <v>118</v>
      </c>
      <c r="AH45">
        <f>'Imports - Data (Raw)'!BC45/'Imports - Data (Raw)'!BB45</f>
        <v>120</v>
      </c>
      <c r="AI45">
        <f>'Imports - Data (Raw)'!BE45/'Imports - Data (Raw)'!BD45</f>
        <v>120</v>
      </c>
      <c r="AJ45">
        <f>'Imports - Data (Raw)'!BG45/'Imports - Data (Raw)'!BF45</f>
        <v>140</v>
      </c>
      <c r="AK45">
        <f>'Imports - Data (Raw)'!BI45/'Imports - Data (Raw)'!BH45</f>
        <v>136.36363636363637</v>
      </c>
      <c r="AL45">
        <f>'Imports - Data (Raw)'!BK45/'Imports - Data (Raw)'!BJ45</f>
        <v>140</v>
      </c>
    </row>
    <row r="46" spans="1:38" x14ac:dyDescent="0.3">
      <c r="A46" t="s">
        <v>97</v>
      </c>
      <c r="B46" s="40" t="s">
        <v>131</v>
      </c>
      <c r="D46" t="s">
        <v>5</v>
      </c>
      <c r="F46" t="s">
        <v>5</v>
      </c>
      <c r="H46" s="4" t="s">
        <v>5</v>
      </c>
      <c r="N46" s="4" t="s">
        <v>5</v>
      </c>
      <c r="O46">
        <f>'Imports - Data (Raw)'!X46/'Imports - Data (Raw)'!W46</f>
        <v>85</v>
      </c>
      <c r="P46">
        <f>'Imports - Data (Raw)'!Z46/'Imports - Data (Raw)'!Y46</f>
        <v>66.666666666666671</v>
      </c>
      <c r="Q46">
        <f>'Imports - Data (Raw)'!AB46/'Imports - Data (Raw)'!AA46</f>
        <v>66</v>
      </c>
      <c r="R46">
        <f>'Imports - Data (Raw)'!AD46/'Imports - Data (Raw)'!AC46</f>
        <v>72</v>
      </c>
      <c r="S46">
        <f>'Imports - Data (Raw)'!AF46/'Imports - Data (Raw)'!AE46</f>
        <v>72.518518518518519</v>
      </c>
      <c r="T46" t="s">
        <v>5</v>
      </c>
      <c r="V46" s="4" t="s">
        <v>5</v>
      </c>
      <c r="X46" s="4" t="s">
        <v>5</v>
      </c>
      <c r="Z46" s="4" t="s">
        <v>5</v>
      </c>
      <c r="AB46" s="4" t="s">
        <v>5</v>
      </c>
      <c r="AD46" s="4" t="s">
        <v>5</v>
      </c>
      <c r="AF46" s="4" t="s">
        <v>5</v>
      </c>
    </row>
    <row r="47" spans="1:38" x14ac:dyDescent="0.3">
      <c r="A47" t="s">
        <v>68</v>
      </c>
      <c r="B47" s="40" t="s">
        <v>131</v>
      </c>
      <c r="D47" t="s">
        <v>5</v>
      </c>
      <c r="F47" t="s">
        <v>5</v>
      </c>
      <c r="H47" s="4" t="s">
        <v>5</v>
      </c>
      <c r="N47" s="4" t="s">
        <v>5</v>
      </c>
      <c r="T47" t="s">
        <v>5</v>
      </c>
      <c r="U47">
        <f>'Imports - Data (Raw)'!AI47/'Imports - Data (Raw)'!AH47</f>
        <v>79.069767441860463</v>
      </c>
      <c r="V47" s="4" t="s">
        <v>5</v>
      </c>
      <c r="W47">
        <f>'Imports - Data (Raw)'!AL47/'Imports - Data (Raw)'!AK47</f>
        <v>90.909090909090907</v>
      </c>
      <c r="X47" s="4" t="s">
        <v>5</v>
      </c>
      <c r="Y47">
        <f>'Imports - Data (Raw)'!AO47/'Imports - Data (Raw)'!AN47</f>
        <v>80</v>
      </c>
      <c r="Z47" s="4" t="s">
        <v>5</v>
      </c>
      <c r="AA47">
        <f>'Imports - Data (Raw)'!AR47/'Imports - Data (Raw)'!AQ47</f>
        <v>55.2</v>
      </c>
      <c r="AB47" s="4" t="s">
        <v>5</v>
      </c>
      <c r="AC47">
        <f>'Imports - Data (Raw)'!AU47/'Imports - Data (Raw)'!AT47</f>
        <v>56.451612903225808</v>
      </c>
      <c r="AD47" s="4" t="s">
        <v>5</v>
      </c>
      <c r="AE47">
        <f>'Imports - Data (Raw)'!AX47/'Imports - Data (Raw)'!AW47</f>
        <v>80.459770114942529</v>
      </c>
      <c r="AF47" s="4" t="s">
        <v>5</v>
      </c>
      <c r="AG47">
        <f>'Imports - Data (Raw)'!BA47/'Imports - Data (Raw)'!AZ47</f>
        <v>109.09090909090909</v>
      </c>
      <c r="AH47">
        <f>'Imports - Data (Raw)'!BC47/'Imports - Data (Raw)'!BB47</f>
        <v>112.5</v>
      </c>
      <c r="AI47">
        <f>'Imports - Data (Raw)'!BE47/'Imports - Data (Raw)'!BD47</f>
        <v>100</v>
      </c>
      <c r="AJ47">
        <f>'Imports - Data (Raw)'!BG47/'Imports - Data (Raw)'!BF47</f>
        <v>100</v>
      </c>
    </row>
    <row r="48" spans="1:38" x14ac:dyDescent="0.3">
      <c r="A48" t="s">
        <v>66</v>
      </c>
      <c r="B48" s="40" t="s">
        <v>128</v>
      </c>
      <c r="D48" t="s">
        <v>24</v>
      </c>
      <c r="F48" t="s">
        <v>24</v>
      </c>
      <c r="G48">
        <f>'Imports - Data (Raw)'!J48/'Imports - Data (Raw)'!I48</f>
        <v>17.264367816091955</v>
      </c>
      <c r="H48" s="4" t="s">
        <v>24</v>
      </c>
      <c r="I48">
        <f>'Imports - Data (Raw)'!M48/'Imports - Data (Raw)'!L48</f>
        <v>14.9</v>
      </c>
      <c r="J48">
        <f>'Imports - Data (Raw)'!O48/'Imports - Data (Raw)'!N48</f>
        <v>13.540816326530612</v>
      </c>
      <c r="K48">
        <f>'Imports - Data (Raw)'!Q48/'Imports - Data (Raw)'!P48</f>
        <v>2.5321100917431192</v>
      </c>
      <c r="L48">
        <f>'Imports - Data (Raw)'!S48/'Imports - Data (Raw)'!R48</f>
        <v>9.8888888888888893</v>
      </c>
      <c r="N48" s="4" t="s">
        <v>24</v>
      </c>
      <c r="T48" s="2" t="s">
        <v>5</v>
      </c>
      <c r="V48" s="4" t="s">
        <v>5</v>
      </c>
      <c r="W48">
        <f>'Imports - Data (Raw)'!AL48/'Imports - Data (Raw)'!AK48</f>
        <v>133.33333333333334</v>
      </c>
      <c r="X48" s="4" t="s">
        <v>5</v>
      </c>
      <c r="Z48" s="4" t="s">
        <v>5</v>
      </c>
      <c r="AB48" s="4" t="s">
        <v>5</v>
      </c>
      <c r="AD48" s="4" t="s">
        <v>5</v>
      </c>
      <c r="AF48" s="4" t="s">
        <v>5</v>
      </c>
    </row>
    <row r="49" spans="1:36" x14ac:dyDescent="0.3">
      <c r="A49" t="s">
        <v>168</v>
      </c>
      <c r="B49" s="40" t="s">
        <v>127</v>
      </c>
      <c r="D49" t="s">
        <v>22</v>
      </c>
      <c r="E49">
        <f>'Imports - Data (Raw)'!G49/'Imports - Data (Raw)'!F49</f>
        <v>0.36363636363636359</v>
      </c>
      <c r="F49" t="s">
        <v>22</v>
      </c>
      <c r="H49" s="4" t="s">
        <v>22</v>
      </c>
      <c r="N49" s="4" t="s">
        <v>22</v>
      </c>
      <c r="T49" t="s">
        <v>22</v>
      </c>
      <c r="V49" s="4" t="s">
        <v>22</v>
      </c>
      <c r="X49" s="4" t="s">
        <v>22</v>
      </c>
      <c r="Z49" s="4" t="s">
        <v>22</v>
      </c>
      <c r="AB49" s="4" t="s">
        <v>22</v>
      </c>
      <c r="AD49" s="4" t="s">
        <v>22</v>
      </c>
      <c r="AF49" t="s">
        <v>22</v>
      </c>
    </row>
    <row r="50" spans="1:36" x14ac:dyDescent="0.3">
      <c r="A50" t="s">
        <v>169</v>
      </c>
      <c r="B50" s="40" t="s">
        <v>127</v>
      </c>
      <c r="D50" t="s">
        <v>22</v>
      </c>
      <c r="E50">
        <f>'Imports - Data (Raw)'!G50/'Imports - Data (Raw)'!F50</f>
        <v>1.8181818181818181E-2</v>
      </c>
      <c r="F50" t="s">
        <v>22</v>
      </c>
      <c r="H50" s="4" t="s">
        <v>22</v>
      </c>
      <c r="N50" s="4" t="s">
        <v>22</v>
      </c>
      <c r="T50" t="s">
        <v>22</v>
      </c>
      <c r="V50" s="4" t="s">
        <v>22</v>
      </c>
      <c r="X50" s="4" t="s">
        <v>22</v>
      </c>
      <c r="Z50" s="4" t="s">
        <v>22</v>
      </c>
      <c r="AB50" s="4" t="s">
        <v>22</v>
      </c>
      <c r="AD50" s="4" t="s">
        <v>22</v>
      </c>
      <c r="AF50" t="s">
        <v>22</v>
      </c>
    </row>
    <row r="51" spans="1:36" x14ac:dyDescent="0.3">
      <c r="A51" t="s">
        <v>99</v>
      </c>
      <c r="B51" s="40" t="s">
        <v>131</v>
      </c>
      <c r="D51" s="4" t="s">
        <v>5</v>
      </c>
      <c r="F51" s="4" t="s">
        <v>5</v>
      </c>
      <c r="H51" s="4" t="s">
        <v>5</v>
      </c>
      <c r="N51" s="4" t="s">
        <v>5</v>
      </c>
      <c r="T51" s="4" t="s">
        <v>5</v>
      </c>
      <c r="V51" s="4" t="s">
        <v>5</v>
      </c>
      <c r="X51" s="4" t="s">
        <v>5</v>
      </c>
      <c r="Y51">
        <f>'Imports - Data (Raw)'!AO51/'Imports - Data (Raw)'!AN51</f>
        <v>56.533333333333331</v>
      </c>
      <c r="Z51" s="4" t="s">
        <v>5</v>
      </c>
      <c r="AB51" s="4" t="s">
        <v>5</v>
      </c>
      <c r="AD51" s="4" t="s">
        <v>5</v>
      </c>
      <c r="AF51" s="4" t="s">
        <v>5</v>
      </c>
    </row>
    <row r="52" spans="1:36" x14ac:dyDescent="0.3">
      <c r="A52" t="s">
        <v>100</v>
      </c>
      <c r="B52" s="40" t="s">
        <v>123</v>
      </c>
      <c r="D52" t="s">
        <v>18</v>
      </c>
      <c r="E52">
        <f>'Imports - Data (Raw)'!G52/'Imports - Data (Raw)'!F52</f>
        <v>3.5999999999999996</v>
      </c>
      <c r="F52" s="2" t="s">
        <v>3</v>
      </c>
      <c r="G52">
        <f>'Imports - Data (Raw)'!J52/'Imports - Data (Raw)'!I52</f>
        <v>23.380507343124165</v>
      </c>
      <c r="H52" s="4" t="s">
        <v>3</v>
      </c>
      <c r="I52">
        <f>'Imports - Data (Raw)'!M52/'Imports - Data (Raw)'!L52</f>
        <v>27.273746701846967</v>
      </c>
      <c r="J52">
        <f>'Imports - Data (Raw)'!O52/'Imports - Data (Raw)'!N52</f>
        <v>25.92258064516129</v>
      </c>
      <c r="K52">
        <f>'Imports - Data (Raw)'!Q52/'Imports - Data (Raw)'!P52</f>
        <v>31.410801963993453</v>
      </c>
      <c r="L52">
        <f>'Imports - Data (Raw)'!S52/'Imports - Data (Raw)'!R52</f>
        <v>43.451931716082662</v>
      </c>
      <c r="M52">
        <f>'Imports - Data (Raw)'!U52/'Imports - Data (Raw)'!T52</f>
        <v>12.327557755775578</v>
      </c>
      <c r="N52" s="4" t="s">
        <v>3</v>
      </c>
      <c r="O52">
        <f>'Imports - Data (Raw)'!X52/'Imports - Data (Raw)'!W52</f>
        <v>12.125</v>
      </c>
      <c r="P52">
        <f>'Imports - Data (Raw)'!Z52/'Imports - Data (Raw)'!Y52</f>
        <v>12.173913043478262</v>
      </c>
      <c r="T52" s="2" t="s">
        <v>2</v>
      </c>
      <c r="U52">
        <f>'Imports - Data (Raw)'!AI52/'Imports - Data (Raw)'!AH52</f>
        <v>26.829268292682926</v>
      </c>
      <c r="V52" s="4" t="s">
        <v>2</v>
      </c>
      <c r="W52">
        <f>'Imports - Data (Raw)'!AL52/'Imports - Data (Raw)'!AK52</f>
        <v>26.666666666666668</v>
      </c>
      <c r="X52" s="4" t="s">
        <v>2</v>
      </c>
      <c r="Y52">
        <f>'Imports - Data (Raw)'!AO52/'Imports - Data (Raw)'!AN52</f>
        <v>26.666666666666668</v>
      </c>
      <c r="Z52" s="4" t="s">
        <v>2</v>
      </c>
      <c r="AB52" s="4" t="s">
        <v>2</v>
      </c>
      <c r="AD52" s="4" t="s">
        <v>2</v>
      </c>
      <c r="AF52" s="4" t="s">
        <v>2</v>
      </c>
    </row>
    <row r="53" spans="1:36" x14ac:dyDescent="0.3">
      <c r="A53" t="s">
        <v>63</v>
      </c>
      <c r="B53" s="40" t="s">
        <v>132</v>
      </c>
      <c r="D53" t="s">
        <v>21</v>
      </c>
      <c r="F53" t="s">
        <v>21</v>
      </c>
      <c r="G53">
        <f>'Imports - Data (Raw)'!J53/'Imports - Data (Raw)'!I53</f>
        <v>16.218523260776781</v>
      </c>
      <c r="H53" s="2" t="s">
        <v>9</v>
      </c>
      <c r="I53">
        <f>'Imports - Data (Raw)'!M53/'Imports - Data (Raw)'!L53</f>
        <v>4.848993288590604</v>
      </c>
      <c r="J53">
        <f>'Imports - Data (Raw)'!O53/'Imports - Data (Raw)'!N53</f>
        <v>3.8777848504137493</v>
      </c>
      <c r="K53">
        <f>'Imports - Data (Raw)'!Q53/'Imports - Data (Raw)'!P53</f>
        <v>4.3656343656343655</v>
      </c>
      <c r="L53">
        <f>'Imports - Data (Raw)'!S53/'Imports - Data (Raw)'!R53</f>
        <v>1.6914285714285715</v>
      </c>
      <c r="M53">
        <f>'Imports - Data (Raw)'!U53/'Imports - Data (Raw)'!T53</f>
        <v>1.1509009009009008</v>
      </c>
      <c r="N53" s="4" t="s">
        <v>9</v>
      </c>
      <c r="O53">
        <f>'Imports - Data (Raw)'!X53/'Imports - Data (Raw)'!W53</f>
        <v>13.25</v>
      </c>
      <c r="P53">
        <f>'Imports - Data (Raw)'!Z53/'Imports - Data (Raw)'!Y53</f>
        <v>13.333333333333334</v>
      </c>
      <c r="Q53">
        <f>'Imports - Data (Raw)'!AB53/'Imports - Data (Raw)'!AA53</f>
        <v>13.678905687544997</v>
      </c>
      <c r="T53" s="2" t="s">
        <v>5</v>
      </c>
      <c r="U53">
        <f>'Imports - Data (Raw)'!AI53/'Imports - Data (Raw)'!AH53</f>
        <v>200</v>
      </c>
      <c r="V53" s="2" t="s">
        <v>2</v>
      </c>
      <c r="W53">
        <f>'Imports - Data (Raw)'!AL53/'Imports - Data (Raw)'!AK53</f>
        <v>10.256410256410257</v>
      </c>
      <c r="X53" s="4" t="s">
        <v>2</v>
      </c>
      <c r="Y53">
        <f>'Imports - Data (Raw)'!AO53/'Imports - Data (Raw)'!AN53</f>
        <v>10.256410256410257</v>
      </c>
      <c r="Z53" s="4" t="s">
        <v>2</v>
      </c>
      <c r="AB53" s="4" t="s">
        <v>2</v>
      </c>
      <c r="AD53" s="4" t="s">
        <v>2</v>
      </c>
      <c r="AF53" s="4" t="s">
        <v>2</v>
      </c>
    </row>
    <row r="54" spans="1:36" x14ac:dyDescent="0.3">
      <c r="A54" t="s">
        <v>101</v>
      </c>
      <c r="B54" s="40" t="s">
        <v>122</v>
      </c>
      <c r="D54" t="s">
        <v>6</v>
      </c>
      <c r="E54">
        <f>'Imports - Data (Raw)'!G54/'Imports - Data (Raw)'!F54</f>
        <v>0.05</v>
      </c>
      <c r="F54" s="2" t="s">
        <v>21</v>
      </c>
      <c r="G54">
        <f>'Imports - Data (Raw)'!J54/'Imports - Data (Raw)'!I54</f>
        <v>7.6428571428571432</v>
      </c>
      <c r="H54" s="2" t="s">
        <v>9</v>
      </c>
      <c r="I54">
        <f>'Imports - Data (Raw)'!M54/'Imports - Data (Raw)'!L54</f>
        <v>10</v>
      </c>
      <c r="J54">
        <f>'Imports - Data (Raw)'!O54/'Imports - Data (Raw)'!N54</f>
        <v>6.3650793650793647</v>
      </c>
      <c r="K54">
        <f>'Imports - Data (Raw)'!Q54/'Imports - Data (Raw)'!P54</f>
        <v>3.2864349775784754</v>
      </c>
      <c r="L54">
        <f>'Imports - Data (Raw)'!S54/'Imports - Data (Raw)'!R54</f>
        <v>3.1640287769784172</v>
      </c>
      <c r="M54">
        <f>'Imports - Data (Raw)'!U54/'Imports - Data (Raw)'!T54</f>
        <v>1.7269866247049568</v>
      </c>
      <c r="N54" s="4" t="s">
        <v>9</v>
      </c>
      <c r="T54" t="s">
        <v>9</v>
      </c>
      <c r="V54" s="4" t="s">
        <v>9</v>
      </c>
      <c r="X54" s="4" t="s">
        <v>9</v>
      </c>
      <c r="Z54" s="4" t="s">
        <v>9</v>
      </c>
      <c r="AB54" s="4" t="s">
        <v>9</v>
      </c>
      <c r="AD54" s="4" t="s">
        <v>9</v>
      </c>
      <c r="AF54" t="s">
        <v>9</v>
      </c>
    </row>
    <row r="55" spans="1:36" x14ac:dyDescent="0.3">
      <c r="A55" t="s">
        <v>171</v>
      </c>
      <c r="B55" s="40" t="s">
        <v>132</v>
      </c>
      <c r="D55" t="s">
        <v>21</v>
      </c>
      <c r="F55" t="s">
        <v>21</v>
      </c>
      <c r="G55">
        <f>'Imports - Data (Raw)'!J55/'Imports - Data (Raw)'!I55</f>
        <v>0.80301437083771465</v>
      </c>
      <c r="H55" t="s">
        <v>21</v>
      </c>
      <c r="N55" s="4" t="s">
        <v>21</v>
      </c>
      <c r="T55" t="s">
        <v>21</v>
      </c>
      <c r="V55" s="4" t="s">
        <v>21</v>
      </c>
      <c r="X55" s="4" t="s">
        <v>21</v>
      </c>
      <c r="Z55" s="4" t="s">
        <v>21</v>
      </c>
      <c r="AB55" s="4" t="s">
        <v>21</v>
      </c>
      <c r="AD55" s="4" t="s">
        <v>21</v>
      </c>
      <c r="AF55" t="s">
        <v>21</v>
      </c>
    </row>
    <row r="56" spans="1:36" x14ac:dyDescent="0.3">
      <c r="A56" t="s">
        <v>102</v>
      </c>
      <c r="B56" s="40" t="s">
        <v>122</v>
      </c>
      <c r="D56" t="s">
        <v>6</v>
      </c>
      <c r="F56" t="s">
        <v>6</v>
      </c>
      <c r="G56">
        <f>'Imports - Data (Raw)'!J56/'Imports - Data (Raw)'!I56</f>
        <v>0.17997888810696691</v>
      </c>
      <c r="H56" t="s">
        <v>6</v>
      </c>
      <c r="I56">
        <f>'Imports - Data (Raw)'!M56/'Imports - Data (Raw)'!L56</f>
        <v>0.44448134617513563</v>
      </c>
      <c r="J56">
        <f>'Imports - Data (Raw)'!O56/'Imports - Data (Raw)'!N56</f>
        <v>1.1822474032105761</v>
      </c>
      <c r="K56">
        <f>'Imports - Data (Raw)'!Q56/'Imports - Data (Raw)'!P56</f>
        <v>6.5158017947717514E-2</v>
      </c>
      <c r="L56">
        <f>'Imports - Data (Raw)'!S56/'Imports - Data (Raw)'!R56</f>
        <v>0.22717733473242394</v>
      </c>
      <c r="N56" s="4" t="s">
        <v>6</v>
      </c>
      <c r="T56" t="s">
        <v>6</v>
      </c>
      <c r="V56" s="4" t="s">
        <v>6</v>
      </c>
      <c r="X56" s="4" t="s">
        <v>6</v>
      </c>
      <c r="Z56" s="4" t="s">
        <v>6</v>
      </c>
      <c r="AB56" s="4" t="s">
        <v>6</v>
      </c>
      <c r="AD56" s="4" t="s">
        <v>6</v>
      </c>
      <c r="AF56" t="s">
        <v>6</v>
      </c>
    </row>
    <row r="57" spans="1:36" x14ac:dyDescent="0.3">
      <c r="A57" t="s">
        <v>170</v>
      </c>
      <c r="B57" s="40" t="s">
        <v>108</v>
      </c>
      <c r="D57" t="s">
        <v>1</v>
      </c>
      <c r="F57" t="s">
        <v>1</v>
      </c>
      <c r="G57">
        <f>'Imports - Data (Raw)'!J57/'Imports - Data (Raw)'!I57</f>
        <v>1.2749428789032748</v>
      </c>
      <c r="H57" s="2" t="s">
        <v>23</v>
      </c>
      <c r="I57">
        <f>'Imports - Data (Raw)'!M57/'Imports - Data (Raw)'!L57</f>
        <v>5.4413938753959874</v>
      </c>
      <c r="J57">
        <f>'Imports - Data (Raw)'!O57/'Imports - Data (Raw)'!N57</f>
        <v>5.0988604866030185</v>
      </c>
      <c r="K57">
        <f>'Imports - Data (Raw)'!Q57/'Imports - Data (Raw)'!P57</f>
        <v>10.232815964523281</v>
      </c>
      <c r="L57">
        <f>'Imports - Data (Raw)'!S57/'Imports - Data (Raw)'!R57</f>
        <v>5.0075342465753421</v>
      </c>
      <c r="N57" s="4" t="s">
        <v>23</v>
      </c>
      <c r="T57" t="s">
        <v>23</v>
      </c>
      <c r="V57" s="4" t="s">
        <v>23</v>
      </c>
      <c r="X57" s="4" t="s">
        <v>23</v>
      </c>
      <c r="Z57" s="4" t="s">
        <v>23</v>
      </c>
      <c r="AB57" s="4" t="s">
        <v>23</v>
      </c>
      <c r="AD57" s="4" t="s">
        <v>23</v>
      </c>
      <c r="AF57" t="s">
        <v>23</v>
      </c>
    </row>
    <row r="58" spans="1:36" x14ac:dyDescent="0.3">
      <c r="A58" t="s">
        <v>103</v>
      </c>
      <c r="B58" s="40" t="s">
        <v>117</v>
      </c>
      <c r="D58" t="s">
        <v>14</v>
      </c>
      <c r="E58">
        <f>'Imports - Data (Raw)'!G58/'Imports - Data (Raw)'!F58</f>
        <v>3.2000000000000001E-2</v>
      </c>
      <c r="F58" t="s">
        <v>14</v>
      </c>
      <c r="H58" s="2" t="s">
        <v>24</v>
      </c>
      <c r="I58">
        <f>'Imports - Data (Raw)'!M58/'Imports - Data (Raw)'!L58</f>
        <v>9</v>
      </c>
      <c r="J58">
        <f>'Imports - Data (Raw)'!O58/'Imports - Data (Raw)'!N58</f>
        <v>8.8544303797468356</v>
      </c>
      <c r="K58">
        <f>'Imports - Data (Raw)'!Q58/'Imports - Data (Raw)'!P58</f>
        <v>3</v>
      </c>
      <c r="L58">
        <f>'Imports - Data (Raw)'!S58/'Imports - Data (Raw)'!R58</f>
        <v>9.0789473684210531</v>
      </c>
      <c r="N58" s="4" t="s">
        <v>24</v>
      </c>
      <c r="T58" s="2" t="s">
        <v>5</v>
      </c>
      <c r="V58" s="4" t="s">
        <v>5</v>
      </c>
      <c r="X58" s="4" t="s">
        <v>5</v>
      </c>
      <c r="Y58">
        <f>'Imports - Data (Raw)'!AO58/'Imports - Data (Raw)'!AN58</f>
        <v>28.8</v>
      </c>
      <c r="Z58" s="4" t="s">
        <v>5</v>
      </c>
      <c r="AA58">
        <f>'Imports - Data (Raw)'!AR58/'Imports - Data (Raw)'!AQ58</f>
        <v>30.833333333333332</v>
      </c>
      <c r="AB58" s="4" t="s">
        <v>5</v>
      </c>
      <c r="AD58" s="4" t="s">
        <v>5</v>
      </c>
      <c r="AF58" s="4" t="s">
        <v>5</v>
      </c>
    </row>
    <row r="59" spans="1:36" x14ac:dyDescent="0.3">
      <c r="A59" t="s">
        <v>104</v>
      </c>
      <c r="B59" s="40" t="s">
        <v>131</v>
      </c>
      <c r="D59" s="4" t="s">
        <v>5</v>
      </c>
      <c r="F59" s="4" t="s">
        <v>5</v>
      </c>
      <c r="H59" s="4" t="s">
        <v>5</v>
      </c>
      <c r="N59" s="4" t="s">
        <v>5</v>
      </c>
      <c r="T59" s="4" t="s">
        <v>5</v>
      </c>
      <c r="V59" s="4" t="s">
        <v>5</v>
      </c>
      <c r="X59" s="4" t="s">
        <v>5</v>
      </c>
      <c r="Y59">
        <f>'Imports - Data (Raw)'!AO59/'Imports - Data (Raw)'!AN59</f>
        <v>16</v>
      </c>
      <c r="Z59" s="4" t="s">
        <v>5</v>
      </c>
      <c r="AA59">
        <f>'Imports - Data (Raw)'!AR59/'Imports - Data (Raw)'!AQ59</f>
        <v>16.666666666666668</v>
      </c>
      <c r="AB59" s="4" t="s">
        <v>5</v>
      </c>
      <c r="AD59" s="4" t="s">
        <v>5</v>
      </c>
      <c r="AF59" s="4" t="s">
        <v>5</v>
      </c>
    </row>
    <row r="60" spans="1:36" x14ac:dyDescent="0.3">
      <c r="A60" t="s">
        <v>172</v>
      </c>
      <c r="B60" s="40" t="s">
        <v>131</v>
      </c>
      <c r="D60" s="4" t="s">
        <v>5</v>
      </c>
      <c r="F60" s="4" t="s">
        <v>5</v>
      </c>
      <c r="H60" s="4" t="s">
        <v>5</v>
      </c>
      <c r="N60" s="4" t="s">
        <v>5</v>
      </c>
      <c r="T60" s="4" t="s">
        <v>5</v>
      </c>
      <c r="V60" s="4" t="s">
        <v>5</v>
      </c>
      <c r="X60" s="4" t="s">
        <v>5</v>
      </c>
      <c r="Z60" s="4" t="s">
        <v>5</v>
      </c>
      <c r="AB60" s="4" t="s">
        <v>5</v>
      </c>
      <c r="AC60">
        <f>'Imports - Data (Raw)'!AU60/'Imports - Data (Raw)'!AT60</f>
        <v>24.761904761904763</v>
      </c>
      <c r="AD60" s="4" t="s">
        <v>5</v>
      </c>
      <c r="AF60" s="4" t="s">
        <v>5</v>
      </c>
      <c r="AG60">
        <f>'Imports - Data (Raw)'!BA60/'Imports - Data (Raw)'!AZ60</f>
        <v>24.615384615384617</v>
      </c>
      <c r="AH60">
        <f>'Imports - Data (Raw)'!BC60/'Imports - Data (Raw)'!BB60</f>
        <v>28.571428571428573</v>
      </c>
      <c r="AI60">
        <f>'Imports - Data (Raw)'!BE60/'Imports - Data (Raw)'!BD60</f>
        <v>26.086956521739129</v>
      </c>
      <c r="AJ60">
        <f>'Imports - Data (Raw)'!BG60/'Imports - Data (Raw)'!BF60</f>
        <v>28</v>
      </c>
    </row>
    <row r="61" spans="1:36" x14ac:dyDescent="0.3">
      <c r="A61" t="s">
        <v>105</v>
      </c>
      <c r="B61" s="40" t="s">
        <v>126</v>
      </c>
      <c r="D61" t="s">
        <v>9</v>
      </c>
      <c r="F61" t="s">
        <v>9</v>
      </c>
      <c r="H61" t="s">
        <v>9</v>
      </c>
      <c r="J61">
        <f>'Imports - Data (Raw)'!O61/'Imports - Data (Raw)'!N61</f>
        <v>4.468619246861925</v>
      </c>
      <c r="K61">
        <f>'Imports - Data (Raw)'!Q61/'Imports - Data (Raw)'!P61</f>
        <v>5.630791161796151</v>
      </c>
      <c r="L61">
        <f>'Imports - Data (Raw)'!S61/'Imports - Data (Raw)'!R61</f>
        <v>7.7894736842105265</v>
      </c>
      <c r="M61">
        <f>'Imports - Data (Raw)'!U61/'Imports - Data (Raw)'!T61</f>
        <v>4.4555256064690028</v>
      </c>
      <c r="N61" s="4" t="s">
        <v>9</v>
      </c>
      <c r="T61" s="2" t="s">
        <v>2</v>
      </c>
      <c r="U61">
        <f>'Imports - Data (Raw)'!AI61/'Imports - Data (Raw)'!AH61</f>
        <v>2</v>
      </c>
      <c r="V61" s="4" t="s">
        <v>2</v>
      </c>
      <c r="X61" s="4" t="s">
        <v>2</v>
      </c>
      <c r="Z61" s="4" t="s">
        <v>2</v>
      </c>
      <c r="AB61" s="4" t="s">
        <v>2</v>
      </c>
      <c r="AD61" s="4" t="s">
        <v>2</v>
      </c>
      <c r="AF61" s="4" t="s">
        <v>2</v>
      </c>
    </row>
    <row r="62" spans="1:36" x14ac:dyDescent="0.3">
      <c r="A62" t="s">
        <v>106</v>
      </c>
      <c r="B62" s="40" t="s">
        <v>118</v>
      </c>
      <c r="D62" t="s">
        <v>3</v>
      </c>
      <c r="F62" t="s">
        <v>3</v>
      </c>
      <c r="H62" t="s">
        <v>3</v>
      </c>
      <c r="N62" s="4" t="s">
        <v>3</v>
      </c>
      <c r="O62">
        <f>'Imports - Data (Raw)'!X62/'Imports - Data (Raw)'!W62</f>
        <v>40.333333333333336</v>
      </c>
      <c r="P62">
        <f>'Imports - Data (Raw)'!Z62/'Imports - Data (Raw)'!Y62</f>
        <v>40.606060606060609</v>
      </c>
      <c r="T62" t="s">
        <v>3</v>
      </c>
      <c r="V62" s="4" t="s">
        <v>3</v>
      </c>
      <c r="X62" s="4" t="s">
        <v>3</v>
      </c>
      <c r="Z62" s="4" t="s">
        <v>3</v>
      </c>
      <c r="AB62" s="4" t="s">
        <v>3</v>
      </c>
      <c r="AD62" s="4" t="s">
        <v>3</v>
      </c>
      <c r="AF62" t="s">
        <v>3</v>
      </c>
    </row>
    <row r="63" spans="1:36" x14ac:dyDescent="0.3">
      <c r="A63" t="s">
        <v>173</v>
      </c>
      <c r="B63" s="40" t="s">
        <v>131</v>
      </c>
      <c r="D63" t="s">
        <v>5</v>
      </c>
      <c r="F63" t="s">
        <v>5</v>
      </c>
      <c r="H63" t="s">
        <v>5</v>
      </c>
      <c r="N63" s="4" t="s">
        <v>5</v>
      </c>
      <c r="T63" t="s">
        <v>5</v>
      </c>
      <c r="U63">
        <f>'Imports - Data (Raw)'!AI63/'Imports - Data (Raw)'!AH63</f>
        <v>26.56</v>
      </c>
      <c r="V63" s="4" t="s">
        <v>5</v>
      </c>
      <c r="X63" s="4" t="s">
        <v>5</v>
      </c>
      <c r="Z63" s="4" t="s">
        <v>5</v>
      </c>
      <c r="AB63" s="4" t="s">
        <v>5</v>
      </c>
      <c r="AD63" s="4" t="s">
        <v>5</v>
      </c>
      <c r="AF63" t="s">
        <v>5</v>
      </c>
    </row>
    <row r="64" spans="1:36" x14ac:dyDescent="0.3">
      <c r="A64" t="s">
        <v>64</v>
      </c>
      <c r="B64" s="40" t="s">
        <v>129</v>
      </c>
      <c r="D64" t="s">
        <v>2</v>
      </c>
      <c r="F64" t="s">
        <v>2</v>
      </c>
      <c r="H64" t="s">
        <v>2</v>
      </c>
      <c r="N64" s="4" t="s">
        <v>2</v>
      </c>
      <c r="T64" t="s">
        <v>2</v>
      </c>
      <c r="U64">
        <f>'Imports - Data (Raw)'!AI64/'Imports - Data (Raw)'!AH64</f>
        <v>3.8095238095238093</v>
      </c>
      <c r="V64" s="2" t="s">
        <v>18</v>
      </c>
      <c r="W64">
        <f>'Imports - Data (Raw)'!AL64/'Imports - Data (Raw)'!AK64</f>
        <v>6.6195939982347754E-2</v>
      </c>
      <c r="X64" s="4" t="s">
        <v>18</v>
      </c>
      <c r="Y64">
        <f>'Imports - Data (Raw)'!AO64/'Imports - Data (Raw)'!AN64</f>
        <v>6.055887187472965E-2</v>
      </c>
      <c r="Z64" s="4" t="s">
        <v>18</v>
      </c>
      <c r="AB64" s="4" t="s">
        <v>18</v>
      </c>
      <c r="AD64" s="4" t="s">
        <v>18</v>
      </c>
      <c r="AF64" t="s">
        <v>18</v>
      </c>
    </row>
    <row r="65" spans="1:38" x14ac:dyDescent="0.3">
      <c r="A65" t="s">
        <v>107</v>
      </c>
      <c r="B65" s="40" t="s">
        <v>126</v>
      </c>
      <c r="D65" t="s">
        <v>9</v>
      </c>
      <c r="F65" t="s">
        <v>9</v>
      </c>
      <c r="G65">
        <f>'Imports - Data (Raw)'!J65/'Imports - Data (Raw)'!I65</f>
        <v>2.0189061444969614</v>
      </c>
      <c r="H65" t="s">
        <v>9</v>
      </c>
      <c r="N65" s="4" t="s">
        <v>9</v>
      </c>
      <c r="T65" s="2" t="s">
        <v>2</v>
      </c>
      <c r="U65">
        <f>'Imports - Data (Raw)'!AI65/'Imports - Data (Raw)'!AH65</f>
        <v>2</v>
      </c>
      <c r="V65" s="4" t="s">
        <v>2</v>
      </c>
      <c r="W65">
        <f>'Imports - Data (Raw)'!AL65/'Imports - Data (Raw)'!AK65</f>
        <v>2.0833333333333335</v>
      </c>
      <c r="X65" s="4" t="s">
        <v>2</v>
      </c>
      <c r="Y65">
        <f>'Imports - Data (Raw)'!AO65/'Imports - Data (Raw)'!AN65</f>
        <v>2.0625</v>
      </c>
      <c r="Z65" s="4" t="s">
        <v>2</v>
      </c>
      <c r="AA65">
        <f>'Imports - Data (Raw)'!AR65/'Imports - Data (Raw)'!AQ65</f>
        <v>2.25</v>
      </c>
      <c r="AB65" s="4" t="s">
        <v>2</v>
      </c>
      <c r="AD65" s="4" t="s">
        <v>2</v>
      </c>
      <c r="AF65" t="s">
        <v>2</v>
      </c>
    </row>
    <row r="66" spans="1:38" x14ac:dyDescent="0.3">
      <c r="A66" t="s">
        <v>108</v>
      </c>
      <c r="B66" s="40" t="s">
        <v>133</v>
      </c>
      <c r="D66" t="s">
        <v>10</v>
      </c>
      <c r="F66" t="s">
        <v>10</v>
      </c>
      <c r="H66" t="s">
        <v>10</v>
      </c>
      <c r="N66" s="4" t="s">
        <v>10</v>
      </c>
      <c r="T66" t="s">
        <v>10</v>
      </c>
      <c r="U66">
        <f>'Imports - Data (Raw)'!AI66/'Imports - Data (Raw)'!AH66</f>
        <v>2.8571428571428571E-2</v>
      </c>
      <c r="V66" s="4" t="s">
        <v>10</v>
      </c>
      <c r="W66">
        <f>'Imports - Data (Raw)'!AL66/'Imports - Data (Raw)'!AK66</f>
        <v>3.8343212349220959E-2</v>
      </c>
      <c r="X66" s="4" t="s">
        <v>10</v>
      </c>
      <c r="Y66">
        <f>'Imports - Data (Raw)'!AO66/'Imports - Data (Raw)'!AN66</f>
        <v>4.0485E-2</v>
      </c>
      <c r="Z66" s="4" t="s">
        <v>10</v>
      </c>
      <c r="AA66">
        <f>'Imports - Data (Raw)'!AR66/'Imports - Data (Raw)'!AQ66</f>
        <v>0.04</v>
      </c>
      <c r="AB66" s="4" t="s">
        <v>10</v>
      </c>
      <c r="AC66">
        <f>'Imports - Data (Raw)'!AU66/'Imports - Data (Raw)'!AT66</f>
        <v>0.04</v>
      </c>
      <c r="AD66" s="4" t="s">
        <v>10</v>
      </c>
      <c r="AF66" t="s">
        <v>10</v>
      </c>
    </row>
    <row r="67" spans="1:38" x14ac:dyDescent="0.3">
      <c r="A67" t="s">
        <v>109</v>
      </c>
      <c r="B67" s="40" t="s">
        <v>132</v>
      </c>
      <c r="D67" t="s">
        <v>21</v>
      </c>
      <c r="F67" t="s">
        <v>21</v>
      </c>
      <c r="G67">
        <f>'Imports - Data (Raw)'!J67/'Imports - Data (Raw)'!I67</f>
        <v>5.6</v>
      </c>
      <c r="H67" t="s">
        <v>21</v>
      </c>
      <c r="N67" t="s">
        <v>21</v>
      </c>
      <c r="T67" s="2" t="s">
        <v>2</v>
      </c>
      <c r="V67" s="4" t="s">
        <v>2</v>
      </c>
      <c r="W67">
        <f>'Imports - Data (Raw)'!AL67/'Imports - Data (Raw)'!AK67</f>
        <v>2.335766423357664</v>
      </c>
      <c r="X67" s="4" t="s">
        <v>2</v>
      </c>
      <c r="Y67">
        <f>'Imports - Data (Raw)'!AO67/'Imports - Data (Raw)'!AN67</f>
        <v>2.3571428571428572</v>
      </c>
      <c r="Z67" s="4" t="s">
        <v>2</v>
      </c>
      <c r="AA67">
        <f>'Imports - Data (Raw)'!AR67/'Imports - Data (Raw)'!AQ67</f>
        <v>2.5</v>
      </c>
      <c r="AB67" s="4" t="s">
        <v>2</v>
      </c>
      <c r="AC67">
        <f>'Imports - Data (Raw)'!AU67/'Imports - Data (Raw)'!AT67</f>
        <v>2.3333333333333335</v>
      </c>
      <c r="AD67" s="4" t="s">
        <v>2</v>
      </c>
      <c r="AF67" t="s">
        <v>2</v>
      </c>
    </row>
    <row r="68" spans="1:38" x14ac:dyDescent="0.3">
      <c r="A68" t="s">
        <v>110</v>
      </c>
      <c r="B68" s="40" t="s">
        <v>117</v>
      </c>
      <c r="D68" t="s">
        <v>14</v>
      </c>
      <c r="E68">
        <f>'Imports - Data (Raw)'!G68/'Imports - Data (Raw)'!F68</f>
        <v>2.3999999999999997E-2</v>
      </c>
      <c r="F68" t="s">
        <v>14</v>
      </c>
      <c r="H68" t="s">
        <v>14</v>
      </c>
      <c r="N68" t="s">
        <v>14</v>
      </c>
      <c r="T68" s="2" t="s">
        <v>2</v>
      </c>
      <c r="V68" s="4" t="s">
        <v>2</v>
      </c>
      <c r="W68">
        <f>'Imports - Data (Raw)'!AL68/'Imports - Data (Raw)'!AK68</f>
        <v>0.76647930505876338</v>
      </c>
      <c r="X68" s="4" t="s">
        <v>2</v>
      </c>
      <c r="Y68">
        <f>'Imports - Data (Raw)'!AO68/'Imports - Data (Raw)'!AN68</f>
        <v>0.77899761336515516</v>
      </c>
      <c r="Z68" s="4" t="s">
        <v>2</v>
      </c>
      <c r="AA68">
        <f>'Imports - Data (Raw)'!AR68/'Imports - Data (Raw)'!AQ68</f>
        <v>0.8</v>
      </c>
      <c r="AB68" s="4" t="s">
        <v>2</v>
      </c>
      <c r="AD68" s="4" t="s">
        <v>2</v>
      </c>
      <c r="AF68" t="s">
        <v>2</v>
      </c>
    </row>
    <row r="69" spans="1:38" x14ac:dyDescent="0.3">
      <c r="A69" t="s">
        <v>111</v>
      </c>
      <c r="B69" s="40" t="s">
        <v>117</v>
      </c>
      <c r="D69" t="s">
        <v>14</v>
      </c>
      <c r="E69">
        <f>'Imports - Data (Raw)'!G69/'Imports - Data (Raw)'!F69</f>
        <v>0.22000000000000003</v>
      </c>
      <c r="F69" t="s">
        <v>14</v>
      </c>
      <c r="H69" t="s">
        <v>14</v>
      </c>
      <c r="N69" t="s">
        <v>14</v>
      </c>
      <c r="T69" s="2" t="s">
        <v>2</v>
      </c>
      <c r="V69" s="4" t="s">
        <v>2</v>
      </c>
      <c r="W69">
        <f>'Imports - Data (Raw)'!AL69/'Imports - Data (Raw)'!AK69</f>
        <v>4.375</v>
      </c>
      <c r="X69" s="4" t="s">
        <v>2</v>
      </c>
      <c r="Y69">
        <f>'Imports - Data (Raw)'!AO69/'Imports - Data (Raw)'!AN69</f>
        <v>3.261992619926199</v>
      </c>
      <c r="Z69" s="4" t="s">
        <v>2</v>
      </c>
      <c r="AA69">
        <f>'Imports - Data (Raw)'!AR69/'Imports - Data (Raw)'!AQ69</f>
        <v>4.301075268817204</v>
      </c>
      <c r="AB69" s="2" t="s">
        <v>5</v>
      </c>
      <c r="AC69">
        <f>'Imports - Data (Raw)'!AU69/'Imports - Data (Raw)'!AT69</f>
        <v>238.0952380952381</v>
      </c>
      <c r="AD69" s="4" t="s">
        <v>5</v>
      </c>
      <c r="AF69" t="s">
        <v>5</v>
      </c>
      <c r="AG69">
        <f>'Imports - Data (Raw)'!BA69/'Imports - Data (Raw)'!AZ69</f>
        <v>45</v>
      </c>
    </row>
    <row r="70" spans="1:38" x14ac:dyDescent="0.3">
      <c r="A70" t="s">
        <v>112</v>
      </c>
      <c r="B70" s="40" t="s">
        <v>129</v>
      </c>
      <c r="D70" t="s">
        <v>2</v>
      </c>
      <c r="F70" t="s">
        <v>2</v>
      </c>
      <c r="H70" t="s">
        <v>2</v>
      </c>
      <c r="N70" t="s">
        <v>2</v>
      </c>
      <c r="T70" t="s">
        <v>2</v>
      </c>
      <c r="V70" s="4" t="s">
        <v>2</v>
      </c>
      <c r="W70">
        <f>'Imports - Data (Raw)'!AL70/'Imports - Data (Raw)'!AK70</f>
        <v>57.265822784810126</v>
      </c>
      <c r="X70" s="4" t="s">
        <v>2</v>
      </c>
      <c r="Z70" s="4" t="s">
        <v>2</v>
      </c>
      <c r="AA70">
        <f>'Imports - Data (Raw)'!AR70/'Imports - Data (Raw)'!AQ70</f>
        <v>137.5</v>
      </c>
      <c r="AB70" s="4" t="s">
        <v>2</v>
      </c>
      <c r="AC70">
        <f>'Imports - Data (Raw)'!AU70/'Imports - Data (Raw)'!AT70</f>
        <v>140</v>
      </c>
      <c r="AD70" s="4" t="s">
        <v>2</v>
      </c>
      <c r="AF70" t="s">
        <v>2</v>
      </c>
    </row>
    <row r="71" spans="1:38" x14ac:dyDescent="0.3">
      <c r="A71" t="s">
        <v>327</v>
      </c>
      <c r="B71" s="40" t="s">
        <v>131</v>
      </c>
      <c r="D71" t="s">
        <v>5</v>
      </c>
      <c r="F71" t="s">
        <v>5</v>
      </c>
      <c r="H71" t="s">
        <v>5</v>
      </c>
      <c r="N71" t="s">
        <v>5</v>
      </c>
      <c r="T71" t="s">
        <v>5</v>
      </c>
      <c r="V71" s="4" t="s">
        <v>5</v>
      </c>
      <c r="X71" s="4" t="s">
        <v>5</v>
      </c>
      <c r="Z71" s="4" t="s">
        <v>5</v>
      </c>
      <c r="AB71" s="4" t="s">
        <v>5</v>
      </c>
      <c r="AC71">
        <f>'Imports - Data (Raw)'!AU71/'Imports - Data (Raw)'!AT71</f>
        <v>166.6</v>
      </c>
      <c r="AD71" s="4" t="s">
        <v>5</v>
      </c>
      <c r="AE71">
        <f>'Imports - Data (Raw)'!AX71/'Imports - Data (Raw)'!AW71</f>
        <v>168.57142857142858</v>
      </c>
      <c r="AF71" t="s">
        <v>5</v>
      </c>
      <c r="AG71">
        <f>'Imports - Data (Raw)'!BA71/'Imports - Data (Raw)'!AZ71</f>
        <v>174.19354838709677</v>
      </c>
      <c r="AH71">
        <f>'Imports - Data (Raw)'!BC71/'Imports - Data (Raw)'!BB71</f>
        <v>170.58823529411765</v>
      </c>
      <c r="AI71">
        <f>'Imports - Data (Raw)'!BE71/'Imports - Data (Raw)'!BD71</f>
        <v>171.42857142857142</v>
      </c>
      <c r="AJ71">
        <f>'Imports - Data (Raw)'!BG71/'Imports - Data (Raw)'!BF71</f>
        <v>164.70588235294119</v>
      </c>
      <c r="AK71">
        <f>'Imports - Data (Raw)'!BI71/'Imports - Data (Raw)'!BH71</f>
        <v>162.89592760180994</v>
      </c>
      <c r="AL71">
        <f>'Imports - Data (Raw)'!BK71/'Imports - Data (Raw)'!BJ71</f>
        <v>165</v>
      </c>
    </row>
    <row r="72" spans="1:38" x14ac:dyDescent="0.3">
      <c r="A72" t="s">
        <v>113</v>
      </c>
      <c r="B72" s="40" t="s">
        <v>134</v>
      </c>
      <c r="D72" t="s">
        <v>28</v>
      </c>
      <c r="F72" t="s">
        <v>28</v>
      </c>
      <c r="H72" t="s">
        <v>28</v>
      </c>
      <c r="N72" t="s">
        <v>28</v>
      </c>
      <c r="T72" t="s">
        <v>28</v>
      </c>
      <c r="V72" s="4" t="s">
        <v>28</v>
      </c>
      <c r="W72">
        <f>'Imports - Data (Raw)'!AL72/'Imports - Data (Raw)'!AK72</f>
        <v>0.16</v>
      </c>
      <c r="X72" s="4" t="s">
        <v>28</v>
      </c>
      <c r="Y72">
        <f>'Imports - Data (Raw)'!AO72/'Imports - Data (Raw)'!AN72</f>
        <v>0.16177777777777777</v>
      </c>
      <c r="Z72" s="4" t="s">
        <v>28</v>
      </c>
      <c r="AA72">
        <f>'Imports - Data (Raw)'!AR72/'Imports - Data (Raw)'!AQ72</f>
        <v>0.11363636363636363</v>
      </c>
      <c r="AB72" s="4" t="s">
        <v>28</v>
      </c>
      <c r="AC72">
        <f>'Imports - Data (Raw)'!AU72/'Imports - Data (Raw)'!AT72</f>
        <v>0.17599999999999999</v>
      </c>
      <c r="AD72" s="4" t="s">
        <v>28</v>
      </c>
      <c r="AF72" t="s">
        <v>28</v>
      </c>
    </row>
    <row r="73" spans="1:38" x14ac:dyDescent="0.3">
      <c r="A73" t="s">
        <v>174</v>
      </c>
      <c r="B73" s="40" t="s">
        <v>131</v>
      </c>
      <c r="D73" t="s">
        <v>5</v>
      </c>
      <c r="F73" t="s">
        <v>5</v>
      </c>
      <c r="H73" t="s">
        <v>5</v>
      </c>
      <c r="N73" t="s">
        <v>5</v>
      </c>
      <c r="T73" t="s">
        <v>5</v>
      </c>
      <c r="V73" s="4" t="s">
        <v>5</v>
      </c>
      <c r="W73">
        <f>'Imports - Data (Raw)'!AL73/'Imports - Data (Raw)'!AK73</f>
        <v>40</v>
      </c>
      <c r="X73" s="4" t="s">
        <v>5</v>
      </c>
      <c r="Y73">
        <f>'Imports - Data (Raw)'!AO73/'Imports - Data (Raw)'!AN73</f>
        <v>42.5</v>
      </c>
      <c r="Z73" s="4" t="s">
        <v>5</v>
      </c>
      <c r="AA73">
        <f>'Imports - Data (Raw)'!AR73/'Imports - Data (Raw)'!AQ73</f>
        <v>50</v>
      </c>
      <c r="AB73" s="4" t="s">
        <v>5</v>
      </c>
      <c r="AC73">
        <f>'Imports - Data (Raw)'!AU73/'Imports - Data (Raw)'!AT73</f>
        <v>50</v>
      </c>
      <c r="AD73" s="4" t="s">
        <v>5</v>
      </c>
      <c r="AE73">
        <f>'Imports - Data (Raw)'!AX73/'Imports - Data (Raw)'!AW73</f>
        <v>41.666666666666664</v>
      </c>
      <c r="AF73" t="s">
        <v>5</v>
      </c>
      <c r="AG73">
        <f>'Imports - Data (Raw)'!BA73/'Imports - Data (Raw)'!AZ73</f>
        <v>41.25</v>
      </c>
      <c r="AH73">
        <f>'Imports - Data (Raw)'!BC73/'Imports - Data (Raw)'!BB73</f>
        <v>40</v>
      </c>
      <c r="AI73">
        <f>'Imports - Data (Raw)'!BE73/'Imports - Data (Raw)'!BD73</f>
        <v>42.10526315789474</v>
      </c>
      <c r="AJ73">
        <f>'Imports - Data (Raw)'!BG73/'Imports - Data (Raw)'!BF73</f>
        <v>50</v>
      </c>
      <c r="AK73">
        <f>'Imports - Data (Raw)'!BI73/'Imports - Data (Raw)'!BH73</f>
        <v>50</v>
      </c>
      <c r="AL73">
        <f>'Imports - Data (Raw)'!BK73/'Imports - Data (Raw)'!BJ73</f>
        <v>60</v>
      </c>
    </row>
    <row r="74" spans="1:38" x14ac:dyDescent="0.3">
      <c r="A74" t="s">
        <v>114</v>
      </c>
      <c r="B74" s="40" t="s">
        <v>131</v>
      </c>
      <c r="D74" t="s">
        <v>5</v>
      </c>
      <c r="F74" t="s">
        <v>5</v>
      </c>
      <c r="H74" t="s">
        <v>5</v>
      </c>
      <c r="N74" t="s">
        <v>5</v>
      </c>
      <c r="T74" t="s">
        <v>5</v>
      </c>
      <c r="V74" s="4" t="s">
        <v>5</v>
      </c>
      <c r="W74">
        <f>'Imports - Data (Raw)'!AL74/'Imports - Data (Raw)'!AK74</f>
        <v>2.7848101265822787</v>
      </c>
      <c r="X74" s="4" t="s">
        <v>5</v>
      </c>
      <c r="Y74">
        <f>'Imports - Data (Raw)'!AO74/'Imports - Data (Raw)'!AN74</f>
        <v>2.6</v>
      </c>
      <c r="Z74" s="4" t="s">
        <v>5</v>
      </c>
      <c r="AA74">
        <f>'Imports - Data (Raw)'!AR74/'Imports - Data (Raw)'!AQ74</f>
        <v>2.625</v>
      </c>
      <c r="AB74" s="4" t="s">
        <v>5</v>
      </c>
      <c r="AC74">
        <f>'Imports - Data (Raw)'!AU74/'Imports - Data (Raw)'!AT74</f>
        <v>2.3633333333333333</v>
      </c>
      <c r="AD74" s="4" t="s">
        <v>5</v>
      </c>
      <c r="AF74" t="s">
        <v>5</v>
      </c>
      <c r="AG74">
        <f>'Imports - Data (Raw)'!BA74/'Imports - Data (Raw)'!AZ74</f>
        <v>2.8571428571428572</v>
      </c>
      <c r="AH74">
        <f>'Imports - Data (Raw)'!BC74/'Imports - Data (Raw)'!BB74</f>
        <v>3.0555555555555554</v>
      </c>
      <c r="AJ74">
        <f>'Imports - Data (Raw)'!BG74/'Imports - Data (Raw)'!BF74</f>
        <v>4.3478260869565215</v>
      </c>
    </row>
    <row r="75" spans="1:38" x14ac:dyDescent="0.3">
      <c r="A75" t="s">
        <v>115</v>
      </c>
      <c r="B75" s="40" t="s">
        <v>122</v>
      </c>
      <c r="D75" t="s">
        <v>6</v>
      </c>
      <c r="F75" t="s">
        <v>6</v>
      </c>
      <c r="H75" t="s">
        <v>6</v>
      </c>
      <c r="N75" t="s">
        <v>6</v>
      </c>
      <c r="T75" t="s">
        <v>6</v>
      </c>
      <c r="V75" s="4" t="s">
        <v>6</v>
      </c>
      <c r="X75" s="4" t="s">
        <v>6</v>
      </c>
      <c r="Y75">
        <f>'Imports - Data (Raw)'!AO75/'Imports - Data (Raw)'!AN75</f>
        <v>1</v>
      </c>
      <c r="Z75" s="2" t="s">
        <v>3</v>
      </c>
      <c r="AA75">
        <f>'Imports - Data (Raw)'!AR75/'Imports - Data (Raw)'!AQ75</f>
        <v>12</v>
      </c>
      <c r="AB75" s="4" t="s">
        <v>3</v>
      </c>
      <c r="AC75">
        <f>'Imports - Data (Raw)'!AU75/'Imports - Data (Raw)'!AT75</f>
        <v>12.5</v>
      </c>
      <c r="AD75" s="4" t="s">
        <v>3</v>
      </c>
      <c r="AF75" t="s">
        <v>3</v>
      </c>
    </row>
    <row r="76" spans="1:38" x14ac:dyDescent="0.3">
      <c r="A76" t="s">
        <v>175</v>
      </c>
      <c r="B76" s="40" t="s">
        <v>129</v>
      </c>
      <c r="D76" t="s">
        <v>2</v>
      </c>
      <c r="F76" t="s">
        <v>2</v>
      </c>
      <c r="H76" t="s">
        <v>2</v>
      </c>
      <c r="N76" t="s">
        <v>2</v>
      </c>
      <c r="T76" t="s">
        <v>2</v>
      </c>
      <c r="V76" s="4" t="s">
        <v>2</v>
      </c>
      <c r="X76" s="4" t="s">
        <v>2</v>
      </c>
      <c r="Y76">
        <f>'Imports - Data (Raw)'!AO76/'Imports - Data (Raw)'!AN76</f>
        <v>2</v>
      </c>
      <c r="Z76" s="4" t="s">
        <v>2</v>
      </c>
      <c r="AA76">
        <f>'Imports - Data (Raw)'!AR76/'Imports - Data (Raw)'!AQ76</f>
        <v>3.1806949806949807</v>
      </c>
      <c r="AB76" s="4" t="s">
        <v>2</v>
      </c>
      <c r="AD76" s="4" t="s">
        <v>2</v>
      </c>
      <c r="AF76" t="s">
        <v>2</v>
      </c>
    </row>
    <row r="77" spans="1:38" x14ac:dyDescent="0.3">
      <c r="A77" t="s">
        <v>176</v>
      </c>
      <c r="B77" s="40" t="s">
        <v>129</v>
      </c>
      <c r="D77" t="s">
        <v>2</v>
      </c>
      <c r="F77" t="s">
        <v>2</v>
      </c>
      <c r="H77" t="s">
        <v>2</v>
      </c>
      <c r="N77" t="s">
        <v>2</v>
      </c>
      <c r="T77" t="s">
        <v>2</v>
      </c>
      <c r="V77" s="4" t="s">
        <v>2</v>
      </c>
      <c r="X77" s="4" t="s">
        <v>2</v>
      </c>
      <c r="Y77">
        <f>'Imports - Data (Raw)'!AO77/'Imports - Data (Raw)'!AN77</f>
        <v>5</v>
      </c>
      <c r="Z77" s="2" t="s">
        <v>5</v>
      </c>
      <c r="AA77">
        <f>'Imports - Data (Raw)'!AR77/'Imports - Data (Raw)'!AQ77</f>
        <v>96.666666666666671</v>
      </c>
      <c r="AB77" s="4" t="s">
        <v>5</v>
      </c>
      <c r="AC77">
        <f>'Imports - Data (Raw)'!AU77/'Imports - Data (Raw)'!AT77</f>
        <v>100</v>
      </c>
      <c r="AD77" s="4" t="s">
        <v>5</v>
      </c>
      <c r="AF77" t="s">
        <v>5</v>
      </c>
    </row>
    <row r="78" spans="1:38" x14ac:dyDescent="0.3">
      <c r="A78" t="s">
        <v>74</v>
      </c>
      <c r="B78" s="40" t="s">
        <v>129</v>
      </c>
      <c r="D78" t="s">
        <v>2</v>
      </c>
      <c r="F78" t="s">
        <v>2</v>
      </c>
      <c r="H78" t="s">
        <v>2</v>
      </c>
      <c r="N78" t="s">
        <v>2</v>
      </c>
      <c r="T78" t="s">
        <v>2</v>
      </c>
      <c r="V78" s="4" t="s">
        <v>2</v>
      </c>
      <c r="X78" s="4" t="s">
        <v>2</v>
      </c>
      <c r="Y78">
        <f>'Imports - Data (Raw)'!AO78/'Imports - Data (Raw)'!AN78</f>
        <v>8.4033613445378155</v>
      </c>
      <c r="Z78" s="4" t="s">
        <v>2</v>
      </c>
      <c r="AA78">
        <f>'Imports - Data (Raw)'!AR78/'Imports - Data (Raw)'!AQ78</f>
        <v>10</v>
      </c>
      <c r="AB78" s="4" t="s">
        <v>2</v>
      </c>
      <c r="AC78">
        <f>'Imports - Data (Raw)'!AU78/'Imports - Data (Raw)'!AT78</f>
        <v>9.0476190476190474</v>
      </c>
      <c r="AD78" s="4" t="s">
        <v>2</v>
      </c>
      <c r="AF78" t="s">
        <v>2</v>
      </c>
    </row>
    <row r="79" spans="1:38" x14ac:dyDescent="0.3">
      <c r="A79" t="s">
        <v>177</v>
      </c>
      <c r="B79" s="40" t="s">
        <v>129</v>
      </c>
      <c r="D79" t="s">
        <v>2</v>
      </c>
      <c r="F79" t="s">
        <v>2</v>
      </c>
      <c r="H79" t="s">
        <v>2</v>
      </c>
      <c r="N79" t="s">
        <v>2</v>
      </c>
      <c r="T79" t="s">
        <v>2</v>
      </c>
      <c r="V79" s="4" t="s">
        <v>2</v>
      </c>
      <c r="X79" s="4" t="s">
        <v>2</v>
      </c>
      <c r="Z79" s="4" t="s">
        <v>2</v>
      </c>
      <c r="AA79">
        <f>'Imports - Data (Raw)'!AR79/'Imports - Data (Raw)'!AQ79</f>
        <v>14</v>
      </c>
      <c r="AB79" s="4" t="s">
        <v>2</v>
      </c>
      <c r="AD79" s="4" t="s">
        <v>2</v>
      </c>
      <c r="AF79" t="s">
        <v>2</v>
      </c>
    </row>
    <row r="80" spans="1:38" x14ac:dyDescent="0.3">
      <c r="A80" t="s">
        <v>116</v>
      </c>
    </row>
    <row r="81" spans="1:1" x14ac:dyDescent="0.3">
      <c r="A81" s="41"/>
    </row>
    <row r="82" spans="1:1" x14ac:dyDescent="0.3">
      <c r="A82" s="41"/>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167"/>
  <sheetViews>
    <sheetView zoomScale="70" zoomScaleNormal="70" workbookViewId="0">
      <pane xSplit="1" ySplit="2" topLeftCell="V53" activePane="bottomRight" state="frozen"/>
      <selection activeCell="BM32" sqref="BM32:BN35"/>
      <selection pane="topRight" activeCell="BM32" sqref="BM32:BN35"/>
      <selection pane="bottomLeft" activeCell="BM32" sqref="BM32:BN35"/>
      <selection pane="bottomRight" activeCell="X73" sqref="X73"/>
    </sheetView>
  </sheetViews>
  <sheetFormatPr defaultRowHeight="14.4" x14ac:dyDescent="0.3"/>
  <cols>
    <col min="1" max="1" width="22.21875" customWidth="1"/>
    <col min="2" max="2" width="16.5546875" customWidth="1"/>
    <col min="3" max="3" width="9.88671875" style="39" customWidth="1"/>
    <col min="4" max="4" width="16.5546875" bestFit="1" customWidth="1"/>
    <col min="5" max="5" width="18.109375" customWidth="1"/>
    <col min="6" max="6" width="16.5546875" bestFit="1" customWidth="1"/>
    <col min="7" max="7" width="18.109375" customWidth="1"/>
    <col min="8" max="8" width="16.5546875" bestFit="1" customWidth="1"/>
    <col min="9" max="9" width="18.109375" customWidth="1"/>
    <col min="10" max="14" width="16.5546875" bestFit="1" customWidth="1"/>
    <col min="15" max="15" width="18.109375" customWidth="1"/>
    <col min="16" max="16" width="16.5546875" bestFit="1" customWidth="1"/>
    <col min="17" max="17" width="16.109375" bestFit="1" customWidth="1"/>
    <col min="18" max="20" width="16.5546875" bestFit="1" customWidth="1"/>
    <col min="21" max="21" width="18.109375" customWidth="1"/>
    <col min="22" max="22" width="16.5546875" bestFit="1" customWidth="1"/>
    <col min="23" max="23" width="18.109375" customWidth="1"/>
    <col min="24" max="24" width="16.109375" bestFit="1" customWidth="1"/>
    <col min="25" max="25" width="18.109375" customWidth="1"/>
    <col min="26" max="26" width="16.5546875" bestFit="1" customWidth="1"/>
    <col min="27" max="27" width="18.109375" customWidth="1"/>
    <col min="28" max="28" width="16.5546875" bestFit="1" customWidth="1"/>
    <col min="29" max="29" width="18.109375" customWidth="1"/>
    <col min="30" max="30" width="16.5546875" bestFit="1" customWidth="1"/>
    <col min="31" max="31" width="18.109375" customWidth="1"/>
    <col min="32" max="32" width="16.5546875" bestFit="1" customWidth="1"/>
    <col min="33" max="33" width="18.109375" customWidth="1"/>
    <col min="34" max="37" width="16.5546875" bestFit="1" customWidth="1"/>
    <col min="38" max="38" width="16.109375" bestFit="1" customWidth="1"/>
    <col min="39" max="39" width="15.6640625" bestFit="1" customWidth="1"/>
    <col min="258" max="258" width="13.5546875" customWidth="1"/>
    <col min="260" max="260" width="9.109375" customWidth="1"/>
    <col min="514" max="514" width="13.5546875" customWidth="1"/>
    <col min="516" max="516" width="9.109375" customWidth="1"/>
    <col min="770" max="770" width="13.5546875" customWidth="1"/>
    <col min="772" max="772" width="9.109375" customWidth="1"/>
    <col min="1026" max="1026" width="13.5546875" customWidth="1"/>
    <col min="1028" max="1028" width="9.109375" customWidth="1"/>
    <col min="1282" max="1282" width="13.5546875" customWidth="1"/>
    <col min="1284" max="1284" width="9.109375" customWidth="1"/>
    <col min="1538" max="1538" width="13.5546875" customWidth="1"/>
    <col min="1540" max="1540" width="9.109375" customWidth="1"/>
    <col min="1794" max="1794" width="13.5546875" customWidth="1"/>
    <col min="1796" max="1796" width="9.109375" customWidth="1"/>
    <col min="2050" max="2050" width="13.5546875" customWidth="1"/>
    <col min="2052" max="2052" width="9.109375" customWidth="1"/>
    <col min="2306" max="2306" width="13.5546875" customWidth="1"/>
    <col min="2308" max="2308" width="9.109375" customWidth="1"/>
    <col min="2562" max="2562" width="13.5546875" customWidth="1"/>
    <col min="2564" max="2564" width="9.109375" customWidth="1"/>
    <col min="2818" max="2818" width="13.5546875" customWidth="1"/>
    <col min="2820" max="2820" width="9.109375" customWidth="1"/>
    <col min="3074" max="3074" width="13.5546875" customWidth="1"/>
    <col min="3076" max="3076" width="9.109375" customWidth="1"/>
    <col min="3330" max="3330" width="13.5546875" customWidth="1"/>
    <col min="3332" max="3332" width="9.109375" customWidth="1"/>
    <col min="3586" max="3586" width="13.5546875" customWidth="1"/>
    <col min="3588" max="3588" width="9.109375" customWidth="1"/>
    <col min="3842" max="3842" width="13.5546875" customWidth="1"/>
    <col min="3844" max="3844" width="9.109375" customWidth="1"/>
    <col min="4098" max="4098" width="13.5546875" customWidth="1"/>
    <col min="4100" max="4100" width="9.109375" customWidth="1"/>
    <col min="4354" max="4354" width="13.5546875" customWidth="1"/>
    <col min="4356" max="4356" width="9.109375" customWidth="1"/>
    <col min="4610" max="4610" width="13.5546875" customWidth="1"/>
    <col min="4612" max="4612" width="9.109375" customWidth="1"/>
    <col min="4866" max="4866" width="13.5546875" customWidth="1"/>
    <col min="4868" max="4868" width="9.109375" customWidth="1"/>
    <col min="5122" max="5122" width="13.5546875" customWidth="1"/>
    <col min="5124" max="5124" width="9.109375" customWidth="1"/>
    <col min="5378" max="5378" width="13.5546875" customWidth="1"/>
    <col min="5380" max="5380" width="9.109375" customWidth="1"/>
    <col min="5634" max="5634" width="13.5546875" customWidth="1"/>
    <col min="5636" max="5636" width="9.109375" customWidth="1"/>
    <col min="5890" max="5890" width="13.5546875" customWidth="1"/>
    <col min="5892" max="5892" width="9.109375" customWidth="1"/>
    <col min="6146" max="6146" width="13.5546875" customWidth="1"/>
    <col min="6148" max="6148" width="9.109375" customWidth="1"/>
    <col min="6402" max="6402" width="13.5546875" customWidth="1"/>
    <col min="6404" max="6404" width="9.109375" customWidth="1"/>
    <col min="6658" max="6658" width="13.5546875" customWidth="1"/>
    <col min="6660" max="6660" width="9.109375" customWidth="1"/>
    <col min="6914" max="6914" width="13.5546875" customWidth="1"/>
    <col min="6916" max="6916" width="9.109375" customWidth="1"/>
    <col min="7170" max="7170" width="13.5546875" customWidth="1"/>
    <col min="7172" max="7172" width="9.109375" customWidth="1"/>
    <col min="7426" max="7426" width="13.5546875" customWidth="1"/>
    <col min="7428" max="7428" width="9.109375" customWidth="1"/>
    <col min="7682" max="7682" width="13.5546875" customWidth="1"/>
    <col min="7684" max="7684" width="9.109375" customWidth="1"/>
    <col min="7938" max="7938" width="13.5546875" customWidth="1"/>
    <col min="7940" max="7940" width="9.109375" customWidth="1"/>
    <col min="8194" max="8194" width="13.5546875" customWidth="1"/>
    <col min="8196" max="8196" width="9.109375" customWidth="1"/>
    <col min="8450" max="8450" width="13.5546875" customWidth="1"/>
    <col min="8452" max="8452" width="9.109375" customWidth="1"/>
    <col min="8706" max="8706" width="13.5546875" customWidth="1"/>
    <col min="8708" max="8708" width="9.109375" customWidth="1"/>
    <col min="8962" max="8962" width="13.5546875" customWidth="1"/>
    <col min="8964" max="8964" width="9.109375" customWidth="1"/>
    <col min="9218" max="9218" width="13.5546875" customWidth="1"/>
    <col min="9220" max="9220" width="9.109375" customWidth="1"/>
    <col min="9474" max="9474" width="13.5546875" customWidth="1"/>
    <col min="9476" max="9476" width="9.109375" customWidth="1"/>
    <col min="9730" max="9730" width="13.5546875" customWidth="1"/>
    <col min="9732" max="9732" width="9.109375" customWidth="1"/>
    <col min="9986" max="9986" width="13.5546875" customWidth="1"/>
    <col min="9988" max="9988" width="9.109375" customWidth="1"/>
    <col min="10242" max="10242" width="13.5546875" customWidth="1"/>
    <col min="10244" max="10244" width="9.109375" customWidth="1"/>
    <col min="10498" max="10498" width="13.5546875" customWidth="1"/>
    <col min="10500" max="10500" width="9.109375" customWidth="1"/>
    <col min="10754" max="10754" width="13.5546875" customWidth="1"/>
    <col min="10756" max="10756" width="9.109375" customWidth="1"/>
    <col min="11010" max="11010" width="13.5546875" customWidth="1"/>
    <col min="11012" max="11012" width="9.109375" customWidth="1"/>
    <col min="11266" max="11266" width="13.5546875" customWidth="1"/>
    <col min="11268" max="11268" width="9.109375" customWidth="1"/>
    <col min="11522" max="11522" width="13.5546875" customWidth="1"/>
    <col min="11524" max="11524" width="9.109375" customWidth="1"/>
    <col min="11778" max="11778" width="13.5546875" customWidth="1"/>
    <col min="11780" max="11780" width="9.109375" customWidth="1"/>
    <col min="12034" max="12034" width="13.5546875" customWidth="1"/>
    <col min="12036" max="12036" width="9.109375" customWidth="1"/>
    <col min="12290" max="12290" width="13.5546875" customWidth="1"/>
    <col min="12292" max="12292" width="9.109375" customWidth="1"/>
    <col min="12546" max="12546" width="13.5546875" customWidth="1"/>
    <col min="12548" max="12548" width="9.109375" customWidth="1"/>
    <col min="12802" max="12802" width="13.5546875" customWidth="1"/>
    <col min="12804" max="12804" width="9.109375" customWidth="1"/>
    <col min="13058" max="13058" width="13.5546875" customWidth="1"/>
    <col min="13060" max="13060" width="9.109375" customWidth="1"/>
    <col min="13314" max="13314" width="13.5546875" customWidth="1"/>
    <col min="13316" max="13316" width="9.109375" customWidth="1"/>
    <col min="13570" max="13570" width="13.5546875" customWidth="1"/>
    <col min="13572" max="13572" width="9.109375" customWidth="1"/>
    <col min="13826" max="13826" width="13.5546875" customWidth="1"/>
    <col min="13828" max="13828" width="9.109375" customWidth="1"/>
    <col min="14082" max="14082" width="13.5546875" customWidth="1"/>
    <col min="14084" max="14084" width="9.109375" customWidth="1"/>
    <col min="14338" max="14338" width="13.5546875" customWidth="1"/>
    <col min="14340" max="14340" width="9.109375" customWidth="1"/>
    <col min="14594" max="14594" width="13.5546875" customWidth="1"/>
    <col min="14596" max="14596" width="9.109375" customWidth="1"/>
    <col min="14850" max="14850" width="13.5546875" customWidth="1"/>
    <col min="14852" max="14852" width="9.109375" customWidth="1"/>
    <col min="15106" max="15106" width="13.5546875" customWidth="1"/>
    <col min="15108" max="15108" width="9.109375" customWidth="1"/>
    <col min="15362" max="15362" width="13.5546875" customWidth="1"/>
    <col min="15364" max="15364" width="9.109375" customWidth="1"/>
    <col min="15618" max="15618" width="13.5546875" customWidth="1"/>
    <col min="15620" max="15620" width="9.109375" customWidth="1"/>
    <col min="15874" max="15874" width="13.5546875" customWidth="1"/>
    <col min="15876" max="15876" width="9.109375" customWidth="1"/>
    <col min="16130" max="16130" width="13.5546875" customWidth="1"/>
    <col min="16132" max="16132" width="9.109375" customWidth="1"/>
  </cols>
  <sheetData>
    <row r="1" spans="1:39" s="43" customFormat="1" x14ac:dyDescent="0.3">
      <c r="D1" s="43" t="s">
        <v>195</v>
      </c>
      <c r="F1" s="43" t="s">
        <v>196</v>
      </c>
      <c r="H1" s="43" t="s">
        <v>197</v>
      </c>
      <c r="J1" s="43" t="s">
        <v>198</v>
      </c>
      <c r="K1" s="43" t="s">
        <v>199</v>
      </c>
      <c r="L1" s="43" t="s">
        <v>200</v>
      </c>
      <c r="M1" s="43" t="s">
        <v>201</v>
      </c>
      <c r="N1" s="43" t="s">
        <v>202</v>
      </c>
      <c r="P1" s="43" t="s">
        <v>203</v>
      </c>
      <c r="Q1" s="43" t="s">
        <v>204</v>
      </c>
      <c r="R1" s="43" t="s">
        <v>205</v>
      </c>
      <c r="S1" s="43" t="s">
        <v>206</v>
      </c>
      <c r="T1" s="43" t="s">
        <v>207</v>
      </c>
      <c r="V1" s="43" t="s">
        <v>208</v>
      </c>
      <c r="X1" s="43" t="s">
        <v>209</v>
      </c>
      <c r="Z1" s="43" t="s">
        <v>210</v>
      </c>
      <c r="AB1" s="43" t="s">
        <v>211</v>
      </c>
      <c r="AD1" s="43" t="s">
        <v>212</v>
      </c>
      <c r="AF1" s="43" t="s">
        <v>213</v>
      </c>
      <c r="AH1" s="43" t="s">
        <v>214</v>
      </c>
      <c r="AI1" s="43" t="s">
        <v>215</v>
      </c>
      <c r="AJ1" s="43" t="s">
        <v>216</v>
      </c>
      <c r="AK1" s="43" t="s">
        <v>217</v>
      </c>
      <c r="AL1" s="43" t="s">
        <v>218</v>
      </c>
      <c r="AM1" s="43" t="s">
        <v>219</v>
      </c>
    </row>
    <row r="2" spans="1:39" s="43" customFormat="1" x14ac:dyDescent="0.3">
      <c r="A2" s="43" t="s">
        <v>194</v>
      </c>
      <c r="B2" s="43" t="s">
        <v>223</v>
      </c>
      <c r="C2" s="43" t="s">
        <v>0</v>
      </c>
      <c r="D2" s="43" t="s">
        <v>222</v>
      </c>
      <c r="E2" s="43" t="s">
        <v>0</v>
      </c>
      <c r="F2" s="43" t="s">
        <v>222</v>
      </c>
      <c r="H2" s="43" t="s">
        <v>222</v>
      </c>
      <c r="I2" s="43" t="s">
        <v>0</v>
      </c>
      <c r="J2" s="43" t="s">
        <v>222</v>
      </c>
      <c r="K2" s="43" t="s">
        <v>222</v>
      </c>
      <c r="L2" s="43" t="s">
        <v>222</v>
      </c>
      <c r="M2" s="43" t="s">
        <v>222</v>
      </c>
      <c r="N2" s="43" t="s">
        <v>222</v>
      </c>
      <c r="O2" s="43" t="s">
        <v>0</v>
      </c>
      <c r="P2" s="43" t="s">
        <v>222</v>
      </c>
      <c r="Q2" s="43" t="s">
        <v>222</v>
      </c>
      <c r="R2" s="43" t="s">
        <v>222</v>
      </c>
      <c r="S2" s="43" t="s">
        <v>222</v>
      </c>
      <c r="T2" s="43" t="s">
        <v>222</v>
      </c>
      <c r="U2" s="43" t="s">
        <v>0</v>
      </c>
      <c r="V2" s="43" t="s">
        <v>222</v>
      </c>
      <c r="W2" s="43" t="s">
        <v>0</v>
      </c>
      <c r="X2" s="43" t="s">
        <v>222</v>
      </c>
      <c r="Y2" s="43" t="s">
        <v>0</v>
      </c>
      <c r="Z2" s="43" t="s">
        <v>222</v>
      </c>
      <c r="AA2" s="43" t="s">
        <v>0</v>
      </c>
      <c r="AB2" s="43" t="s">
        <v>222</v>
      </c>
      <c r="AC2" s="43" t="s">
        <v>0</v>
      </c>
      <c r="AD2" s="43" t="s">
        <v>222</v>
      </c>
      <c r="AE2" s="43" t="s">
        <v>0</v>
      </c>
      <c r="AF2" s="43" t="s">
        <v>222</v>
      </c>
      <c r="AG2" s="43" t="s">
        <v>0</v>
      </c>
      <c r="AH2" s="43" t="s">
        <v>222</v>
      </c>
      <c r="AI2" s="43" t="s">
        <v>222</v>
      </c>
      <c r="AJ2" s="43" t="s">
        <v>222</v>
      </c>
      <c r="AK2" s="43" t="s">
        <v>222</v>
      </c>
      <c r="AL2" s="43" t="s">
        <v>222</v>
      </c>
      <c r="AM2" s="43" t="s">
        <v>222</v>
      </c>
    </row>
    <row r="3" spans="1:39" x14ac:dyDescent="0.3">
      <c r="A3" t="s">
        <v>244</v>
      </c>
      <c r="B3" s="4" t="s">
        <v>226</v>
      </c>
      <c r="C3" s="4" t="s">
        <v>129</v>
      </c>
      <c r="E3" s="4" t="s">
        <v>129</v>
      </c>
      <c r="F3">
        <f>'Imports - Data (Raw)'!G3/'Imports - Data (Raw)'!F3/F95</f>
        <v>67.059175730964981</v>
      </c>
      <c r="G3" s="4" t="s">
        <v>129</v>
      </c>
      <c r="H3">
        <f>'Imports - Data (Raw)'!J3/'Imports - Data (Raw)'!I3/F140</f>
        <v>47.801371549147184</v>
      </c>
      <c r="I3" s="4" t="s">
        <v>129</v>
      </c>
      <c r="J3">
        <f>'Imports - Data (Raw)'!M3/'Imports - Data (Raw)'!L3/F140</f>
        <v>76.305130204272572</v>
      </c>
      <c r="K3">
        <f>'Imports - Data (Raw)'!O3/'Imports - Data (Raw)'!N3/F140</f>
        <v>49.22525057147881</v>
      </c>
      <c r="L3">
        <f>'Imports - Data (Raw)'!Q3/'Imports - Data (Raw)'!P3/F140</f>
        <v>43.254801536491684</v>
      </c>
      <c r="M3">
        <f>'Imports - Data (Raw)'!S3/'Imports - Data (Raw)'!R3/F140</f>
        <v>38.843985120600564</v>
      </c>
      <c r="N3">
        <f>'Imports - Data (Raw)'!U3/'Imports - Data (Raw)'!T3/F140</f>
        <v>27.109090909090913</v>
      </c>
      <c r="O3" s="4" t="s">
        <v>129</v>
      </c>
      <c r="P3">
        <f>'Imports - Data (Raw)'!X3/'Imports - Data (Raw)'!W3/F140</f>
        <v>30.972663699936426</v>
      </c>
      <c r="Q3">
        <f>'Imports - Data (Raw)'!Z3/'Imports - Data (Raw)'!Y3/F140</f>
        <v>38.169890091164696</v>
      </c>
      <c r="R3">
        <f>'Imports - Data (Raw)'!AB3/'Imports - Data (Raw)'!AA3/F140</f>
        <v>41.757285776424538</v>
      </c>
      <c r="S3">
        <f>'Imports - Data (Raw)'!AD3/'Imports - Data (Raw)'!AC3/F140</f>
        <v>41.835924732688987</v>
      </c>
      <c r="T3">
        <f>'Imports - Data (Raw)'!AF3/'Imports - Data (Raw)'!AE3/F140</f>
        <v>36.391890937345487</v>
      </c>
      <c r="U3" s="4" t="s">
        <v>129</v>
      </c>
      <c r="V3">
        <f>'Imports - Data (Raw)'!AI3/'Imports - Data (Raw)'!AH3*D87</f>
        <v>57.148448837768584</v>
      </c>
      <c r="W3" s="4" t="s">
        <v>129</v>
      </c>
      <c r="X3">
        <f>'Imports - Data (Raw)'!AL3/'Imports - Data (Raw)'!AK3*D87</f>
        <v>56</v>
      </c>
      <c r="Y3" s="4" t="s">
        <v>129</v>
      </c>
      <c r="Z3">
        <f>'Imports - Data (Raw)'!AO3/'Imports - Data (Raw)'!AN3</f>
        <v>51.903114186851212</v>
      </c>
      <c r="AA3" s="4" t="s">
        <v>129</v>
      </c>
      <c r="AB3">
        <f>'Imports - Data (Raw)'!AR3/'Imports - Data (Raw)'!AQ3</f>
        <v>72.164948453608247</v>
      </c>
      <c r="AC3" s="4" t="s">
        <v>129</v>
      </c>
      <c r="AD3">
        <f>'Imports - Data (Raw)'!AU3/'Imports - Data (Raw)'!AT3</f>
        <v>72.599999999999994</v>
      </c>
      <c r="AE3" s="4" t="s">
        <v>129</v>
      </c>
      <c r="AG3" s="4" t="s">
        <v>129</v>
      </c>
      <c r="AH3">
        <f>'Imports - Data (Raw)'!BA3/'Imports - Data (Raw)'!AZ3/D94</f>
        <v>72.719298245614041</v>
      </c>
      <c r="AJ3">
        <f>'Imports - Data (Raw)'!BE3/'Imports - Data (Raw)'!BD3/D94</f>
        <v>64.0625</v>
      </c>
      <c r="AK3">
        <f>'Imports - Data (Raw)'!BG3/'Imports - Data (Raw)'!BF3/D94</f>
        <v>63.492063492063494</v>
      </c>
      <c r="AL3">
        <f>'Imports - Data (Raw)'!BI3/'Imports - Data (Raw)'!BH3/D94</f>
        <v>61.475409836065566</v>
      </c>
      <c r="AM3">
        <f>'Imports - Data (Raw)'!BK3/'Imports - Data (Raw)'!BJ3/D94</f>
        <v>60</v>
      </c>
    </row>
    <row r="4" spans="1:39" x14ac:dyDescent="0.3">
      <c r="A4" t="s">
        <v>314</v>
      </c>
      <c r="B4" s="4" t="s">
        <v>226</v>
      </c>
      <c r="C4" s="4" t="s">
        <v>129</v>
      </c>
      <c r="E4" t="s">
        <v>3</v>
      </c>
      <c r="G4" s="4" t="s">
        <v>3</v>
      </c>
      <c r="H4" s="67">
        <f>'Imports - Data (Raw)'!J4/'Imports - Data (Raw)'!I4/D117</f>
        <v>13.333333333333334</v>
      </c>
      <c r="I4" s="4" t="s">
        <v>3</v>
      </c>
      <c r="J4">
        <f>'Imports - Data (Raw)'!M4/'Imports - Data (Raw)'!L4/D117</f>
        <v>12.859756097560975</v>
      </c>
      <c r="K4">
        <f>'Imports - Data (Raw)'!O4/'Imports - Data (Raw)'!N4/D117</f>
        <v>12.935646053293112</v>
      </c>
      <c r="L4">
        <f>'Imports - Data (Raw)'!Q4/'Imports - Data (Raw)'!P4/D117</f>
        <v>13.333333333333334</v>
      </c>
      <c r="M4">
        <f>'Imports - Data (Raw)'!S4/'Imports - Data (Raw)'!R4/D117</f>
        <v>17.610860154338415</v>
      </c>
      <c r="N4">
        <f>'Imports - Data (Raw)'!U4/'Imports - Data (Raw)'!T4/D117</f>
        <v>16.666666666666668</v>
      </c>
      <c r="O4" s="4" t="s">
        <v>3</v>
      </c>
      <c r="U4" t="s">
        <v>3</v>
      </c>
      <c r="W4" s="4" t="s">
        <v>3</v>
      </c>
      <c r="Y4" s="4" t="s">
        <v>3</v>
      </c>
      <c r="AA4" s="4" t="s">
        <v>3</v>
      </c>
      <c r="AC4" s="4" t="s">
        <v>3</v>
      </c>
      <c r="AE4" s="4" t="s">
        <v>3</v>
      </c>
      <c r="AG4" t="s">
        <v>3</v>
      </c>
    </row>
    <row r="5" spans="1:39" x14ac:dyDescent="0.3">
      <c r="A5" t="s">
        <v>81</v>
      </c>
      <c r="B5" s="4" t="s">
        <v>226</v>
      </c>
      <c r="C5" s="4" t="s">
        <v>129</v>
      </c>
      <c r="E5" t="s">
        <v>3</v>
      </c>
      <c r="G5" s="4" t="s">
        <v>129</v>
      </c>
      <c r="H5">
        <f>'Imports - Data (Raw)'!J5/'Imports - Data (Raw)'!I5/F130</f>
        <v>10.434835939895738</v>
      </c>
      <c r="I5" s="4" t="s">
        <v>129</v>
      </c>
      <c r="J5">
        <f>'Imports - Data (Raw)'!M5/'Imports - Data (Raw)'!L5/F130</f>
        <v>12.444444444444445</v>
      </c>
      <c r="K5">
        <f>'Imports - Data (Raw)'!O5/'Imports - Data (Raw)'!N5/F130</f>
        <v>11.109420289855073</v>
      </c>
      <c r="L5">
        <f>'Imports - Data (Raw)'!Q5/'Imports - Data (Raw)'!P5/F130</f>
        <v>15.151227236737926</v>
      </c>
      <c r="M5">
        <f>'Imports - Data (Raw)'!S5/'Imports - Data (Raw)'!R5/F130</f>
        <v>7.9238095238095241</v>
      </c>
      <c r="N5">
        <f>'Imports - Data (Raw)'!U5/'Imports - Data (Raw)'!T5/F130</f>
        <v>5.9951474430757754</v>
      </c>
      <c r="O5" s="4" t="s">
        <v>129</v>
      </c>
      <c r="P5">
        <f>'Imports - Data (Raw)'!X5/'Imports - Data (Raw)'!W5/F130</f>
        <v>7.1794871794871797</v>
      </c>
      <c r="U5" t="s">
        <v>3</v>
      </c>
      <c r="W5" s="4" t="s">
        <v>3</v>
      </c>
      <c r="Y5" s="4" t="s">
        <v>3</v>
      </c>
      <c r="AA5" s="4" t="s">
        <v>3</v>
      </c>
      <c r="AC5" s="4" t="s">
        <v>3</v>
      </c>
      <c r="AE5" s="4" t="s">
        <v>3</v>
      </c>
      <c r="AG5" t="s">
        <v>3</v>
      </c>
    </row>
    <row r="6" spans="1:39" x14ac:dyDescent="0.3">
      <c r="A6" t="s">
        <v>315</v>
      </c>
      <c r="B6" s="4" t="s">
        <v>226</v>
      </c>
      <c r="C6" s="4" t="s">
        <v>129</v>
      </c>
      <c r="E6" t="s">
        <v>3</v>
      </c>
      <c r="G6" s="4" t="s">
        <v>3</v>
      </c>
      <c r="I6" s="4" t="s">
        <v>3</v>
      </c>
      <c r="O6" s="4" t="s">
        <v>129</v>
      </c>
      <c r="Q6">
        <f>'Imports - Data (Raw)'!Z6/'Imports - Data (Raw)'!Y6/F130</f>
        <v>8.5271317829457356</v>
      </c>
      <c r="R6">
        <f>'Imports - Data (Raw)'!AB6/'Imports - Data (Raw)'!AA6/F130</f>
        <v>10.882352941176471</v>
      </c>
      <c r="S6">
        <f>'Imports - Data (Raw)'!AD6/'Imports - Data (Raw)'!AC6/F130</f>
        <v>10.541871921182265</v>
      </c>
      <c r="T6">
        <f>'Imports - Data (Raw)'!AF6/'Imports - Data (Raw)'!AE6/F130</f>
        <v>10.709219858156027</v>
      </c>
      <c r="U6" t="s">
        <v>3</v>
      </c>
      <c r="W6" s="4" t="s">
        <v>3</v>
      </c>
      <c r="Y6" s="4" t="s">
        <v>3</v>
      </c>
      <c r="AA6" s="4" t="s">
        <v>3</v>
      </c>
      <c r="AC6" s="4" t="s">
        <v>3</v>
      </c>
      <c r="AE6" s="4" t="s">
        <v>3</v>
      </c>
      <c r="AG6" t="s">
        <v>3</v>
      </c>
    </row>
    <row r="7" spans="1:39" x14ac:dyDescent="0.3">
      <c r="A7" t="s">
        <v>325</v>
      </c>
      <c r="B7" s="4" t="s">
        <v>232</v>
      </c>
      <c r="C7" s="40" t="s">
        <v>119</v>
      </c>
      <c r="D7">
        <f>'Imports - Data (Raw)'!D7/'Imports - Data (Raw)'!C7</f>
        <v>0.54545454545454553</v>
      </c>
      <c r="E7" t="s">
        <v>11</v>
      </c>
      <c r="F7">
        <f>'Imports - Data (Raw)'!G7/'Imports - Data (Raw)'!F7</f>
        <v>0.54545454545454541</v>
      </c>
      <c r="G7" s="4" t="s">
        <v>11</v>
      </c>
      <c r="I7" s="4" t="s">
        <v>11</v>
      </c>
      <c r="O7" s="4" t="s">
        <v>11</v>
      </c>
      <c r="U7" t="s">
        <v>11</v>
      </c>
      <c r="W7" s="4" t="s">
        <v>11</v>
      </c>
      <c r="Y7" s="4" t="s">
        <v>11</v>
      </c>
      <c r="AA7" s="4" t="s">
        <v>11</v>
      </c>
      <c r="AC7" s="4" t="s">
        <v>11</v>
      </c>
      <c r="AE7" s="4" t="s">
        <v>11</v>
      </c>
      <c r="AG7" t="s">
        <v>11</v>
      </c>
    </row>
    <row r="8" spans="1:39" x14ac:dyDescent="0.3">
      <c r="A8" t="s">
        <v>316</v>
      </c>
      <c r="B8" s="4" t="s">
        <v>232</v>
      </c>
      <c r="C8" s="40" t="s">
        <v>119</v>
      </c>
      <c r="D8">
        <f>'Imports - Data (Raw)'!D8/'Imports - Data (Raw)'!C8</f>
        <v>0.63636363636363635</v>
      </c>
      <c r="E8" t="s">
        <v>11</v>
      </c>
      <c r="F8">
        <f>'Imports - Data (Raw)'!G8/'Imports - Data (Raw)'!F8</f>
        <v>0.63920454545454541</v>
      </c>
      <c r="G8" s="4" t="s">
        <v>11</v>
      </c>
      <c r="I8" s="4" t="s">
        <v>11</v>
      </c>
      <c r="O8" s="4" t="s">
        <v>11</v>
      </c>
      <c r="U8" t="s">
        <v>11</v>
      </c>
      <c r="V8">
        <f>'Imports - Data (Raw)'!AI8/'Imports - Data (Raw)'!AH8</f>
        <v>0.28000000000000003</v>
      </c>
      <c r="W8" s="4" t="s">
        <v>11</v>
      </c>
      <c r="Y8" s="4" t="s">
        <v>11</v>
      </c>
      <c r="AA8" s="4" t="s">
        <v>11</v>
      </c>
      <c r="AC8" s="4" t="s">
        <v>11</v>
      </c>
      <c r="AE8" s="4" t="s">
        <v>11</v>
      </c>
      <c r="AG8" t="s">
        <v>11</v>
      </c>
    </row>
    <row r="9" spans="1:39" x14ac:dyDescent="0.3">
      <c r="A9" t="s">
        <v>317</v>
      </c>
      <c r="B9" s="4" t="s">
        <v>232</v>
      </c>
      <c r="C9" s="40" t="s">
        <v>119</v>
      </c>
      <c r="D9">
        <f>'Imports - Data (Raw)'!D9/'Imports - Data (Raw)'!C9</f>
        <v>0.95454545454545447</v>
      </c>
      <c r="E9" t="s">
        <v>11</v>
      </c>
      <c r="F9">
        <f>'Imports - Data (Raw)'!G9/'Imports - Data (Raw)'!F9</f>
        <v>0.1364620228256592</v>
      </c>
      <c r="G9" s="4" t="s">
        <v>11</v>
      </c>
      <c r="I9" s="4" t="s">
        <v>11</v>
      </c>
      <c r="O9" s="4" t="s">
        <v>11</v>
      </c>
      <c r="U9" t="s">
        <v>11</v>
      </c>
      <c r="V9">
        <f>'Imports - Data (Raw)'!AI9/'Imports - Data (Raw)'!AH9</f>
        <v>0.34</v>
      </c>
      <c r="W9" s="4" t="s">
        <v>11</v>
      </c>
      <c r="Y9" s="4" t="s">
        <v>11</v>
      </c>
      <c r="AA9" s="4" t="s">
        <v>11</v>
      </c>
      <c r="AC9" s="4" t="s">
        <v>11</v>
      </c>
      <c r="AE9" s="4" t="s">
        <v>11</v>
      </c>
      <c r="AG9" t="s">
        <v>11</v>
      </c>
    </row>
    <row r="10" spans="1:39" x14ac:dyDescent="0.3">
      <c r="A10" t="s">
        <v>323</v>
      </c>
      <c r="B10" s="4" t="s">
        <v>232</v>
      </c>
      <c r="C10" s="40" t="s">
        <v>119</v>
      </c>
      <c r="D10">
        <f>'Imports - Data (Raw)'!D10/'Imports - Data (Raw)'!C10</f>
        <v>0.97499999999999998</v>
      </c>
      <c r="E10" t="s">
        <v>11</v>
      </c>
      <c r="F10">
        <f>'Imports - Data (Raw)'!G10/'Imports - Data (Raw)'!F10</f>
        <v>0.97278517660683261</v>
      </c>
      <c r="G10" s="4" t="s">
        <v>11</v>
      </c>
      <c r="I10" s="4" t="s">
        <v>11</v>
      </c>
      <c r="O10" s="4" t="s">
        <v>11</v>
      </c>
      <c r="U10" t="s">
        <v>11</v>
      </c>
      <c r="V10">
        <f>'Imports - Data (Raw)'!AI10/'Imports - Data (Raw)'!AH10</f>
        <v>0.36</v>
      </c>
      <c r="W10" s="4" t="s">
        <v>11</v>
      </c>
      <c r="Y10" s="4" t="s">
        <v>11</v>
      </c>
      <c r="AA10" s="4" t="s">
        <v>11</v>
      </c>
      <c r="AC10" s="4" t="s">
        <v>11</v>
      </c>
      <c r="AE10" s="4" t="s">
        <v>11</v>
      </c>
      <c r="AG10" t="s">
        <v>11</v>
      </c>
    </row>
    <row r="11" spans="1:39" x14ac:dyDescent="0.3">
      <c r="A11" t="s">
        <v>318</v>
      </c>
      <c r="B11" s="4" t="s">
        <v>232</v>
      </c>
      <c r="C11" s="40" t="s">
        <v>119</v>
      </c>
      <c r="D11">
        <f>'Imports - Data (Raw)'!D11/'Imports - Data (Raw)'!C11</f>
        <v>1.1363636363636362</v>
      </c>
      <c r="E11" t="s">
        <v>11</v>
      </c>
      <c r="F11">
        <f>'Imports - Data (Raw)'!G11/'Imports - Data (Raw)'!F11</f>
        <v>1.1374407582938388</v>
      </c>
      <c r="G11" s="4" t="s">
        <v>11</v>
      </c>
      <c r="I11" s="4" t="s">
        <v>11</v>
      </c>
      <c r="O11" s="4" t="s">
        <v>11</v>
      </c>
      <c r="U11" t="s">
        <v>11</v>
      </c>
      <c r="V11">
        <f>'Imports - Data (Raw)'!AI11/'Imports - Data (Raw)'!AH11</f>
        <v>0.44</v>
      </c>
      <c r="W11" s="4" t="s">
        <v>11</v>
      </c>
      <c r="Y11" s="4" t="s">
        <v>11</v>
      </c>
      <c r="AA11" s="4" t="s">
        <v>11</v>
      </c>
      <c r="AC11" s="4" t="s">
        <v>11</v>
      </c>
      <c r="AE11" s="4" t="s">
        <v>11</v>
      </c>
      <c r="AG11" t="s">
        <v>11</v>
      </c>
    </row>
    <row r="12" spans="1:39" x14ac:dyDescent="0.3">
      <c r="A12" t="s">
        <v>320</v>
      </c>
      <c r="B12" s="4" t="s">
        <v>232</v>
      </c>
      <c r="C12" s="40" t="s">
        <v>119</v>
      </c>
      <c r="E12" t="s">
        <v>11</v>
      </c>
      <c r="G12" s="4" t="s">
        <v>11</v>
      </c>
      <c r="I12" s="4" t="s">
        <v>11</v>
      </c>
      <c r="O12" s="4" t="s">
        <v>11</v>
      </c>
      <c r="U12" t="s">
        <v>11</v>
      </c>
      <c r="V12">
        <f>'Imports - Data (Raw)'!AI12/'Imports - Data (Raw)'!AH12</f>
        <v>0.48</v>
      </c>
      <c r="W12" s="4" t="s">
        <v>11</v>
      </c>
      <c r="Y12" s="4" t="s">
        <v>11</v>
      </c>
      <c r="AA12" s="4" t="s">
        <v>11</v>
      </c>
      <c r="AC12" s="4" t="s">
        <v>11</v>
      </c>
      <c r="AE12" s="4" t="s">
        <v>11</v>
      </c>
      <c r="AG12" t="s">
        <v>11</v>
      </c>
    </row>
    <row r="13" spans="1:39" x14ac:dyDescent="0.3">
      <c r="A13" t="s">
        <v>321</v>
      </c>
      <c r="B13" s="4" t="s">
        <v>232</v>
      </c>
      <c r="C13" s="40" t="s">
        <v>119</v>
      </c>
      <c r="E13" t="s">
        <v>11</v>
      </c>
      <c r="G13" s="4" t="s">
        <v>11</v>
      </c>
      <c r="I13" s="4" t="s">
        <v>11</v>
      </c>
      <c r="O13" s="4" t="s">
        <v>11</v>
      </c>
      <c r="U13" t="s">
        <v>11</v>
      </c>
      <c r="W13" s="4" t="s">
        <v>11</v>
      </c>
      <c r="X13">
        <f>'Imports - Data (Raw)'!AL13/'Imports - Data (Raw)'!AK13</f>
        <v>0.33663366336633666</v>
      </c>
      <c r="Y13" s="4" t="s">
        <v>11</v>
      </c>
      <c r="Z13">
        <f>'Imports - Data (Raw)'!AO13/'Imports - Data (Raw)'!AN13</f>
        <v>0.47488764044943821</v>
      </c>
      <c r="AA13" s="4" t="s">
        <v>11</v>
      </c>
      <c r="AB13">
        <f>'Imports - Data (Raw)'!AR13/'Imports - Data (Raw)'!AQ13</f>
        <v>0.43512315270935958</v>
      </c>
      <c r="AC13" s="4" t="s">
        <v>11</v>
      </c>
      <c r="AD13">
        <f>'Imports - Data (Raw)'!AU13/'Imports - Data (Raw)'!AT13</f>
        <v>0.33306010928961749</v>
      </c>
      <c r="AE13" s="4" t="s">
        <v>11</v>
      </c>
      <c r="AG13" t="s">
        <v>11</v>
      </c>
    </row>
    <row r="14" spans="1:39" x14ac:dyDescent="0.3">
      <c r="A14" t="s">
        <v>315</v>
      </c>
      <c r="B14" s="4" t="s">
        <v>232</v>
      </c>
      <c r="C14" s="40" t="s">
        <v>119</v>
      </c>
      <c r="E14" t="s">
        <v>11</v>
      </c>
      <c r="G14" s="4" t="s">
        <v>11</v>
      </c>
      <c r="I14" s="4" t="s">
        <v>11</v>
      </c>
      <c r="O14" s="4" t="s">
        <v>11</v>
      </c>
      <c r="U14" t="s">
        <v>11</v>
      </c>
      <c r="W14" s="4" t="s">
        <v>11</v>
      </c>
      <c r="Y14" s="4" t="s">
        <v>11</v>
      </c>
      <c r="AA14" s="4" t="s">
        <v>11</v>
      </c>
      <c r="AC14" s="4" t="s">
        <v>11</v>
      </c>
      <c r="AE14" s="4" t="s">
        <v>11</v>
      </c>
      <c r="AF14">
        <f>'Imports - Data (Raw)'!AX14/'Imports - Data (Raw)'!AW14</f>
        <v>0.34166666666666667</v>
      </c>
      <c r="AG14" t="s">
        <v>11</v>
      </c>
      <c r="AH14">
        <f>'Imports - Data (Raw)'!BA14/'Imports - Data (Raw)'!AZ14</f>
        <v>0.35806451612903228</v>
      </c>
      <c r="AI14">
        <f>'Imports - Data (Raw)'!BC14/'Imports - Data (Raw)'!BB14</f>
        <v>0.3576923076923077</v>
      </c>
      <c r="AJ14">
        <f>'Imports - Data (Raw)'!BE14/'Imports - Data (Raw)'!BD14</f>
        <v>0.33333333333333331</v>
      </c>
      <c r="AK14">
        <f>'Imports - Data (Raw)'!BG14/'Imports - Data (Raw)'!BF14</f>
        <v>0.33913043478260868</v>
      </c>
      <c r="AL14">
        <f>'Imports - Data (Raw)'!BI14/'Imports - Data (Raw)'!BH14</f>
        <v>0.33636363636363636</v>
      </c>
      <c r="AM14">
        <f>'Imports - Data (Raw)'!BK14/'Imports - Data (Raw)'!BJ14</f>
        <v>0.33429752066115703</v>
      </c>
    </row>
    <row r="15" spans="1:39" x14ac:dyDescent="0.3">
      <c r="A15" t="s">
        <v>322</v>
      </c>
      <c r="B15" s="4" t="s">
        <v>227</v>
      </c>
      <c r="C15" s="40" t="s">
        <v>120</v>
      </c>
      <c r="E15" t="s">
        <v>15</v>
      </c>
      <c r="G15" s="4" t="s">
        <v>15</v>
      </c>
      <c r="I15" s="4" t="s">
        <v>15</v>
      </c>
      <c r="O15" s="4" t="s">
        <v>15</v>
      </c>
      <c r="U15" t="s">
        <v>15</v>
      </c>
      <c r="W15" s="4" t="s">
        <v>15</v>
      </c>
      <c r="Y15" s="4" t="s">
        <v>15</v>
      </c>
      <c r="AA15" s="4" t="s">
        <v>15</v>
      </c>
      <c r="AC15" s="4" t="s">
        <v>15</v>
      </c>
      <c r="AE15" s="4" t="s">
        <v>15</v>
      </c>
      <c r="AF15">
        <f>'Imports - Data (Raw)'!AX15/'Imports - Data (Raw)'!AW15</f>
        <v>0.1</v>
      </c>
      <c r="AG15" t="s">
        <v>15</v>
      </c>
      <c r="AH15">
        <f>'Imports - Data (Raw)'!BA15/'Imports - Data (Raw)'!AZ15</f>
        <v>0.1</v>
      </c>
      <c r="AI15">
        <f>'Imports - Data (Raw)'!BC15/'Imports - Data (Raw)'!BB15</f>
        <v>0.1125</v>
      </c>
      <c r="AJ15">
        <f>'Imports - Data (Raw)'!BE15/'Imports - Data (Raw)'!BD15</f>
        <v>0.1</v>
      </c>
      <c r="AK15">
        <f>'Imports - Data (Raw)'!BG15/'Imports - Data (Raw)'!BF15</f>
        <v>0.1</v>
      </c>
      <c r="AL15">
        <f>'Imports - Data (Raw)'!BI15/'Imports - Data (Raw)'!BH15</f>
        <v>0.1</v>
      </c>
      <c r="AM15">
        <f>'Imports - Data (Raw)'!BK15/'Imports - Data (Raw)'!BJ15</f>
        <v>8.3673469387755099E-3</v>
      </c>
    </row>
    <row r="16" spans="1:39" x14ac:dyDescent="0.3">
      <c r="A16" t="s">
        <v>324</v>
      </c>
      <c r="B16" s="4" t="s">
        <v>228</v>
      </c>
      <c r="C16" s="40" t="s">
        <v>121</v>
      </c>
      <c r="D16">
        <f>'Imports - Data (Raw)'!D16/'Imports - Data (Raw)'!C16</f>
        <v>0.41818181818181821</v>
      </c>
      <c r="E16" t="s">
        <v>16</v>
      </c>
      <c r="G16" s="4" t="s">
        <v>16</v>
      </c>
      <c r="I16" s="4" t="s">
        <v>16</v>
      </c>
      <c r="O16" s="4" t="s">
        <v>16</v>
      </c>
      <c r="U16" t="s">
        <v>16</v>
      </c>
      <c r="W16" s="4" t="s">
        <v>16</v>
      </c>
      <c r="Y16" s="4" t="s">
        <v>16</v>
      </c>
      <c r="AA16" s="4" t="s">
        <v>16</v>
      </c>
      <c r="AC16" s="4" t="s">
        <v>16</v>
      </c>
      <c r="AE16" s="4" t="s">
        <v>16</v>
      </c>
      <c r="AG16" t="s">
        <v>16</v>
      </c>
    </row>
    <row r="17" spans="1:33" x14ac:dyDescent="0.3">
      <c r="A17" t="s">
        <v>82</v>
      </c>
      <c r="B17" s="4" t="s">
        <v>226</v>
      </c>
      <c r="C17" s="4" t="s">
        <v>129</v>
      </c>
      <c r="E17" s="4" t="s">
        <v>129</v>
      </c>
      <c r="G17" s="4" t="s">
        <v>129</v>
      </c>
      <c r="H17">
        <f>'Imports - Data (Raw)'!J17/'Imports - Data (Raw)'!I17/D118</f>
        <v>2.6914970325586558</v>
      </c>
      <c r="I17" s="4" t="s">
        <v>129</v>
      </c>
      <c r="J17">
        <f>'Imports - Data (Raw)'!M17/'Imports - Data (Raw)'!L17/D118</f>
        <v>1.5766244546347192</v>
      </c>
      <c r="K17">
        <f>'Imports - Data (Raw)'!O17/'Imports - Data (Raw)'!N17/D118</f>
        <v>1.612105783593865</v>
      </c>
      <c r="L17">
        <f>'Imports - Data (Raw)'!Q17/'Imports - Data (Raw)'!P17/D118</f>
        <v>5.0407350249434737</v>
      </c>
      <c r="M17">
        <f>'Imports - Data (Raw)'!S17/'Imports - Data (Raw)'!R17/D118</f>
        <v>13.422818791946309</v>
      </c>
      <c r="N17">
        <f>'Imports - Data (Raw)'!U17/'Imports - Data (Raw)'!T17/D118</f>
        <v>13.422818791946309</v>
      </c>
      <c r="O17" s="4" t="s">
        <v>129</v>
      </c>
      <c r="U17" t="s">
        <v>3</v>
      </c>
      <c r="W17" s="4" t="s">
        <v>3</v>
      </c>
      <c r="Y17" s="4" t="s">
        <v>3</v>
      </c>
      <c r="AA17" s="4" t="s">
        <v>3</v>
      </c>
      <c r="AC17" s="4" t="s">
        <v>3</v>
      </c>
      <c r="AE17" s="4" t="s">
        <v>3</v>
      </c>
      <c r="AG17" t="s">
        <v>3</v>
      </c>
    </row>
    <row r="18" spans="1:33" x14ac:dyDescent="0.3">
      <c r="A18" t="s">
        <v>163</v>
      </c>
      <c r="B18" s="4" t="s">
        <v>233</v>
      </c>
      <c r="C18" s="40" t="s">
        <v>122</v>
      </c>
      <c r="E18" t="s">
        <v>6</v>
      </c>
      <c r="G18" s="4" t="s">
        <v>6</v>
      </c>
      <c r="I18" s="4" t="s">
        <v>6</v>
      </c>
      <c r="O18" s="4" t="s">
        <v>6</v>
      </c>
      <c r="P18">
        <f>'Imports - Data (Raw)'!X18/'Imports - Data (Raw)'!W18</f>
        <v>0.37880645161290322</v>
      </c>
      <c r="Q18">
        <f>'Imports - Data (Raw)'!Z18/'Imports - Data (Raw)'!Y18</f>
        <v>0.38333333333333336</v>
      </c>
      <c r="R18">
        <f>'Imports - Data (Raw)'!AB18/'Imports - Data (Raw)'!AA18</f>
        <v>0.375</v>
      </c>
      <c r="S18">
        <f>'Imports - Data (Raw)'!AD18/'Imports - Data (Raw)'!AC18</f>
        <v>0.33950617283950618</v>
      </c>
      <c r="T18">
        <f>'Imports - Data (Raw)'!AF18/'Imports - Data (Raw)'!AE18</f>
        <v>0.33204633204633205</v>
      </c>
      <c r="U18" t="s">
        <v>6</v>
      </c>
      <c r="W18" s="4" t="s">
        <v>6</v>
      </c>
      <c r="Y18" s="4" t="s">
        <v>6</v>
      </c>
      <c r="AA18" s="4" t="s">
        <v>6</v>
      </c>
      <c r="AC18" s="4" t="s">
        <v>6</v>
      </c>
      <c r="AE18" s="4" t="s">
        <v>6</v>
      </c>
      <c r="AG18" t="s">
        <v>6</v>
      </c>
    </row>
    <row r="19" spans="1:33" x14ac:dyDescent="0.3">
      <c r="A19" t="s">
        <v>164</v>
      </c>
      <c r="B19" s="4" t="s">
        <v>233</v>
      </c>
      <c r="C19" s="40" t="s">
        <v>122</v>
      </c>
      <c r="D19">
        <f>'Imports - Data (Raw)'!D19/'Imports - Data (Raw)'!C19</f>
        <v>0.4363636363636364</v>
      </c>
      <c r="E19" t="s">
        <v>6</v>
      </c>
      <c r="F19">
        <f>'Imports - Data (Raw)'!G19/'Imports - Data (Raw)'!F19</f>
        <v>0.45454545454545453</v>
      </c>
      <c r="G19" s="4" t="s">
        <v>6</v>
      </c>
      <c r="I19" s="4" t="s">
        <v>6</v>
      </c>
      <c r="O19" s="4" t="s">
        <v>6</v>
      </c>
      <c r="U19" t="s">
        <v>6</v>
      </c>
      <c r="W19" s="4" t="s">
        <v>6</v>
      </c>
      <c r="Y19" s="4" t="s">
        <v>6</v>
      </c>
      <c r="AA19" s="4" t="s">
        <v>6</v>
      </c>
      <c r="AC19" s="4" t="s">
        <v>6</v>
      </c>
      <c r="AE19" s="4" t="s">
        <v>6</v>
      </c>
      <c r="AG19" t="s">
        <v>6</v>
      </c>
    </row>
    <row r="20" spans="1:33" x14ac:dyDescent="0.3">
      <c r="A20" t="s">
        <v>83</v>
      </c>
      <c r="B20" s="4" t="s">
        <v>233</v>
      </c>
      <c r="C20" s="40" t="s">
        <v>122</v>
      </c>
      <c r="D20">
        <f>'Imports - Data (Raw)'!D20/'Imports - Data (Raw)'!C20</f>
        <v>0.81818181818181823</v>
      </c>
      <c r="E20" t="s">
        <v>6</v>
      </c>
      <c r="F20">
        <f>'Imports - Data (Raw)'!G20/'Imports - Data (Raw)'!F20</f>
        <v>0.55168119551681194</v>
      </c>
      <c r="G20" s="4" t="s">
        <v>6</v>
      </c>
      <c r="I20" s="4" t="s">
        <v>6</v>
      </c>
      <c r="O20" s="4" t="s">
        <v>6</v>
      </c>
      <c r="U20" t="s">
        <v>6</v>
      </c>
      <c r="W20" s="4" t="s">
        <v>6</v>
      </c>
      <c r="Y20" s="4" t="s">
        <v>6</v>
      </c>
      <c r="AA20" s="4" t="s">
        <v>6</v>
      </c>
      <c r="AC20" s="4" t="s">
        <v>6</v>
      </c>
      <c r="AE20" s="4" t="s">
        <v>6</v>
      </c>
      <c r="AG20" t="s">
        <v>6</v>
      </c>
    </row>
    <row r="21" spans="1:33" x14ac:dyDescent="0.3">
      <c r="A21" t="s">
        <v>84</v>
      </c>
      <c r="B21" s="4" t="s">
        <v>233</v>
      </c>
      <c r="C21" s="40" t="s">
        <v>122</v>
      </c>
      <c r="D21">
        <f>'Imports - Data (Raw)'!D21/'Imports - Data (Raw)'!C21</f>
        <v>0.88545454545454549</v>
      </c>
      <c r="E21" t="s">
        <v>6</v>
      </c>
      <c r="F21">
        <f>'Imports - Data (Raw)'!G21/'Imports - Data (Raw)'!F21</f>
        <v>0.63636363636363635</v>
      </c>
      <c r="G21" s="4" t="s">
        <v>6</v>
      </c>
      <c r="I21" s="4" t="s">
        <v>6</v>
      </c>
      <c r="O21" s="4" t="s">
        <v>6</v>
      </c>
      <c r="U21" t="s">
        <v>6</v>
      </c>
      <c r="W21" s="4" t="s">
        <v>6</v>
      </c>
      <c r="Y21" s="4" t="s">
        <v>6</v>
      </c>
      <c r="AA21" s="4" t="s">
        <v>6</v>
      </c>
      <c r="AC21" s="4" t="s">
        <v>6</v>
      </c>
      <c r="AE21" s="4" t="s">
        <v>6</v>
      </c>
      <c r="AG21" t="s">
        <v>6</v>
      </c>
    </row>
    <row r="22" spans="1:33" x14ac:dyDescent="0.3">
      <c r="A22" t="s">
        <v>85</v>
      </c>
      <c r="B22" s="4" t="s">
        <v>233</v>
      </c>
      <c r="C22" s="40" t="s">
        <v>122</v>
      </c>
      <c r="D22">
        <f>'Imports - Data (Raw)'!D22/'Imports - Data (Raw)'!C22</f>
        <v>1.3090909090909091</v>
      </c>
      <c r="E22" t="s">
        <v>6</v>
      </c>
      <c r="G22" s="4" t="s">
        <v>6</v>
      </c>
      <c r="I22" s="4" t="s">
        <v>6</v>
      </c>
      <c r="O22" s="4" t="s">
        <v>6</v>
      </c>
      <c r="U22" t="s">
        <v>6</v>
      </c>
      <c r="W22" s="4" t="s">
        <v>6</v>
      </c>
      <c r="Y22" s="4" t="s">
        <v>6</v>
      </c>
      <c r="AA22" s="4" t="s">
        <v>6</v>
      </c>
      <c r="AC22" s="4" t="s">
        <v>6</v>
      </c>
      <c r="AE22" s="4" t="s">
        <v>6</v>
      </c>
      <c r="AG22" t="s">
        <v>6</v>
      </c>
    </row>
    <row r="23" spans="1:33" x14ac:dyDescent="0.3">
      <c r="A23" t="s">
        <v>86</v>
      </c>
      <c r="B23" s="4" t="s">
        <v>233</v>
      </c>
      <c r="C23" s="40" t="s">
        <v>122</v>
      </c>
      <c r="D23">
        <f>'Imports - Data (Raw)'!D23/'Imports - Data (Raw)'!C23</f>
        <v>0.4363636363636364</v>
      </c>
      <c r="E23" s="2" t="s">
        <v>125</v>
      </c>
      <c r="F23">
        <f>'Imports - Data (Raw)'!G23/'Imports - Data (Raw)'!F23</f>
        <v>4.1999999999999993</v>
      </c>
      <c r="G23" s="4" t="s">
        <v>17</v>
      </c>
      <c r="I23" s="4" t="s">
        <v>17</v>
      </c>
      <c r="O23" s="4" t="s">
        <v>17</v>
      </c>
      <c r="U23" t="s">
        <v>6</v>
      </c>
      <c r="W23" s="4" t="s">
        <v>6</v>
      </c>
      <c r="Y23" s="4" t="s">
        <v>6</v>
      </c>
      <c r="AA23" s="4" t="s">
        <v>6</v>
      </c>
      <c r="AC23" s="4" t="s">
        <v>6</v>
      </c>
      <c r="AE23" s="4" t="s">
        <v>6</v>
      </c>
      <c r="AG23" t="s">
        <v>6</v>
      </c>
    </row>
    <row r="24" spans="1:33" x14ac:dyDescent="0.3">
      <c r="A24" t="s">
        <v>87</v>
      </c>
      <c r="B24" s="4" t="s">
        <v>233</v>
      </c>
      <c r="C24" s="40" t="s">
        <v>122</v>
      </c>
      <c r="D24">
        <f>'Imports - Data (Raw)'!D24/'Imports - Data (Raw)'!C24</f>
        <v>0.29090909090909089</v>
      </c>
      <c r="E24" t="s">
        <v>6</v>
      </c>
      <c r="F24">
        <f>'Imports - Data (Raw)'!G24/'Imports - Data (Raw)'!F24</f>
        <v>0.1818181818181818</v>
      </c>
      <c r="G24" s="4" t="s">
        <v>6</v>
      </c>
      <c r="I24" s="4" t="s">
        <v>6</v>
      </c>
      <c r="O24" s="4" t="s">
        <v>6</v>
      </c>
      <c r="U24" t="s">
        <v>6</v>
      </c>
      <c r="W24" s="4" t="s">
        <v>6</v>
      </c>
      <c r="Y24" s="4" t="s">
        <v>6</v>
      </c>
      <c r="AA24" s="4" t="s">
        <v>6</v>
      </c>
      <c r="AC24" s="4" t="s">
        <v>6</v>
      </c>
      <c r="AE24" s="4" t="s">
        <v>6</v>
      </c>
      <c r="AG24" t="s">
        <v>6</v>
      </c>
    </row>
    <row r="25" spans="1:33" x14ac:dyDescent="0.3">
      <c r="A25" t="s">
        <v>88</v>
      </c>
      <c r="B25" s="4" t="s">
        <v>229</v>
      </c>
      <c r="C25" s="40" t="s">
        <v>123</v>
      </c>
      <c r="D25">
        <f>'Imports - Data (Raw)'!D25/'Imports - Data (Raw)'!C25</f>
        <v>0.90909090909090917</v>
      </c>
      <c r="E25" t="s">
        <v>18</v>
      </c>
      <c r="G25" s="4" t="s">
        <v>18</v>
      </c>
      <c r="I25" s="4" t="s">
        <v>18</v>
      </c>
      <c r="O25" s="4" t="s">
        <v>18</v>
      </c>
      <c r="U25" t="s">
        <v>18</v>
      </c>
      <c r="W25" s="4" t="s">
        <v>18</v>
      </c>
      <c r="Y25" s="4" t="s">
        <v>18</v>
      </c>
      <c r="AA25" s="4" t="s">
        <v>18</v>
      </c>
      <c r="AC25" s="4" t="s">
        <v>18</v>
      </c>
      <c r="AE25" s="4" t="s">
        <v>18</v>
      </c>
      <c r="AG25" t="s">
        <v>18</v>
      </c>
    </row>
    <row r="26" spans="1:33" x14ac:dyDescent="0.3">
      <c r="A26" t="s">
        <v>89</v>
      </c>
      <c r="B26" s="4" t="s">
        <v>234</v>
      </c>
      <c r="C26" s="40" t="s">
        <v>124</v>
      </c>
      <c r="D26">
        <f>'Imports - Data (Raw)'!D26/'Imports - Data (Raw)'!C26</f>
        <v>7.2727272727272725</v>
      </c>
      <c r="E26" t="s">
        <v>19</v>
      </c>
      <c r="G26" s="4" t="s">
        <v>19</v>
      </c>
      <c r="I26" s="4" t="s">
        <v>19</v>
      </c>
      <c r="O26" s="4" t="s">
        <v>19</v>
      </c>
      <c r="U26" t="s">
        <v>19</v>
      </c>
      <c r="W26" s="4" t="s">
        <v>19</v>
      </c>
      <c r="Y26" s="4" t="s">
        <v>19</v>
      </c>
      <c r="AA26" s="4" t="s">
        <v>19</v>
      </c>
      <c r="AC26" s="4" t="s">
        <v>19</v>
      </c>
      <c r="AE26" s="4" t="s">
        <v>19</v>
      </c>
      <c r="AG26" t="s">
        <v>19</v>
      </c>
    </row>
    <row r="27" spans="1:33" x14ac:dyDescent="0.3">
      <c r="A27" t="s">
        <v>90</v>
      </c>
      <c r="B27" s="4" t="s">
        <v>229</v>
      </c>
      <c r="C27" s="40" t="s">
        <v>123</v>
      </c>
      <c r="D27">
        <f>'Imports - Data (Raw)'!D27/'Imports - Data (Raw)'!C27</f>
        <v>1.5</v>
      </c>
      <c r="E27" t="s">
        <v>18</v>
      </c>
      <c r="G27" s="4" t="s">
        <v>18</v>
      </c>
      <c r="I27" s="4" t="s">
        <v>18</v>
      </c>
      <c r="O27" s="4" t="s">
        <v>18</v>
      </c>
      <c r="U27" t="s">
        <v>18</v>
      </c>
      <c r="W27" s="4" t="s">
        <v>18</v>
      </c>
      <c r="Y27" s="4" t="s">
        <v>18</v>
      </c>
      <c r="AA27" s="4" t="s">
        <v>18</v>
      </c>
      <c r="AC27" s="4" t="s">
        <v>18</v>
      </c>
      <c r="AE27" s="4" t="s">
        <v>18</v>
      </c>
      <c r="AG27" t="s">
        <v>18</v>
      </c>
    </row>
    <row r="28" spans="1:33" x14ac:dyDescent="0.3">
      <c r="A28" t="s">
        <v>165</v>
      </c>
      <c r="B28" s="4" t="s">
        <v>233</v>
      </c>
      <c r="C28" s="40" t="s">
        <v>122</v>
      </c>
      <c r="D28">
        <f>'Imports - Data (Raw)'!D28/'Imports - Data (Raw)'!C28</f>
        <v>1.4090909090909089</v>
      </c>
      <c r="E28" t="s">
        <v>6</v>
      </c>
      <c r="G28" s="4" t="s">
        <v>6</v>
      </c>
      <c r="I28" s="4" t="s">
        <v>6</v>
      </c>
      <c r="O28" s="4" t="s">
        <v>6</v>
      </c>
      <c r="U28" t="s">
        <v>6</v>
      </c>
      <c r="W28" s="4" t="s">
        <v>6</v>
      </c>
      <c r="Y28" s="4" t="s">
        <v>6</v>
      </c>
      <c r="AA28" s="4" t="s">
        <v>6</v>
      </c>
      <c r="AC28" s="4" t="s">
        <v>6</v>
      </c>
      <c r="AE28" s="4" t="s">
        <v>6</v>
      </c>
      <c r="AG28" t="s">
        <v>6</v>
      </c>
    </row>
    <row r="29" spans="1:33" x14ac:dyDescent="0.3">
      <c r="A29" t="s">
        <v>91</v>
      </c>
      <c r="B29" s="4" t="s">
        <v>233</v>
      </c>
      <c r="C29" s="40" t="s">
        <v>122</v>
      </c>
      <c r="D29">
        <f>'Imports - Data (Raw)'!D29/'Imports - Data (Raw)'!C29</f>
        <v>0.81818181818181823</v>
      </c>
      <c r="E29" t="s">
        <v>6</v>
      </c>
      <c r="F29">
        <f>'Imports - Data (Raw)'!G29/'Imports - Data (Raw)'!F29</f>
        <v>0.51194805194805204</v>
      </c>
      <c r="G29" s="4" t="s">
        <v>6</v>
      </c>
      <c r="I29" s="4" t="s">
        <v>6</v>
      </c>
      <c r="O29" s="2" t="s">
        <v>3</v>
      </c>
      <c r="P29">
        <f>'Imports - Data (Raw)'!X29/'Imports - Data (Raw)'!W29</f>
        <v>61.428571428571431</v>
      </c>
      <c r="Q29">
        <f>'Imports - Data (Raw)'!Z29/'Imports - Data (Raw)'!Y29</f>
        <v>61.53846153846154</v>
      </c>
      <c r="U29" t="s">
        <v>3</v>
      </c>
      <c r="W29" s="4" t="s">
        <v>3</v>
      </c>
      <c r="Y29" s="4" t="s">
        <v>3</v>
      </c>
      <c r="AA29" s="4" t="s">
        <v>3</v>
      </c>
      <c r="AC29" s="4" t="s">
        <v>3</v>
      </c>
      <c r="AE29" s="4" t="s">
        <v>3</v>
      </c>
      <c r="AG29" t="s">
        <v>3</v>
      </c>
    </row>
    <row r="30" spans="1:33" x14ac:dyDescent="0.3">
      <c r="A30" t="s">
        <v>326</v>
      </c>
      <c r="B30" s="4" t="s">
        <v>230</v>
      </c>
      <c r="C30" s="40" t="s">
        <v>125</v>
      </c>
      <c r="E30" t="s">
        <v>17</v>
      </c>
      <c r="F30">
        <f>'Imports - Data (Raw)'!G30/'Imports - Data (Raw)'!F30</f>
        <v>0.09</v>
      </c>
      <c r="G30" s="4" t="s">
        <v>17</v>
      </c>
      <c r="I30" s="4" t="s">
        <v>17</v>
      </c>
      <c r="O30" s="2" t="s">
        <v>3</v>
      </c>
      <c r="P30">
        <f>'Imports - Data (Raw)'!X30/'Imports - Data (Raw)'!W30</f>
        <v>44.299065420560744</v>
      </c>
      <c r="Q30">
        <f>'Imports - Data (Raw)'!Z30/'Imports - Data (Raw)'!Y30</f>
        <v>40.549273021001618</v>
      </c>
      <c r="U30" t="s">
        <v>3</v>
      </c>
      <c r="W30" s="4" t="s">
        <v>3</v>
      </c>
      <c r="Y30" s="4" t="s">
        <v>3</v>
      </c>
      <c r="AA30" s="4" t="s">
        <v>3</v>
      </c>
      <c r="AC30" s="4" t="s">
        <v>3</v>
      </c>
      <c r="AE30" s="4" t="s">
        <v>3</v>
      </c>
      <c r="AG30" t="s">
        <v>3</v>
      </c>
    </row>
    <row r="31" spans="1:33" x14ac:dyDescent="0.3">
      <c r="A31" t="s">
        <v>166</v>
      </c>
      <c r="B31" s="4" t="s">
        <v>235</v>
      </c>
      <c r="C31" s="40" t="s">
        <v>126</v>
      </c>
      <c r="E31" t="s">
        <v>9</v>
      </c>
      <c r="G31" s="4" t="s">
        <v>9</v>
      </c>
      <c r="I31" s="4" t="s">
        <v>9</v>
      </c>
      <c r="O31" s="4" t="s">
        <v>9</v>
      </c>
      <c r="P31">
        <f>'Imports - Data (Raw)'!X31/'Imports - Data (Raw)'!W31</f>
        <v>58.972972972972975</v>
      </c>
      <c r="Q31">
        <f>'Imports - Data (Raw)'!Z31/'Imports - Data (Raw)'!Y31</f>
        <v>60.615384615384613</v>
      </c>
      <c r="R31">
        <f>'Imports - Data (Raw)'!AB31/'Imports - Data (Raw)'!AA31</f>
        <v>58.098591549295776</v>
      </c>
      <c r="S31">
        <f>'Imports - Data (Raw)'!AD31/'Imports - Data (Raw)'!AC31</f>
        <v>64.21052631578948</v>
      </c>
      <c r="T31">
        <f>'Imports - Data (Raw)'!AF31/'Imports - Data (Raw)'!AE31</f>
        <v>57.058823529411768</v>
      </c>
      <c r="U31" t="s">
        <v>9</v>
      </c>
      <c r="W31" s="4" t="s">
        <v>9</v>
      </c>
      <c r="Y31" s="4" t="s">
        <v>9</v>
      </c>
      <c r="AA31" s="4" t="s">
        <v>9</v>
      </c>
      <c r="AC31" s="4" t="s">
        <v>9</v>
      </c>
      <c r="AE31" s="4" t="s">
        <v>9</v>
      </c>
      <c r="AG31" t="s">
        <v>9</v>
      </c>
    </row>
    <row r="32" spans="1:33" x14ac:dyDescent="0.3">
      <c r="A32" t="s">
        <v>167</v>
      </c>
      <c r="B32" s="4" t="s">
        <v>230</v>
      </c>
      <c r="C32" s="40" t="s">
        <v>125</v>
      </c>
      <c r="E32" t="s">
        <v>17</v>
      </c>
      <c r="F32">
        <f>'Imports - Data (Raw)'!G32/'Imports - Data (Raw)'!F32</f>
        <v>0.4</v>
      </c>
      <c r="G32" s="4" t="s">
        <v>17</v>
      </c>
      <c r="I32" s="4" t="s">
        <v>17</v>
      </c>
      <c r="O32" s="4" t="s">
        <v>17</v>
      </c>
      <c r="U32" t="s">
        <v>17</v>
      </c>
      <c r="W32" s="4" t="s">
        <v>17</v>
      </c>
      <c r="Y32" s="4" t="s">
        <v>17</v>
      </c>
      <c r="AA32" s="4" t="s">
        <v>17</v>
      </c>
      <c r="AC32" s="4" t="s">
        <v>17</v>
      </c>
      <c r="AE32" s="4" t="s">
        <v>17</v>
      </c>
      <c r="AG32" t="s">
        <v>17</v>
      </c>
    </row>
    <row r="33" spans="1:39" x14ac:dyDescent="0.3">
      <c r="A33" t="s">
        <v>92</v>
      </c>
      <c r="B33" s="4" t="s">
        <v>235</v>
      </c>
      <c r="C33" s="40" t="s">
        <v>126</v>
      </c>
      <c r="E33" t="s">
        <v>9</v>
      </c>
      <c r="G33" s="4" t="s">
        <v>9</v>
      </c>
      <c r="I33" s="4" t="s">
        <v>9</v>
      </c>
      <c r="O33" s="4" t="s">
        <v>9</v>
      </c>
      <c r="P33">
        <f>'Imports - Data (Raw)'!X33/'Imports - Data (Raw)'!W33</f>
        <v>78.142857142857139</v>
      </c>
      <c r="Q33">
        <f>'Imports - Data (Raw)'!Z33/'Imports - Data (Raw)'!Y33</f>
        <v>78.260869565217391</v>
      </c>
      <c r="R33">
        <f>'Imports - Data (Raw)'!AB33/'Imports - Data (Raw)'!AA33</f>
        <v>61.53846153846154</v>
      </c>
      <c r="S33">
        <f>'Imports - Data (Raw)'!AD33/'Imports - Data (Raw)'!AC33</f>
        <v>79.545454545454547</v>
      </c>
      <c r="T33">
        <f>'Imports - Data (Raw)'!AF33/'Imports - Data (Raw)'!AE33</f>
        <v>100</v>
      </c>
      <c r="U33" s="2" t="s">
        <v>20</v>
      </c>
      <c r="V33">
        <f>'Imports - Data (Raw)'!AI33/'Imports - Data (Raw)'!AH33</f>
        <v>0.58746736292428203</v>
      </c>
      <c r="W33" s="4" t="s">
        <v>20</v>
      </c>
      <c r="X33">
        <f>'Imports - Data (Raw)'!AL33/'Imports - Data (Raw)'!AK33</f>
        <v>0.66666666666666663</v>
      </c>
      <c r="Y33" s="4" t="s">
        <v>20</v>
      </c>
      <c r="Z33">
        <f>'Imports - Data (Raw)'!AO33/'Imports - Data (Raw)'!AN33</f>
        <v>0.66900819535039302</v>
      </c>
      <c r="AA33" s="4" t="s">
        <v>20</v>
      </c>
      <c r="AB33">
        <f>'Imports - Data (Raw)'!AR33/'Imports - Data (Raw)'!AQ33</f>
        <v>0.625</v>
      </c>
      <c r="AC33" s="4" t="s">
        <v>20</v>
      </c>
      <c r="AD33">
        <f>'Imports - Data (Raw)'!AU33/'Imports - Data (Raw)'!AT33</f>
        <v>0.78125</v>
      </c>
      <c r="AE33" s="4" t="s">
        <v>20</v>
      </c>
      <c r="AG33" s="4" t="s">
        <v>20</v>
      </c>
    </row>
    <row r="34" spans="1:39" x14ac:dyDescent="0.3">
      <c r="A34" t="s">
        <v>60</v>
      </c>
      <c r="B34" s="4" t="s">
        <v>226</v>
      </c>
      <c r="C34" s="40" t="s">
        <v>129</v>
      </c>
      <c r="E34" s="40" t="s">
        <v>129</v>
      </c>
      <c r="F34">
        <f>'Imports - Data (Raw)'!G34/'Imports - Data (Raw)'!F34/F95</f>
        <v>47.75426150538415</v>
      </c>
      <c r="G34" s="40" t="s">
        <v>129</v>
      </c>
      <c r="H34">
        <f>'Imports - Data (Raw)'!J34/'Imports - Data (Raw)'!I34/F150</f>
        <v>13.971830985915494</v>
      </c>
      <c r="I34" s="40" t="s">
        <v>129</v>
      </c>
      <c r="J34">
        <f>'Imports - Data (Raw)'!M34/'Imports - Data (Raw)'!L34/D149</f>
        <v>51.162893394965572</v>
      </c>
      <c r="K34">
        <f>'Imports - Data (Raw)'!O34/'Imports - Data (Raw)'!N34/D149</f>
        <v>76.002580837429832</v>
      </c>
      <c r="L34">
        <f>'Imports - Data (Raw)'!Q34/'Imports - Data (Raw)'!P34/D149</f>
        <v>60.709879428160306</v>
      </c>
      <c r="M34">
        <f>'Imports - Data (Raw)'!S34/'Imports - Data (Raw)'!R34/D149</f>
        <v>77.728403889754347</v>
      </c>
      <c r="N34">
        <f>'Imports - Data (Raw)'!U34/'Imports - Data (Raw)'!T34/D149</f>
        <v>45.161755916042971</v>
      </c>
      <c r="O34" s="40" t="s">
        <v>129</v>
      </c>
      <c r="P34">
        <f>'Imports - Data (Raw)'!X34/'Imports - Data (Raw)'!W34/D149</f>
        <v>10.515736800121381</v>
      </c>
      <c r="Q34">
        <f>'Imports - Data (Raw)'!Z34/'Imports - Data (Raw)'!Y34/D149</f>
        <v>47.154151092770711</v>
      </c>
      <c r="R34">
        <f>'Imports - Data (Raw)'!AB34/'Imports - Data (Raw)'!AA34/D149</f>
        <v>40.420034035479553</v>
      </c>
      <c r="S34">
        <f>'Imports - Data (Raw)'!AD34/'Imports - Data (Raw)'!AC34/D149</f>
        <v>38.639608560828385</v>
      </c>
      <c r="T34">
        <f>'Imports - Data (Raw)'!AF34/'Imports - Data (Raw)'!AE34/D149</f>
        <v>36.659699950653575</v>
      </c>
      <c r="U34" s="40" t="s">
        <v>129</v>
      </c>
      <c r="V34">
        <f>'Imports - Data (Raw)'!AI34/'Imports - Data (Raw)'!AH34</f>
        <v>25.062745098039215</v>
      </c>
      <c r="W34" s="4" t="s">
        <v>2</v>
      </c>
      <c r="X34">
        <f>'Imports - Data (Raw)'!AL34/'Imports - Data (Raw)'!AK34</f>
        <v>21.428571428571427</v>
      </c>
      <c r="Y34" s="40" t="s">
        <v>129</v>
      </c>
      <c r="Z34">
        <f>'Imports - Data (Raw)'!AO34/'Imports - Data (Raw)'!AN34</f>
        <v>13.632958801498127</v>
      </c>
      <c r="AA34" s="4" t="s">
        <v>2</v>
      </c>
      <c r="AB34">
        <f>'Imports - Data (Raw)'!AR34/'Imports - Data (Raw)'!AQ34</f>
        <v>15.116</v>
      </c>
      <c r="AC34" s="40" t="s">
        <v>129</v>
      </c>
      <c r="AD34">
        <f>'Imports - Data (Raw)'!AU34/'Imports - Data (Raw)'!AT34</f>
        <v>14.5</v>
      </c>
      <c r="AE34" s="4" t="s">
        <v>2</v>
      </c>
      <c r="AF34">
        <f>'Imports - Data (Raw)'!AX34/'Imports - Data (Raw)'!AW34</f>
        <v>16.5</v>
      </c>
      <c r="AG34" s="40" t="s">
        <v>129</v>
      </c>
    </row>
    <row r="35" spans="1:39" x14ac:dyDescent="0.3">
      <c r="A35" t="s">
        <v>93</v>
      </c>
      <c r="B35" s="4" t="s">
        <v>242</v>
      </c>
      <c r="C35" t="s">
        <v>134</v>
      </c>
      <c r="E35" t="s">
        <v>134</v>
      </c>
      <c r="F35">
        <f>'Imports - Data (Raw)'!G35/'Imports - Data (Raw)'!F35/D120</f>
        <v>4.6666666666666662E-2</v>
      </c>
      <c r="G35" t="s">
        <v>134</v>
      </c>
      <c r="H35">
        <f>'Imports - Data (Raw)'!J35/'Imports - Data (Raw)'!I35/D120</f>
        <v>4.0002113718030016E-2</v>
      </c>
      <c r="I35" s="4" t="s">
        <v>134</v>
      </c>
      <c r="J35">
        <f>'Imports - Data (Raw)'!M35/'Imports - Data (Raw)'!L35/D120</f>
        <v>3.7843881701008761E-2</v>
      </c>
      <c r="K35">
        <f>'Imports - Data (Raw)'!O35/'Imports - Data (Raw)'!N35/D120</f>
        <v>4.6284987661022403E-2</v>
      </c>
      <c r="L35">
        <f>'Imports - Data (Raw)'!Q35/'Imports - Data (Raw)'!P35/D120</f>
        <v>4.8480791090469121E-2</v>
      </c>
      <c r="M35">
        <f>'Imports - Data (Raw)'!S35/'Imports - Data (Raw)'!R35/D120</f>
        <v>4.5481670929241262E-2</v>
      </c>
      <c r="N35">
        <f>'Imports - Data (Raw)'!U35/'Imports - Data (Raw)'!T35/D120</f>
        <v>3.357098765432099E-2</v>
      </c>
      <c r="O35" s="4" t="s">
        <v>134</v>
      </c>
      <c r="P35">
        <f>'Imports - Data (Raw)'!X35/'Imports - Data (Raw)'!W35/D120</f>
        <v>3.6018087855297157E-2</v>
      </c>
      <c r="Q35">
        <f>'Imports - Data (Raw)'!Z35/'Imports - Data (Raw)'!Y35/D120</f>
        <v>3.5970899470899466E-2</v>
      </c>
      <c r="R35">
        <f>'Imports - Data (Raw)'!AB35/'Imports - Data (Raw)'!AA35/D120</f>
        <v>3.1974074074074071E-2</v>
      </c>
      <c r="S35">
        <f>'Imports - Data (Raw)'!AD35/'Imports - Data (Raw)'!AC35/D120</f>
        <v>3.5714285714285719E-2</v>
      </c>
      <c r="T35">
        <f>'Imports - Data (Raw)'!AF35/'Imports - Data (Raw)'!AE35/D120</f>
        <v>3.0940170940170944E-2</v>
      </c>
      <c r="U35" t="s">
        <v>134</v>
      </c>
      <c r="V35">
        <f>'Imports - Data (Raw)'!AI35/'Imports - Data (Raw)'!AH35/D120</f>
        <v>2.5396825396825397E-2</v>
      </c>
      <c r="W35" s="4" t="s">
        <v>134</v>
      </c>
      <c r="X35">
        <f>'Imports - Data (Raw)'!AL35/'Imports - Data (Raw)'!AK35/D120</f>
        <v>2.627851851851852E-2</v>
      </c>
      <c r="Y35" s="4" t="s">
        <v>134</v>
      </c>
      <c r="Z35">
        <f>'Imports - Data (Raw)'!AO35/'Imports - Data (Raw)'!AN35/D120</f>
        <v>2.7822944896115628E-2</v>
      </c>
      <c r="AA35" s="4" t="s">
        <v>134</v>
      </c>
      <c r="AB35">
        <f>'Imports - Data (Raw)'!AR35/'Imports - Data (Raw)'!AQ35/D120</f>
        <v>3.3400880535641241E-2</v>
      </c>
      <c r="AC35" s="4" t="s">
        <v>134</v>
      </c>
      <c r="AD35">
        <f>'Imports - Data (Raw)'!AU35/'Imports - Data (Raw)'!AT35/D120</f>
        <v>3.2373113854595334E-2</v>
      </c>
      <c r="AE35" s="4" t="s">
        <v>134</v>
      </c>
      <c r="AG35" t="s">
        <v>134</v>
      </c>
      <c r="AH35">
        <f>'Imports - Data (Raw)'!BA35/'Imports - Data (Raw)'!AZ35/D120</f>
        <v>3.4090909090909088E-2</v>
      </c>
      <c r="AJ35">
        <f>'Imports - Data (Raw)'!BE35/'Imports - Data (Raw)'!BD35/D120</f>
        <v>3.3333333333333333E-2</v>
      </c>
      <c r="AK35">
        <f>'Imports - Data (Raw)'!BG35/'Imports - Data (Raw)'!BF35/D120</f>
        <v>3.4722222222222224E-2</v>
      </c>
      <c r="AL35">
        <f>'Imports - Data (Raw)'!BI35/'Imports - Data (Raw)'!BH35/D120</f>
        <v>3.4722222222222224E-2</v>
      </c>
      <c r="AM35">
        <f>'Imports - Data (Raw)'!BK35/'Imports - Data (Raw)'!BJ35/D120</f>
        <v>3.7037037037037035E-2</v>
      </c>
    </row>
    <row r="36" spans="1:39" x14ac:dyDescent="0.3">
      <c r="A36" t="s">
        <v>62</v>
      </c>
      <c r="B36" s="4" t="s">
        <v>236</v>
      </c>
      <c r="C36" t="s">
        <v>131</v>
      </c>
      <c r="E36" t="s">
        <v>5</v>
      </c>
      <c r="F36">
        <f>'Imports - Data (Adjusted) - 1'!E36*20*20</f>
        <v>14.227131471408619</v>
      </c>
      <c r="G36" s="4" t="s">
        <v>5</v>
      </c>
      <c r="H36" s="1">
        <f>'Imports - Data (Adjusted) - 1'!G36/168*2240</f>
        <v>41.010120732858219</v>
      </c>
      <c r="I36" s="4"/>
      <c r="J36" s="4"/>
      <c r="K36" s="4"/>
      <c r="L36" s="4">
        <f>'Imports - Data (Adjusted) - 1'!K36/168*2240</f>
        <v>14.546115307738233</v>
      </c>
      <c r="M36" s="4">
        <f>'Imports - Data (Adjusted) - 1'!L36/168*2240</f>
        <v>29.014177382129905</v>
      </c>
      <c r="N36" s="4">
        <f>'Imports - Data (Adjusted) - 1'!M36/168*2240</f>
        <v>15.263140484932686</v>
      </c>
      <c r="O36" s="4" t="s">
        <v>5</v>
      </c>
      <c r="P36">
        <f>'Imports - Data (Adjusted) - 1'!O36*20</f>
        <v>19.012410879324001</v>
      </c>
      <c r="Q36">
        <f>'Imports - Data (Adjusted) - 1'!P36*20</f>
        <v>16.377649325626205</v>
      </c>
      <c r="R36">
        <f>'Imports - Data (Adjusted) - 1'!Q36*20</f>
        <v>17.066666666666666</v>
      </c>
      <c r="S36">
        <f>'Imports - Data (Adjusted) - 1'!R36*20</f>
        <v>19.106759016001909</v>
      </c>
      <c r="T36">
        <f>'Imports - Data (Adjusted) - 1'!S36*20</f>
        <v>16.279069767441861</v>
      </c>
      <c r="U36" s="4" t="s">
        <v>5</v>
      </c>
      <c r="V36">
        <f>'Imports - Data (Adjusted) - 1'!U36*20</f>
        <v>16</v>
      </c>
      <c r="W36" s="4" t="s">
        <v>5</v>
      </c>
      <c r="X36">
        <f>'Imports - Data (Adjusted) - 1'!W36*20</f>
        <v>15.925925925925926</v>
      </c>
      <c r="Y36" s="4" t="s">
        <v>5</v>
      </c>
      <c r="Z36">
        <f>'Imports - Data (Adjusted) - 1'!Y36*20</f>
        <v>16.279069767441861</v>
      </c>
      <c r="AA36" s="4" t="s">
        <v>5</v>
      </c>
      <c r="AB36">
        <f>'Imports - Data (Adjusted) - 1'!AA36*20</f>
        <v>16.5</v>
      </c>
      <c r="AC36" s="4" t="s">
        <v>5</v>
      </c>
      <c r="AD36">
        <f>'Imports - Data (Adjusted) - 1'!AC36*20</f>
        <v>14.761904761904763</v>
      </c>
      <c r="AE36" s="4"/>
      <c r="AG36" s="4" t="s">
        <v>5</v>
      </c>
      <c r="AJ36">
        <f>'Imports - Data (Raw)'!BE36/'Imports - Data (Raw)'!BD36</f>
        <v>20</v>
      </c>
      <c r="AK36">
        <f>'Imports - Data (Raw)'!BG36/'Imports - Data (Raw)'!BF36</f>
        <v>20</v>
      </c>
      <c r="AL36">
        <f>'Imports - Data (Raw)'!BI36/'Imports - Data (Raw)'!BH36</f>
        <v>20</v>
      </c>
      <c r="AM36">
        <f>'Imports - Data (Raw)'!BK36/'Imports - Data (Raw)'!BJ36</f>
        <v>20</v>
      </c>
    </row>
    <row r="37" spans="1:39" x14ac:dyDescent="0.3">
      <c r="A37" t="s">
        <v>59</v>
      </c>
      <c r="B37" s="4" t="s">
        <v>236</v>
      </c>
      <c r="C37" t="s">
        <v>131</v>
      </c>
      <c r="E37" t="s">
        <v>5</v>
      </c>
      <c r="F37">
        <f>'Imports - Data (Adjusted) - 1'!E37*20*20</f>
        <v>65.454545454545453</v>
      </c>
      <c r="G37" s="4" t="s">
        <v>5</v>
      </c>
      <c r="H37" s="4">
        <f>'Imports - Data (Adjusted) - 1'!G37/168*2240</f>
        <v>75.719298245614041</v>
      </c>
      <c r="I37" s="4"/>
      <c r="J37" s="4">
        <f>'Imports - Data (Adjusted) - 1'!I37/168*2240</f>
        <v>79.514767932489434</v>
      </c>
      <c r="K37" s="4">
        <f>'Imports - Data (Adjusted) - 1'!J37/168*2240</f>
        <v>97.013429544998999</v>
      </c>
      <c r="L37" s="4">
        <f>'Imports - Data (Adjusted) - 1'!K37/168*2240</f>
        <v>233.62122495060686</v>
      </c>
      <c r="M37" s="4">
        <f>'Imports - Data (Adjusted) - 1'!L37/168*2240</f>
        <v>216.16464704750913</v>
      </c>
      <c r="N37" s="4">
        <f>'Imports - Data (Adjusted) - 1'!M37/168*2240</f>
        <v>40.928859894377133</v>
      </c>
      <c r="O37" s="4" t="s">
        <v>5</v>
      </c>
      <c r="P37">
        <f>'Imports - Data (Adjusted) - 1'!O37*20</f>
        <v>115.14285714285714</v>
      </c>
      <c r="Q37">
        <f>'Imports - Data (Adjusted) - 1'!P37*20</f>
        <v>115.10857142857142</v>
      </c>
      <c r="R37">
        <f>'Imports - Data (Adjusted) - 1'!Q37*20</f>
        <v>115.19999999999999</v>
      </c>
      <c r="S37">
        <f>'Imports - Data (Adjusted) - 1'!R37*20</f>
        <v>106.66666666666666</v>
      </c>
      <c r="T37">
        <f>'Imports - Data (Adjusted) - 1'!S37*20</f>
        <v>101.58730158730158</v>
      </c>
      <c r="U37" s="4" t="s">
        <v>2</v>
      </c>
      <c r="V37">
        <f>'Imports - Data (Adjusted) - 1'!U37*20</f>
        <v>16.074418604651164</v>
      </c>
      <c r="W37" t="s">
        <v>5</v>
      </c>
      <c r="X37">
        <f>'Imports - Data (Adjusted) - 1'!W37*20</f>
        <v>47.41379310344827</v>
      </c>
      <c r="Y37" t="s">
        <v>5</v>
      </c>
      <c r="Z37">
        <f>'Imports - Data (Adjusted) - 1'!Y37*20</f>
        <v>47.770700636942678</v>
      </c>
      <c r="AA37" t="s">
        <v>5</v>
      </c>
      <c r="AB37">
        <f>'Imports - Data (Adjusted) - 1'!AA37*20</f>
        <v>48.421052631578945</v>
      </c>
      <c r="AC37" t="s">
        <v>5</v>
      </c>
      <c r="AD37">
        <f>'Imports - Data (Adjusted) - 1'!AC37*20</f>
        <v>61.871345029239762</v>
      </c>
      <c r="AG37" s="4" t="s">
        <v>5</v>
      </c>
      <c r="AJ37">
        <f>'Imports - Data (Raw)'!BE37/'Imports - Data (Raw)'!BD37</f>
        <v>55.555555555555557</v>
      </c>
      <c r="AK37">
        <f>'Imports - Data (Raw)'!BG37/'Imports - Data (Raw)'!BF37</f>
        <v>87.5</v>
      </c>
      <c r="AL37">
        <f>'Imports - Data (Raw)'!BI37/'Imports - Data (Raw)'!BH37</f>
        <v>74</v>
      </c>
      <c r="AM37">
        <f>'Imports - Data (Raw)'!BK37/'Imports - Data (Raw)'!BJ37</f>
        <v>80</v>
      </c>
    </row>
    <row r="38" spans="1:39" x14ac:dyDescent="0.3">
      <c r="A38" t="s">
        <v>73</v>
      </c>
      <c r="B38" s="4" t="s">
        <v>236</v>
      </c>
      <c r="C38" t="s">
        <v>131</v>
      </c>
      <c r="E38" t="s">
        <v>5</v>
      </c>
      <c r="F38">
        <f>'Imports - Data (Adjusted) - 1'!E38*1016.05/(42/20)</f>
        <v>19.353333333333332</v>
      </c>
      <c r="G38" s="4"/>
      <c r="H38" s="4"/>
      <c r="I38" s="4"/>
      <c r="J38" s="4"/>
      <c r="K38" s="4"/>
      <c r="L38" s="4"/>
      <c r="M38" s="4"/>
      <c r="N38" s="4"/>
      <c r="O38" t="s">
        <v>5</v>
      </c>
      <c r="P38">
        <f>'Imports - Data (Adjusted) - 1'!O38*20</f>
        <v>23.534469200524249</v>
      </c>
      <c r="Q38">
        <f>'Imports - Data (Adjusted) - 1'!P38*20</f>
        <v>24.070588235294117</v>
      </c>
      <c r="R38">
        <f>'Imports - Data (Adjusted) - 1'!Q38*20</f>
        <v>24</v>
      </c>
      <c r="S38">
        <f>'Imports - Data (Adjusted) - 1'!R38*20</f>
        <v>21.333333333333332</v>
      </c>
      <c r="T38">
        <f>'Imports - Data (Adjusted) - 1'!S38*20</f>
        <v>17.054263565891471</v>
      </c>
      <c r="U38" t="s">
        <v>5</v>
      </c>
      <c r="V38">
        <f>'Imports - Data (Adjusted) - 1'!U38*20</f>
        <v>16.8</v>
      </c>
      <c r="W38" t="s">
        <v>5</v>
      </c>
      <c r="X38">
        <f>'Imports - Data (Adjusted) - 1'!W38*20</f>
        <v>0</v>
      </c>
      <c r="Y38" t="s">
        <v>5</v>
      </c>
      <c r="Z38">
        <f>'Imports - Data (Adjusted) - 1'!Y38*20</f>
        <v>18.669778296382731</v>
      </c>
      <c r="AA38" t="s">
        <v>5</v>
      </c>
      <c r="AB38">
        <f>'Imports - Data (Adjusted) - 1'!AA38*20</f>
        <v>14.285714285714286</v>
      </c>
      <c r="AC38" t="s">
        <v>5</v>
      </c>
      <c r="AD38">
        <f>'Imports - Data (Adjusted) - 1'!AC38*20</f>
        <v>18.050541516245488</v>
      </c>
      <c r="AE38" s="4" t="s">
        <v>5</v>
      </c>
      <c r="AF38">
        <f>'Imports - Data (Raw)'!AX38/'Imports - Data (Raw)'!AW38</f>
        <v>13.2</v>
      </c>
      <c r="AG38" s="4" t="s">
        <v>5</v>
      </c>
      <c r="AH38">
        <f>'Imports - Data (Raw)'!BA38/'Imports - Data (Raw)'!AZ38</f>
        <v>13.461538461538462</v>
      </c>
      <c r="AJ38">
        <f>'Imports - Data (Raw)'!BE38/'Imports - Data (Raw)'!BD38</f>
        <v>18.333333333333332</v>
      </c>
      <c r="AK38">
        <f>'Imports - Data (Raw)'!BG38/'Imports - Data (Raw)'!BF38</f>
        <v>22.3</v>
      </c>
      <c r="AL38">
        <f>'Imports - Data (Raw)'!BI38/'Imports - Data (Raw)'!BH38</f>
        <v>19.375</v>
      </c>
      <c r="AM38">
        <f>'Imports - Data (Raw)'!BK38/'Imports - Data (Raw)'!BJ38</f>
        <v>19.204545454545453</v>
      </c>
    </row>
    <row r="39" spans="1:39" x14ac:dyDescent="0.3">
      <c r="A39" t="s">
        <v>94</v>
      </c>
      <c r="B39" s="4" t="s">
        <v>226</v>
      </c>
      <c r="C39" s="40" t="s">
        <v>129</v>
      </c>
      <c r="E39" s="40" t="s">
        <v>129</v>
      </c>
      <c r="G39" s="40" t="s">
        <v>129</v>
      </c>
      <c r="H39">
        <f>'Imports - Data (Raw)'!J39/'Imports - Data (Raw)'!I39/F166</f>
        <v>3.0293159609120521</v>
      </c>
      <c r="I39" s="40" t="s">
        <v>129</v>
      </c>
      <c r="J39">
        <f>'Imports - Data (Raw)'!M39/'Imports - Data (Raw)'!L39/F166</f>
        <v>4.3672680412371134</v>
      </c>
      <c r="K39">
        <f>'Imports - Data (Raw)'!O39/'Imports - Data (Raw)'!N39/F166</f>
        <v>3.3234200743494422</v>
      </c>
      <c r="L39">
        <f>'Imports - Data (Raw)'!Q39/'Imports - Data (Raw)'!P39</f>
        <v>6.5621052631578944</v>
      </c>
      <c r="M39">
        <f>'Imports - Data (Raw)'!S39/'Imports - Data (Raw)'!R39/F166</f>
        <v>4.4987633965375107</v>
      </c>
      <c r="O39" s="4" t="s">
        <v>23</v>
      </c>
      <c r="U39" s="2" t="s">
        <v>2</v>
      </c>
      <c r="W39" s="4" t="s">
        <v>2</v>
      </c>
      <c r="X39">
        <f>'Imports - Data (Raw)'!AL39/'Imports - Data (Raw)'!AK39</f>
        <v>3.3333333333333335</v>
      </c>
      <c r="Y39" s="4" t="s">
        <v>2</v>
      </c>
      <c r="AA39" s="4" t="s">
        <v>2</v>
      </c>
      <c r="AC39" s="4" t="s">
        <v>2</v>
      </c>
      <c r="AE39" s="4" t="s">
        <v>2</v>
      </c>
      <c r="AG39" s="4" t="s">
        <v>2</v>
      </c>
    </row>
    <row r="40" spans="1:39" x14ac:dyDescent="0.3">
      <c r="A40" t="s">
        <v>95</v>
      </c>
      <c r="B40" s="4" t="s">
        <v>236</v>
      </c>
      <c r="C40" t="s">
        <v>131</v>
      </c>
      <c r="E40" t="s">
        <v>131</v>
      </c>
      <c r="F40">
        <f>'Imports - Data (Raw)'!G40/'Imports - Data (Raw)'!F40*H94</f>
        <v>76.36363636363636</v>
      </c>
      <c r="G40" t="s">
        <v>22</v>
      </c>
      <c r="I40" s="4" t="s">
        <v>22</v>
      </c>
      <c r="O40" s="4" t="s">
        <v>22</v>
      </c>
      <c r="U40" s="4" t="s">
        <v>22</v>
      </c>
      <c r="W40" s="4" t="s">
        <v>22</v>
      </c>
      <c r="Y40" s="4" t="s">
        <v>22</v>
      </c>
      <c r="AA40" s="4" t="s">
        <v>22</v>
      </c>
      <c r="AC40" s="4" t="s">
        <v>22</v>
      </c>
      <c r="AE40" s="4" t="s">
        <v>22</v>
      </c>
      <c r="AG40" s="4" t="s">
        <v>22</v>
      </c>
    </row>
    <row r="41" spans="1:39" x14ac:dyDescent="0.3">
      <c r="A41" t="s">
        <v>72</v>
      </c>
      <c r="B41" s="4" t="s">
        <v>238</v>
      </c>
      <c r="C41" s="40" t="s">
        <v>129</v>
      </c>
      <c r="E41" s="4" t="s">
        <v>2</v>
      </c>
      <c r="G41" s="4" t="s">
        <v>2</v>
      </c>
      <c r="I41" s="4" t="s">
        <v>2</v>
      </c>
      <c r="O41" s="4" t="s">
        <v>2</v>
      </c>
      <c r="U41" s="4" t="s">
        <v>2</v>
      </c>
      <c r="V41">
        <f>'Imports - Data (Raw)'!AI41/'Imports - Data (Raw)'!AH41</f>
        <v>3.2</v>
      </c>
      <c r="W41" s="4" t="s">
        <v>2</v>
      </c>
      <c r="X41">
        <f>'Imports - Data (Raw)'!AL41/'Imports - Data (Raw)'!AK41</f>
        <v>3.2673267326732671</v>
      </c>
      <c r="Y41" s="4" t="s">
        <v>2</v>
      </c>
      <c r="AA41" s="4" t="s">
        <v>2</v>
      </c>
      <c r="AC41" s="4" t="s">
        <v>2</v>
      </c>
      <c r="AE41" s="4" t="s">
        <v>2</v>
      </c>
      <c r="AG41" s="4" t="s">
        <v>2</v>
      </c>
    </row>
    <row r="42" spans="1:39" x14ac:dyDescent="0.3">
      <c r="A42" t="s">
        <v>96</v>
      </c>
      <c r="B42" s="4" t="s">
        <v>235</v>
      </c>
      <c r="C42" s="40" t="s">
        <v>126</v>
      </c>
      <c r="E42" t="s">
        <v>9</v>
      </c>
      <c r="G42" t="s">
        <v>9</v>
      </c>
      <c r="H42">
        <f>'Imports - Data (Raw)'!J42/'Imports - Data (Raw)'!I42</f>
        <v>3</v>
      </c>
      <c r="I42" s="4" t="s">
        <v>9</v>
      </c>
      <c r="O42" s="4" t="s">
        <v>9</v>
      </c>
      <c r="U42" t="s">
        <v>9</v>
      </c>
      <c r="W42" s="4" t="s">
        <v>9</v>
      </c>
      <c r="Y42" s="4" t="s">
        <v>9</v>
      </c>
      <c r="AA42" s="4" t="s">
        <v>9</v>
      </c>
      <c r="AC42" s="4" t="s">
        <v>9</v>
      </c>
      <c r="AE42" s="4" t="s">
        <v>9</v>
      </c>
      <c r="AG42" t="s">
        <v>9</v>
      </c>
    </row>
    <row r="43" spans="1:39" x14ac:dyDescent="0.3">
      <c r="A43" t="s">
        <v>71</v>
      </c>
      <c r="B43" s="4" t="s">
        <v>238</v>
      </c>
      <c r="C43" s="40" t="s">
        <v>129</v>
      </c>
      <c r="E43" s="4" t="s">
        <v>24</v>
      </c>
      <c r="G43" s="4" t="s">
        <v>24</v>
      </c>
      <c r="H43">
        <f>'Imports - Data (Raw)'!J43/'Imports - Data (Raw)'!I43</f>
        <v>1.0096566523605151</v>
      </c>
      <c r="I43" s="4" t="s">
        <v>24</v>
      </c>
      <c r="O43" s="4" t="s">
        <v>301</v>
      </c>
      <c r="P43">
        <f>'Imports - Data (Raw)'!X43/'Imports - Data (Raw)'!W43</f>
        <v>0.35978378378378378</v>
      </c>
      <c r="Q43">
        <f>'Imports - Data (Raw)'!Z43/'Imports - Data (Raw)'!Y43</f>
        <v>0.35952941176470588</v>
      </c>
      <c r="R43">
        <f>'Imports - Data (Raw)'!AB43/'Imports - Data (Raw)'!AA43</f>
        <v>0.3075</v>
      </c>
      <c r="S43">
        <f>'Imports - Data (Raw)'!AD43/'Imports - Data (Raw)'!AC43</f>
        <v>0.25600000000000001</v>
      </c>
      <c r="T43">
        <f>'Imports - Data (Raw)'!AF43/'Imports - Data (Raw)'!AE43</f>
        <v>0.216</v>
      </c>
      <c r="U43" s="4" t="s">
        <v>301</v>
      </c>
      <c r="V43">
        <f>'Imports - Data (Raw)'!AI43/'Imports - Data (Raw)'!AH43</f>
        <v>0.28000000000000003</v>
      </c>
      <c r="W43" s="4" t="s">
        <v>301</v>
      </c>
      <c r="X43">
        <f>'Imports - Data (Raw)'!AL43/'Imports - Data (Raw)'!AK43/D94</f>
        <v>0.27875586854460094</v>
      </c>
      <c r="Y43" s="4" t="s">
        <v>301</v>
      </c>
      <c r="Z43">
        <f>'Imports - Data (Raw)'!AO43/'Imports - Data (Raw)'!AN43/D94</f>
        <v>0.19047619047619047</v>
      </c>
      <c r="AA43" s="4" t="s">
        <v>301</v>
      </c>
      <c r="AB43">
        <f>'Imports - Data (Raw)'!AR43/'Imports - Data (Raw)'!AQ43/D94</f>
        <v>0.20681818181818185</v>
      </c>
      <c r="AC43" s="4" t="s">
        <v>301</v>
      </c>
      <c r="AD43">
        <f>'Imports - Data (Raw)'!AU43/'Imports - Data (Raw)'!AT43/D94</f>
        <v>0.20449275362318842</v>
      </c>
      <c r="AE43" s="4" t="s">
        <v>301</v>
      </c>
      <c r="AG43" s="4" t="s">
        <v>301</v>
      </c>
      <c r="AH43">
        <f>'Imports - Data (Raw)'!BA43/'Imports - Data (Raw)'!AZ43/D94</f>
        <v>0.19117647058823531</v>
      </c>
      <c r="AJ43">
        <f>'Imports - Data (Raw)'!BE43/'Imports - Data (Raw)'!BD43/D94</f>
        <v>0.19642857142857142</v>
      </c>
      <c r="AK43">
        <f>'Imports - Data (Raw)'!BG43/'Imports - Data (Raw)'!BF43/D94</f>
        <v>0.2</v>
      </c>
      <c r="AL43">
        <f>'Imports - Data (Raw)'!BI43/'Imports - Data (Raw)'!BH43/D94</f>
        <v>0.21875</v>
      </c>
      <c r="AM43">
        <f>'Imports - Data (Raw)'!BK43/'Imports - Data (Raw)'!BJ43/D94</f>
        <v>0.22058823529411767</v>
      </c>
    </row>
    <row r="44" spans="1:39" x14ac:dyDescent="0.3">
      <c r="A44" t="s">
        <v>67</v>
      </c>
      <c r="B44" s="4" t="s">
        <v>233</v>
      </c>
      <c r="C44" s="40" t="s">
        <v>302</v>
      </c>
      <c r="E44" s="4" t="s">
        <v>131</v>
      </c>
      <c r="F44">
        <f>'Imports - Data (Raw)'!G44/'Imports - Data (Raw)'!F44/H97</f>
        <v>24.81818181818182</v>
      </c>
      <c r="G44" s="2" t="s">
        <v>302</v>
      </c>
      <c r="H44">
        <f>'Imports - Data (Raw)'!J44/'Imports - Data (Raw)'!I44</f>
        <v>0.19388791432000738</v>
      </c>
      <c r="I44" s="4" t="s">
        <v>302</v>
      </c>
      <c r="J44">
        <f>'Imports - Data (Raw)'!M44/'Imports - Data (Raw)'!L44</f>
        <v>1.0906363636363636</v>
      </c>
      <c r="K44">
        <f>'Imports - Data (Raw)'!O44/'Imports - Data (Raw)'!N44</f>
        <v>1.0593730697961705</v>
      </c>
      <c r="L44">
        <f>'Imports - Data (Raw)'!Q44/'Imports - Data (Raw)'!P44</f>
        <v>0.48578227971686599</v>
      </c>
      <c r="M44">
        <f>'Imports - Data (Raw)'!S44/'Imports - Data (Raw)'!R44</f>
        <v>0.545826571650321</v>
      </c>
      <c r="N44">
        <f>'Imports - Data (Raw)'!U44/'Imports - Data (Raw)'!T44</f>
        <v>0.57555188289458148</v>
      </c>
      <c r="O44" s="2" t="s">
        <v>5</v>
      </c>
      <c r="P44">
        <f>'Imports - Data (Raw)'!X44/'Imports - Data (Raw)'!W44</f>
        <v>12.164579606440071</v>
      </c>
      <c r="Q44">
        <f>'Imports - Data (Raw)'!Z44/'Imports - Data (Raw)'!Y44</f>
        <v>11.851851851851851</v>
      </c>
      <c r="R44">
        <f>'Imports - Data (Raw)'!AB44/'Imports - Data (Raw)'!AA44</f>
        <v>12.682926829268293</v>
      </c>
      <c r="S44">
        <f>'Imports - Data (Raw)'!AD44/'Imports - Data (Raw)'!AC44</f>
        <v>12</v>
      </c>
      <c r="T44">
        <f>'Imports - Data (Raw)'!AF44/'Imports - Data (Raw)'!AE44</f>
        <v>12.8</v>
      </c>
      <c r="U44" s="4" t="s">
        <v>5</v>
      </c>
      <c r="V44">
        <f>'Imports - Data (Raw)'!AI44/'Imports - Data (Raw)'!AH44</f>
        <v>18.666666666666668</v>
      </c>
      <c r="W44" s="4" t="s">
        <v>5</v>
      </c>
      <c r="X44">
        <f>'Imports - Data (Raw)'!AL44/'Imports - Data (Raw)'!AK44</f>
        <v>13.93188854489164</v>
      </c>
      <c r="Y44" s="4" t="s">
        <v>5</v>
      </c>
      <c r="Z44">
        <f>'Imports - Data (Raw)'!AO44/'Imports - Data (Raw)'!AN44</f>
        <v>10.59047619047619</v>
      </c>
      <c r="AA44" s="4" t="s">
        <v>5</v>
      </c>
      <c r="AB44">
        <f>'Imports - Data (Raw)'!AR44/'Imports - Data (Raw)'!AQ44</f>
        <v>10.24421052631579</v>
      </c>
      <c r="AC44" s="4" t="s">
        <v>5</v>
      </c>
      <c r="AD44">
        <f>'Imports - Data (Raw)'!AU44/'Imports - Data (Raw)'!AT44</f>
        <v>10.333333333333334</v>
      </c>
      <c r="AE44" s="4" t="s">
        <v>5</v>
      </c>
      <c r="AF44">
        <f>'Imports - Data (Raw)'!AX44/'Imports - Data (Raw)'!AW44</f>
        <v>9.4827586206896548</v>
      </c>
      <c r="AG44" s="4" t="s">
        <v>5</v>
      </c>
      <c r="AH44">
        <f>'Imports - Data (Raw)'!BA44/'Imports - Data (Raw)'!AZ44</f>
        <v>11.470588235294118</v>
      </c>
      <c r="AI44">
        <f>'Imports - Data (Raw)'!BC44/'Imports - Data (Raw)'!BB44</f>
        <v>11.666666666666666</v>
      </c>
      <c r="AJ44">
        <f>'Imports - Data (Raw)'!BE44/'Imports - Data (Raw)'!BD44</f>
        <v>10.909090909090908</v>
      </c>
      <c r="AK44">
        <f>'Imports - Data (Raw)'!BG44/'Imports - Data (Raw)'!BF44</f>
        <v>11.666666666666666</v>
      </c>
      <c r="AL44">
        <f>'Imports - Data (Raw)'!BI44/'Imports - Data (Raw)'!BH44</f>
        <v>11.666666666666666</v>
      </c>
      <c r="AM44">
        <f>'Imports - Data (Raw)'!BK44/'Imports - Data (Raw)'!BJ44</f>
        <v>11.363636363636363</v>
      </c>
    </row>
    <row r="45" spans="1:39" x14ac:dyDescent="0.3">
      <c r="A45" t="s">
        <v>65</v>
      </c>
      <c r="B45" s="4" t="s">
        <v>236</v>
      </c>
      <c r="C45" t="s">
        <v>131</v>
      </c>
      <c r="E45" t="s">
        <v>131</v>
      </c>
      <c r="F45">
        <f>'Imports - Data (Raw)'!G45/'Imports - Data (Raw)'!F45*H94</f>
        <v>87.818181818181813</v>
      </c>
      <c r="G45" s="2" t="s">
        <v>26</v>
      </c>
      <c r="H45">
        <f>'Imports - Data (Raw)'!J45/'Imports - Data (Raw)'!I45</f>
        <v>18.930327868852459</v>
      </c>
      <c r="I45" s="4" t="s">
        <v>26</v>
      </c>
      <c r="J45">
        <f>'Imports - Data (Raw)'!M45/'Imports - Data (Raw)'!L45</f>
        <v>10.447718631178708</v>
      </c>
      <c r="K45">
        <f>'Imports - Data (Raw)'!O45/'Imports - Data (Raw)'!N45</f>
        <v>9.6971279373368144</v>
      </c>
      <c r="L45">
        <f>'Imports - Data (Raw)'!Q45/'Imports - Data (Raw)'!P45</f>
        <v>14.402277039848197</v>
      </c>
      <c r="M45">
        <f>'Imports - Data (Raw)'!S45/'Imports - Data (Raw)'!R45</f>
        <v>14.09433962264151</v>
      </c>
      <c r="N45">
        <f>'Imports - Data (Raw)'!U45/'Imports - Data (Raw)'!T45</f>
        <v>8.3568329718004346</v>
      </c>
      <c r="O45" s="4" t="s">
        <v>26</v>
      </c>
      <c r="U45" s="2" t="s">
        <v>5</v>
      </c>
      <c r="V45">
        <f>'Imports - Data (Raw)'!AI45/'Imports - Data (Raw)'!AH45</f>
        <v>97.647058823529406</v>
      </c>
      <c r="W45" s="4" t="s">
        <v>5</v>
      </c>
      <c r="X45">
        <f>'Imports - Data (Raw)'!AL45/'Imports - Data (Raw)'!AK45</f>
        <v>95.238095238095241</v>
      </c>
      <c r="Y45" s="4" t="s">
        <v>5</v>
      </c>
      <c r="Z45">
        <f>'Imports - Data (Raw)'!AO45/'Imports - Data (Raw)'!AN45</f>
        <v>86.4</v>
      </c>
      <c r="AA45" s="4" t="s">
        <v>5</v>
      </c>
      <c r="AB45">
        <f>'Imports - Data (Raw)'!AR45/'Imports - Data (Raw)'!AQ45</f>
        <v>83.5</v>
      </c>
      <c r="AC45" s="4" t="s">
        <v>5</v>
      </c>
      <c r="AD45">
        <f>'Imports - Data (Raw)'!AU45/'Imports - Data (Raw)'!AT45</f>
        <v>100</v>
      </c>
      <c r="AE45" s="4" t="s">
        <v>5</v>
      </c>
      <c r="AF45">
        <f>'Imports - Data (Raw)'!AX45/'Imports - Data (Raw)'!AW45</f>
        <v>100</v>
      </c>
      <c r="AG45" s="4" t="s">
        <v>5</v>
      </c>
      <c r="AH45">
        <f>'Imports - Data (Raw)'!BA45/'Imports - Data (Raw)'!AZ45</f>
        <v>118</v>
      </c>
      <c r="AI45">
        <f>'Imports - Data (Raw)'!BC45/'Imports - Data (Raw)'!BB45</f>
        <v>120</v>
      </c>
      <c r="AJ45">
        <f>'Imports - Data (Raw)'!BE45/'Imports - Data (Raw)'!BD45</f>
        <v>120</v>
      </c>
      <c r="AK45">
        <f>'Imports - Data (Raw)'!BG45/'Imports - Data (Raw)'!BF45</f>
        <v>140</v>
      </c>
      <c r="AL45">
        <f>'Imports - Data (Raw)'!BI45/'Imports - Data (Raw)'!BH45</f>
        <v>136.36363636363637</v>
      </c>
      <c r="AM45">
        <f>'Imports - Data (Raw)'!BK45/'Imports - Data (Raw)'!BJ45</f>
        <v>140</v>
      </c>
    </row>
    <row r="46" spans="1:39" x14ac:dyDescent="0.3">
      <c r="A46" t="s">
        <v>97</v>
      </c>
      <c r="B46" s="4" t="s">
        <v>236</v>
      </c>
      <c r="C46" s="40" t="s">
        <v>131</v>
      </c>
      <c r="E46" t="s">
        <v>5</v>
      </c>
      <c r="G46" t="s">
        <v>5</v>
      </c>
      <c r="I46" s="4" t="s">
        <v>5</v>
      </c>
      <c r="O46" s="4" t="s">
        <v>5</v>
      </c>
      <c r="P46">
        <f>'Imports - Data (Raw)'!X46/'Imports - Data (Raw)'!W46</f>
        <v>85</v>
      </c>
      <c r="Q46">
        <f>'Imports - Data (Raw)'!Z46/'Imports - Data (Raw)'!Y46</f>
        <v>66.666666666666671</v>
      </c>
      <c r="R46">
        <f>'Imports - Data (Raw)'!AB46/'Imports - Data (Raw)'!AA46</f>
        <v>66</v>
      </c>
      <c r="S46">
        <f>'Imports - Data (Raw)'!AD46/'Imports - Data (Raw)'!AC46</f>
        <v>72</v>
      </c>
      <c r="T46">
        <f>'Imports - Data (Raw)'!AF46/'Imports - Data (Raw)'!AE46</f>
        <v>72.518518518518519</v>
      </c>
      <c r="U46" t="s">
        <v>5</v>
      </c>
      <c r="W46" s="4" t="s">
        <v>5</v>
      </c>
      <c r="Y46" s="4" t="s">
        <v>5</v>
      </c>
      <c r="AA46" s="4" t="s">
        <v>5</v>
      </c>
      <c r="AC46" s="4" t="s">
        <v>5</v>
      </c>
      <c r="AE46" s="4" t="s">
        <v>5</v>
      </c>
      <c r="AG46" s="4" t="s">
        <v>5</v>
      </c>
    </row>
    <row r="47" spans="1:39" x14ac:dyDescent="0.3">
      <c r="A47" t="s">
        <v>68</v>
      </c>
      <c r="B47" s="4" t="s">
        <v>236</v>
      </c>
      <c r="C47" s="40" t="s">
        <v>131</v>
      </c>
      <c r="E47" t="s">
        <v>5</v>
      </c>
      <c r="G47" t="s">
        <v>5</v>
      </c>
      <c r="I47" s="4" t="s">
        <v>5</v>
      </c>
      <c r="O47" s="4" t="s">
        <v>5</v>
      </c>
      <c r="U47" t="s">
        <v>5</v>
      </c>
      <c r="V47">
        <f>'Imports - Data (Raw)'!AI47/'Imports - Data (Raw)'!AH47</f>
        <v>79.069767441860463</v>
      </c>
      <c r="W47" s="4" t="s">
        <v>5</v>
      </c>
      <c r="X47">
        <f>'Imports - Data (Raw)'!AL47/'Imports - Data (Raw)'!AK47</f>
        <v>90.909090909090907</v>
      </c>
      <c r="Y47" s="4" t="s">
        <v>5</v>
      </c>
      <c r="Z47">
        <f>'Imports - Data (Raw)'!AO47/'Imports - Data (Raw)'!AN47</f>
        <v>80</v>
      </c>
      <c r="AA47" s="4" t="s">
        <v>5</v>
      </c>
      <c r="AB47">
        <f>'Imports - Data (Raw)'!AR47/'Imports - Data (Raw)'!AQ47</f>
        <v>55.2</v>
      </c>
      <c r="AC47" s="4" t="s">
        <v>5</v>
      </c>
      <c r="AD47">
        <f>'Imports - Data (Raw)'!AU47/'Imports - Data (Raw)'!AT47</f>
        <v>56.451612903225808</v>
      </c>
      <c r="AE47" s="4" t="s">
        <v>5</v>
      </c>
      <c r="AF47">
        <f>'Imports - Data (Raw)'!AX47/'Imports - Data (Raw)'!AW47</f>
        <v>80.459770114942529</v>
      </c>
      <c r="AG47" s="4" t="s">
        <v>5</v>
      </c>
      <c r="AH47">
        <f>'Imports - Data (Raw)'!BA47/'Imports - Data (Raw)'!AZ47</f>
        <v>109.09090909090909</v>
      </c>
      <c r="AI47">
        <f>'Imports - Data (Raw)'!BC47/'Imports - Data (Raw)'!BB47</f>
        <v>112.5</v>
      </c>
      <c r="AJ47">
        <f>'Imports - Data (Raw)'!BE47/'Imports - Data (Raw)'!BD47</f>
        <v>100</v>
      </c>
      <c r="AK47">
        <f>'Imports - Data (Raw)'!BG47/'Imports - Data (Raw)'!BF47</f>
        <v>100</v>
      </c>
    </row>
    <row r="48" spans="1:39" x14ac:dyDescent="0.3">
      <c r="A48" t="s">
        <v>66</v>
      </c>
      <c r="B48" s="4" t="s">
        <v>237</v>
      </c>
      <c r="C48" s="40" t="s">
        <v>128</v>
      </c>
      <c r="E48" t="s">
        <v>24</v>
      </c>
      <c r="G48" t="s">
        <v>24</v>
      </c>
      <c r="H48">
        <f>'Imports - Data (Raw)'!J48/'Imports - Data (Raw)'!I48</f>
        <v>17.264367816091955</v>
      </c>
      <c r="I48" s="4" t="s">
        <v>24</v>
      </c>
      <c r="J48">
        <f>'Imports - Data (Raw)'!M48/'Imports - Data (Raw)'!L48</f>
        <v>14.9</v>
      </c>
      <c r="K48">
        <f>'Imports - Data (Raw)'!O48/'Imports - Data (Raw)'!N48</f>
        <v>13.540816326530612</v>
      </c>
      <c r="L48">
        <f>'Imports - Data (Raw)'!Q48/'Imports - Data (Raw)'!P48</f>
        <v>2.5321100917431192</v>
      </c>
      <c r="M48">
        <f>'Imports - Data (Raw)'!S48/'Imports - Data (Raw)'!R48</f>
        <v>9.8888888888888893</v>
      </c>
      <c r="O48" s="4" t="s">
        <v>24</v>
      </c>
      <c r="U48" s="2" t="s">
        <v>5</v>
      </c>
      <c r="W48" s="4" t="s">
        <v>5</v>
      </c>
      <c r="X48">
        <f>'Imports - Data (Raw)'!AL48/'Imports - Data (Raw)'!AK48</f>
        <v>133.33333333333334</v>
      </c>
      <c r="Y48" s="4" t="s">
        <v>5</v>
      </c>
      <c r="AA48" s="4" t="s">
        <v>5</v>
      </c>
      <c r="AC48" s="4" t="s">
        <v>5</v>
      </c>
      <c r="AE48" s="4" t="s">
        <v>5</v>
      </c>
      <c r="AG48" s="4" t="s">
        <v>5</v>
      </c>
    </row>
    <row r="49" spans="1:37" x14ac:dyDescent="0.3">
      <c r="A49" t="s">
        <v>168</v>
      </c>
      <c r="B49" s="4" t="s">
        <v>236</v>
      </c>
      <c r="C49" t="s">
        <v>131</v>
      </c>
      <c r="E49" t="s">
        <v>131</v>
      </c>
      <c r="F49">
        <f>'Imports - Data (Raw)'!G49/'Imports - Data (Raw)'!F49*H94</f>
        <v>152.72727272727272</v>
      </c>
      <c r="G49" t="s">
        <v>22</v>
      </c>
      <c r="I49" s="4" t="s">
        <v>22</v>
      </c>
      <c r="O49" s="4" t="s">
        <v>22</v>
      </c>
      <c r="U49" t="s">
        <v>22</v>
      </c>
      <c r="W49" s="4" t="s">
        <v>22</v>
      </c>
      <c r="Y49" s="4" t="s">
        <v>22</v>
      </c>
      <c r="AA49" s="4" t="s">
        <v>22</v>
      </c>
      <c r="AC49" s="4" t="s">
        <v>22</v>
      </c>
      <c r="AE49" s="4" t="s">
        <v>22</v>
      </c>
      <c r="AG49" t="s">
        <v>22</v>
      </c>
    </row>
    <row r="50" spans="1:37" x14ac:dyDescent="0.3">
      <c r="A50" t="s">
        <v>169</v>
      </c>
      <c r="B50" s="4" t="s">
        <v>236</v>
      </c>
      <c r="C50" t="s">
        <v>131</v>
      </c>
      <c r="E50" t="s">
        <v>131</v>
      </c>
      <c r="F50">
        <f>'Imports - Data (Raw)'!G50/'Imports - Data (Raw)'!F50*H94</f>
        <v>7.6363636363636358</v>
      </c>
      <c r="G50" t="s">
        <v>22</v>
      </c>
      <c r="I50" s="4" t="s">
        <v>22</v>
      </c>
      <c r="O50" s="4" t="s">
        <v>22</v>
      </c>
      <c r="U50" t="s">
        <v>22</v>
      </c>
      <c r="W50" s="4" t="s">
        <v>22</v>
      </c>
      <c r="Y50" s="4" t="s">
        <v>22</v>
      </c>
      <c r="AA50" s="4" t="s">
        <v>22</v>
      </c>
      <c r="AC50" s="4" t="s">
        <v>22</v>
      </c>
      <c r="AE50" s="4" t="s">
        <v>22</v>
      </c>
      <c r="AG50" t="s">
        <v>22</v>
      </c>
    </row>
    <row r="51" spans="1:37" x14ac:dyDescent="0.3">
      <c r="A51" t="s">
        <v>99</v>
      </c>
      <c r="B51" s="4" t="s">
        <v>236</v>
      </c>
      <c r="C51" s="40" t="s">
        <v>131</v>
      </c>
      <c r="E51" s="4" t="s">
        <v>5</v>
      </c>
      <c r="G51" s="4" t="s">
        <v>5</v>
      </c>
      <c r="I51" s="4" t="s">
        <v>5</v>
      </c>
      <c r="O51" s="4" t="s">
        <v>5</v>
      </c>
      <c r="U51" s="4" t="s">
        <v>5</v>
      </c>
      <c r="W51" s="4" t="s">
        <v>5</v>
      </c>
      <c r="Y51" s="4" t="s">
        <v>5</v>
      </c>
      <c r="Z51">
        <f>'Imports - Data (Raw)'!AO51/'Imports - Data (Raw)'!AN51</f>
        <v>56.533333333333331</v>
      </c>
      <c r="AA51" s="4" t="s">
        <v>5</v>
      </c>
      <c r="AC51" s="4" t="s">
        <v>5</v>
      </c>
      <c r="AE51" s="4" t="s">
        <v>5</v>
      </c>
      <c r="AG51" s="4" t="s">
        <v>5</v>
      </c>
    </row>
    <row r="52" spans="1:37" x14ac:dyDescent="0.3">
      <c r="A52" t="s">
        <v>100</v>
      </c>
      <c r="B52" s="4" t="s">
        <v>238</v>
      </c>
      <c r="C52" s="40" t="s">
        <v>129</v>
      </c>
      <c r="E52" t="s">
        <v>18</v>
      </c>
      <c r="G52" s="40" t="s">
        <v>129</v>
      </c>
      <c r="H52">
        <f>'Imports - Data (Raw)'!J52/'Imports - Data (Raw)'!I52*D167</f>
        <v>15.784881922563418</v>
      </c>
      <c r="I52" s="40" t="s">
        <v>129</v>
      </c>
      <c r="J52">
        <f>'Imports - Data (Raw)'!M52/'Imports - Data (Raw)'!L52*D167</f>
        <v>18.413324610817945</v>
      </c>
      <c r="K52">
        <f>'Imports - Data (Raw)'!O52/'Imports - Data (Raw)'!N52*D167</f>
        <v>17.50111187096774</v>
      </c>
      <c r="L52">
        <f>'Imports - Data (Raw)'!Q52/'Imports - Data (Raw)'!P52*D167</f>
        <v>21.206374729950902</v>
      </c>
      <c r="M52">
        <f>'Imports - Data (Raw)'!S52/'Imports - Data (Raw)'!R52*D167</f>
        <v>29.335702659478887</v>
      </c>
      <c r="N52">
        <f>'Imports - Data (Raw)'!U52/'Imports - Data (Raw)'!T52*D167</f>
        <v>8.3227040676567654</v>
      </c>
      <c r="O52" s="40" t="s">
        <v>129</v>
      </c>
      <c r="P52">
        <f>'Imports - Data (Raw)'!X52/'Imports - Data (Raw)'!W52*D167</f>
        <v>8.1859512500000005</v>
      </c>
      <c r="Q52">
        <f>'Imports - Data (Raw)'!Z52/'Imports - Data (Raw)'!Y52*D167</f>
        <v>8.2189739130434791</v>
      </c>
      <c r="U52" s="40" t="s">
        <v>129</v>
      </c>
      <c r="V52">
        <f>'Imports - Data (Raw)'!AI52/'Imports - Data (Raw)'!AH52</f>
        <v>26.829268292682926</v>
      </c>
      <c r="W52" s="40" t="s">
        <v>129</v>
      </c>
      <c r="X52">
        <f>'Imports - Data (Raw)'!AL52/'Imports - Data (Raw)'!AK52</f>
        <v>26.666666666666668</v>
      </c>
      <c r="Y52" s="40" t="s">
        <v>129</v>
      </c>
      <c r="Z52">
        <f>'Imports - Data (Raw)'!AO52/'Imports - Data (Raw)'!AN52</f>
        <v>26.666666666666668</v>
      </c>
      <c r="AA52" s="4" t="s">
        <v>2</v>
      </c>
      <c r="AC52" s="40" t="s">
        <v>129</v>
      </c>
      <c r="AE52" s="40" t="s">
        <v>129</v>
      </c>
      <c r="AG52" s="40" t="s">
        <v>129</v>
      </c>
    </row>
    <row r="53" spans="1:37" x14ac:dyDescent="0.3">
      <c r="A53" t="s">
        <v>63</v>
      </c>
      <c r="B53" s="4" t="s">
        <v>240</v>
      </c>
      <c r="C53" s="40" t="s">
        <v>132</v>
      </c>
      <c r="E53" t="s">
        <v>21</v>
      </c>
      <c r="G53" t="s">
        <v>21</v>
      </c>
      <c r="H53">
        <f>'Imports - Data (Raw)'!J53/'Imports - Data (Raw)'!I53</f>
        <v>16.218523260776781</v>
      </c>
      <c r="I53" s="2" t="s">
        <v>9</v>
      </c>
      <c r="J53">
        <f>'Imports - Data (Raw)'!M53/'Imports - Data (Raw)'!L53</f>
        <v>4.848993288590604</v>
      </c>
      <c r="K53">
        <f>'Imports - Data (Raw)'!O53/'Imports - Data (Raw)'!N53</f>
        <v>3.8777848504137493</v>
      </c>
      <c r="L53">
        <f>'Imports - Data (Raw)'!Q53/'Imports - Data (Raw)'!P53</f>
        <v>4.3656343656343655</v>
      </c>
      <c r="M53">
        <f>'Imports - Data (Raw)'!S53/'Imports - Data (Raw)'!R53</f>
        <v>1.6914285714285715</v>
      </c>
      <c r="N53">
        <f>'Imports - Data (Raw)'!U53/'Imports - Data (Raw)'!T53</f>
        <v>1.1509009009009008</v>
      </c>
      <c r="O53" s="4" t="s">
        <v>9</v>
      </c>
      <c r="P53">
        <f>'Imports - Data (Raw)'!X53/'Imports - Data (Raw)'!W53</f>
        <v>13.25</v>
      </c>
      <c r="Q53">
        <f>'Imports - Data (Raw)'!Z53/'Imports - Data (Raw)'!Y53</f>
        <v>13.333333333333334</v>
      </c>
      <c r="R53">
        <f>'Imports - Data (Raw)'!AB53/'Imports - Data (Raw)'!AA53</f>
        <v>13.678905687544997</v>
      </c>
      <c r="U53" s="40" t="s">
        <v>129</v>
      </c>
      <c r="V53">
        <f>'Imports - Data (Raw)'!AI53/'Imports - Data (Raw)'!AH53/D94</f>
        <v>10</v>
      </c>
      <c r="W53" s="40" t="s">
        <v>129</v>
      </c>
      <c r="X53">
        <f>'Imports - Data (Raw)'!AL53/'Imports - Data (Raw)'!AK53</f>
        <v>10.256410256410257</v>
      </c>
      <c r="Y53" s="4" t="s">
        <v>2</v>
      </c>
      <c r="Z53">
        <f>'Imports - Data (Raw)'!AO53/'Imports - Data (Raw)'!AN53</f>
        <v>10.256410256410257</v>
      </c>
      <c r="AA53" s="4" t="s">
        <v>2</v>
      </c>
      <c r="AC53" s="4" t="s">
        <v>2</v>
      </c>
      <c r="AE53" s="4" t="s">
        <v>2</v>
      </c>
      <c r="AG53" s="4" t="s">
        <v>2</v>
      </c>
    </row>
    <row r="54" spans="1:37" x14ac:dyDescent="0.3">
      <c r="A54" t="s">
        <v>101</v>
      </c>
      <c r="B54" s="4" t="s">
        <v>226</v>
      </c>
      <c r="C54" s="40" t="s">
        <v>129</v>
      </c>
      <c r="E54" t="s">
        <v>6</v>
      </c>
      <c r="F54">
        <f>'Imports - Data (Raw)'!G54/'Imports - Data (Raw)'!F54</f>
        <v>0.05</v>
      </c>
      <c r="G54" s="2" t="s">
        <v>21</v>
      </c>
      <c r="H54">
        <f>'Imports - Data (Raw)'!J54/'Imports - Data (Raw)'!I54</f>
        <v>7.6428571428571432</v>
      </c>
      <c r="I54" s="2" t="s">
        <v>129</v>
      </c>
      <c r="J54">
        <f>'Imports - Data (Raw)'!M54/'Imports - Data (Raw)'!L54/F147</f>
        <v>1.4999993303574417</v>
      </c>
      <c r="K54">
        <f>'Imports - Data (Raw)'!O54/'Imports - Data (Raw)'!N54/F147</f>
        <v>0.95476147852910176</v>
      </c>
      <c r="L54">
        <f>'Imports - Data (Raw)'!Q54/'Imports - Data (Raw)'!P54/F147</f>
        <v>0.49296502656309871</v>
      </c>
      <c r="M54">
        <f>'Imports - Data (Raw)'!S54/'Imports - Data (Raw)'!R54/F147</f>
        <v>0.47460410466993014</v>
      </c>
      <c r="N54">
        <f>'Imports - Data (Raw)'!U54/'Imports - Data (Raw)'!T54/F147</f>
        <v>0.25904787805936935</v>
      </c>
      <c r="O54" s="4" t="s">
        <v>9</v>
      </c>
      <c r="U54" t="s">
        <v>9</v>
      </c>
      <c r="W54" s="4" t="s">
        <v>9</v>
      </c>
      <c r="Y54" s="4" t="s">
        <v>9</v>
      </c>
      <c r="AA54" s="4" t="s">
        <v>9</v>
      </c>
      <c r="AC54" s="4" t="s">
        <v>9</v>
      </c>
      <c r="AE54" s="4" t="s">
        <v>9</v>
      </c>
      <c r="AG54" t="s">
        <v>9</v>
      </c>
    </row>
    <row r="55" spans="1:37" x14ac:dyDescent="0.3">
      <c r="A55" t="s">
        <v>171</v>
      </c>
      <c r="B55" s="4" t="s">
        <v>240</v>
      </c>
      <c r="C55" s="40" t="s">
        <v>132</v>
      </c>
      <c r="E55" t="s">
        <v>21</v>
      </c>
      <c r="G55" t="s">
        <v>21</v>
      </c>
      <c r="H55">
        <f>'Imports - Data (Raw)'!J55/'Imports - Data (Raw)'!I55</f>
        <v>0.80301437083771465</v>
      </c>
      <c r="I55" t="s">
        <v>21</v>
      </c>
      <c r="O55" s="4" t="s">
        <v>21</v>
      </c>
      <c r="U55" t="s">
        <v>21</v>
      </c>
      <c r="W55" s="4" t="s">
        <v>21</v>
      </c>
      <c r="Y55" s="4" t="s">
        <v>21</v>
      </c>
      <c r="AA55" s="4" t="s">
        <v>21</v>
      </c>
      <c r="AC55" s="4" t="s">
        <v>21</v>
      </c>
      <c r="AE55" s="4" t="s">
        <v>21</v>
      </c>
      <c r="AG55" t="s">
        <v>21</v>
      </c>
    </row>
    <row r="56" spans="1:37" x14ac:dyDescent="0.3">
      <c r="A56" t="s">
        <v>102</v>
      </c>
      <c r="B56" s="4" t="s">
        <v>233</v>
      </c>
      <c r="C56" s="40" t="s">
        <v>122</v>
      </c>
      <c r="E56" t="s">
        <v>6</v>
      </c>
      <c r="G56" t="s">
        <v>6</v>
      </c>
      <c r="H56">
        <f>'Imports - Data (Raw)'!J56/'Imports - Data (Raw)'!I56</f>
        <v>0.17997888810696691</v>
      </c>
      <c r="I56" t="s">
        <v>6</v>
      </c>
      <c r="J56">
        <f>'Imports - Data (Raw)'!M56/'Imports - Data (Raw)'!L56</f>
        <v>0.44448134617513563</v>
      </c>
      <c r="K56">
        <f>'Imports - Data (Raw)'!O56/'Imports - Data (Raw)'!N56</f>
        <v>1.1822474032105761</v>
      </c>
      <c r="L56">
        <f>'Imports - Data (Raw)'!Q56/'Imports - Data (Raw)'!P56</f>
        <v>6.5158017947717514E-2</v>
      </c>
      <c r="M56">
        <f>'Imports - Data (Raw)'!S56/'Imports - Data (Raw)'!R56</f>
        <v>0.22717733473242394</v>
      </c>
      <c r="O56" s="4" t="s">
        <v>6</v>
      </c>
      <c r="U56" t="s">
        <v>6</v>
      </c>
      <c r="W56" s="4" t="s">
        <v>6</v>
      </c>
      <c r="Y56" s="4" t="s">
        <v>6</v>
      </c>
      <c r="AA56" s="4" t="s">
        <v>6</v>
      </c>
      <c r="AC56" s="4" t="s">
        <v>6</v>
      </c>
      <c r="AE56" s="4" t="s">
        <v>6</v>
      </c>
      <c r="AG56" t="s">
        <v>6</v>
      </c>
    </row>
    <row r="57" spans="1:37" x14ac:dyDescent="0.3">
      <c r="A57" t="s">
        <v>170</v>
      </c>
      <c r="B57" s="4" t="s">
        <v>303</v>
      </c>
      <c r="C57" s="40" t="s">
        <v>304</v>
      </c>
      <c r="E57" t="s">
        <v>1</v>
      </c>
      <c r="G57" t="s">
        <v>1</v>
      </c>
      <c r="H57">
        <f>'Imports - Data (Raw)'!J57/'Imports - Data (Raw)'!I57</f>
        <v>1.2749428789032748</v>
      </c>
      <c r="I57" s="2" t="s">
        <v>23</v>
      </c>
      <c r="J57">
        <f>'Imports - Data (Raw)'!M57/'Imports - Data (Raw)'!L57</f>
        <v>5.4413938753959874</v>
      </c>
      <c r="K57">
        <f>'Imports - Data (Raw)'!O57/'Imports - Data (Raw)'!N57</f>
        <v>5.0988604866030185</v>
      </c>
      <c r="L57">
        <f>'Imports - Data (Raw)'!Q57/'Imports - Data (Raw)'!P57</f>
        <v>10.232815964523281</v>
      </c>
      <c r="M57">
        <f>'Imports - Data (Raw)'!S57/'Imports - Data (Raw)'!R57</f>
        <v>5.0075342465753421</v>
      </c>
      <c r="O57" s="4" t="s">
        <v>23</v>
      </c>
      <c r="U57" t="s">
        <v>23</v>
      </c>
      <c r="W57" s="4" t="s">
        <v>23</v>
      </c>
      <c r="Y57" s="4" t="s">
        <v>23</v>
      </c>
      <c r="AA57" s="4" t="s">
        <v>23</v>
      </c>
      <c r="AC57" s="4" t="s">
        <v>23</v>
      </c>
      <c r="AE57" s="4" t="s">
        <v>23</v>
      </c>
      <c r="AG57" t="s">
        <v>23</v>
      </c>
    </row>
    <row r="58" spans="1:37" x14ac:dyDescent="0.3">
      <c r="A58" t="s">
        <v>103</v>
      </c>
      <c r="B58" s="4" t="s">
        <v>236</v>
      </c>
      <c r="C58" s="40" t="s">
        <v>131</v>
      </c>
      <c r="E58" t="s">
        <v>14</v>
      </c>
      <c r="F58">
        <f>'Imports - Data (Raw)'!G58/'Imports - Data (Raw)'!F58*J94</f>
        <v>32.513539748346659</v>
      </c>
      <c r="G58" t="s">
        <v>14</v>
      </c>
      <c r="I58" s="2" t="s">
        <v>24</v>
      </c>
      <c r="J58">
        <f>'Imports - Data (Raw)'!M58/'Imports - Data (Raw)'!L58</f>
        <v>9</v>
      </c>
      <c r="K58">
        <f>'Imports - Data (Raw)'!O58/'Imports - Data (Raw)'!N58</f>
        <v>8.8544303797468356</v>
      </c>
      <c r="L58">
        <f>'Imports - Data (Raw)'!Q58/'Imports - Data (Raw)'!P58</f>
        <v>3</v>
      </c>
      <c r="M58">
        <f>'Imports - Data (Raw)'!S58/'Imports - Data (Raw)'!R58</f>
        <v>9.0789473684210531</v>
      </c>
      <c r="O58" s="4" t="s">
        <v>24</v>
      </c>
      <c r="U58" s="2" t="s">
        <v>5</v>
      </c>
      <c r="W58" s="4" t="s">
        <v>5</v>
      </c>
      <c r="Y58" s="4" t="s">
        <v>5</v>
      </c>
      <c r="Z58">
        <f>'Imports - Data (Raw)'!AO58/'Imports - Data (Raw)'!AN58</f>
        <v>28.8</v>
      </c>
      <c r="AA58" s="4" t="s">
        <v>5</v>
      </c>
      <c r="AB58">
        <f>'Imports - Data (Raw)'!AR58/'Imports - Data (Raw)'!AQ58</f>
        <v>30.833333333333332</v>
      </c>
      <c r="AC58" s="4" t="s">
        <v>5</v>
      </c>
      <c r="AE58" s="4" t="s">
        <v>5</v>
      </c>
      <c r="AG58" s="4" t="s">
        <v>5</v>
      </c>
    </row>
    <row r="59" spans="1:37" x14ac:dyDescent="0.3">
      <c r="A59" t="s">
        <v>104</v>
      </c>
      <c r="B59" s="4" t="s">
        <v>236</v>
      </c>
      <c r="C59" s="40" t="s">
        <v>131</v>
      </c>
      <c r="E59" s="4" t="s">
        <v>5</v>
      </c>
      <c r="G59" s="4" t="s">
        <v>5</v>
      </c>
      <c r="I59" s="4" t="s">
        <v>5</v>
      </c>
      <c r="O59" s="4" t="s">
        <v>5</v>
      </c>
      <c r="U59" s="4" t="s">
        <v>5</v>
      </c>
      <c r="W59" s="4" t="s">
        <v>5</v>
      </c>
      <c r="Y59" s="4" t="s">
        <v>5</v>
      </c>
      <c r="Z59">
        <f>'Imports - Data (Raw)'!AO59/'Imports - Data (Raw)'!AN59</f>
        <v>16</v>
      </c>
      <c r="AA59" s="4" t="s">
        <v>5</v>
      </c>
      <c r="AB59">
        <f>'Imports - Data (Raw)'!AR59/'Imports - Data (Raw)'!AQ59</f>
        <v>16.666666666666668</v>
      </c>
      <c r="AC59" s="4" t="s">
        <v>5</v>
      </c>
      <c r="AE59" s="4" t="s">
        <v>5</v>
      </c>
      <c r="AG59" s="4" t="s">
        <v>5</v>
      </c>
    </row>
    <row r="60" spans="1:37" x14ac:dyDescent="0.3">
      <c r="A60" t="s">
        <v>172</v>
      </c>
      <c r="B60" s="4" t="s">
        <v>236</v>
      </c>
      <c r="C60" s="40" t="s">
        <v>131</v>
      </c>
      <c r="E60" s="4" t="s">
        <v>5</v>
      </c>
      <c r="G60" s="4" t="s">
        <v>5</v>
      </c>
      <c r="I60" s="4" t="s">
        <v>5</v>
      </c>
      <c r="O60" s="4" t="s">
        <v>5</v>
      </c>
      <c r="U60" s="4" t="s">
        <v>5</v>
      </c>
      <c r="W60" s="4" t="s">
        <v>5</v>
      </c>
      <c r="Y60" s="4" t="s">
        <v>5</v>
      </c>
      <c r="AA60" s="4" t="s">
        <v>5</v>
      </c>
      <c r="AC60" s="4" t="s">
        <v>5</v>
      </c>
      <c r="AD60">
        <f>'Imports - Data (Raw)'!AU60/'Imports - Data (Raw)'!AT60</f>
        <v>24.761904761904763</v>
      </c>
      <c r="AE60" s="4" t="s">
        <v>5</v>
      </c>
      <c r="AG60" s="4" t="s">
        <v>5</v>
      </c>
      <c r="AH60">
        <f>'Imports - Data (Raw)'!BA60/'Imports - Data (Raw)'!AZ60</f>
        <v>24.615384615384617</v>
      </c>
      <c r="AI60">
        <f>'Imports - Data (Raw)'!BC60/'Imports - Data (Raw)'!BB60</f>
        <v>28.571428571428573</v>
      </c>
      <c r="AJ60">
        <f>'Imports - Data (Raw)'!BE60/'Imports - Data (Raw)'!BD60</f>
        <v>26.086956521739129</v>
      </c>
      <c r="AK60">
        <f>'Imports - Data (Raw)'!BG60/'Imports - Data (Raw)'!BF60</f>
        <v>28</v>
      </c>
    </row>
    <row r="61" spans="1:37" x14ac:dyDescent="0.3">
      <c r="A61" t="s">
        <v>105</v>
      </c>
      <c r="B61" s="4" t="s">
        <v>235</v>
      </c>
      <c r="C61" s="40" t="s">
        <v>126</v>
      </c>
      <c r="E61" t="s">
        <v>9</v>
      </c>
      <c r="G61" t="s">
        <v>9</v>
      </c>
      <c r="I61" t="s">
        <v>9</v>
      </c>
      <c r="K61">
        <f>'Imports - Data (Raw)'!O61/'Imports - Data (Raw)'!N61</f>
        <v>4.468619246861925</v>
      </c>
      <c r="L61">
        <f>'Imports - Data (Raw)'!Q61/'Imports - Data (Raw)'!P61</f>
        <v>5.630791161796151</v>
      </c>
      <c r="M61">
        <f>'Imports - Data (Raw)'!S61/'Imports - Data (Raw)'!R61</f>
        <v>7.7894736842105265</v>
      </c>
      <c r="N61">
        <f>'Imports - Data (Raw)'!U61/'Imports - Data (Raw)'!T61</f>
        <v>4.4555256064690028</v>
      </c>
      <c r="O61" s="4" t="s">
        <v>9</v>
      </c>
      <c r="U61" s="2" t="s">
        <v>2</v>
      </c>
      <c r="V61">
        <f>'Imports - Data (Raw)'!AI61/'Imports - Data (Raw)'!AH61</f>
        <v>2</v>
      </c>
      <c r="W61" s="4" t="s">
        <v>2</v>
      </c>
      <c r="Y61" s="4" t="s">
        <v>2</v>
      </c>
      <c r="AA61" s="4" t="s">
        <v>2</v>
      </c>
      <c r="AC61" s="4" t="s">
        <v>2</v>
      </c>
      <c r="AE61" s="4" t="s">
        <v>2</v>
      </c>
      <c r="AG61" s="4" t="s">
        <v>2</v>
      </c>
    </row>
    <row r="62" spans="1:37" x14ac:dyDescent="0.3">
      <c r="A62" t="s">
        <v>106</v>
      </c>
      <c r="B62" s="4" t="s">
        <v>226</v>
      </c>
      <c r="C62" s="4" t="s">
        <v>301</v>
      </c>
      <c r="E62" s="4" t="s">
        <v>301</v>
      </c>
      <c r="G62" s="4" t="s">
        <v>301</v>
      </c>
      <c r="I62" s="4" t="s">
        <v>301</v>
      </c>
      <c r="O62" s="4" t="s">
        <v>301</v>
      </c>
      <c r="P62">
        <f>'Imports - Data (Raw)'!X62/'Imports - Data (Raw)'!W62/F161</f>
        <v>13.24731182795699</v>
      </c>
      <c r="Q62">
        <f>'Imports - Data (Raw)'!Z62/'Imports - Data (Raw)'!Y62/F161</f>
        <v>13.336887940993513</v>
      </c>
      <c r="U62" t="s">
        <v>3</v>
      </c>
      <c r="W62" s="4" t="s">
        <v>3</v>
      </c>
      <c r="Y62" s="4" t="s">
        <v>3</v>
      </c>
      <c r="AA62" s="4" t="s">
        <v>3</v>
      </c>
      <c r="AC62" s="4" t="s">
        <v>3</v>
      </c>
      <c r="AE62" s="4" t="s">
        <v>3</v>
      </c>
      <c r="AG62" t="s">
        <v>3</v>
      </c>
    </row>
    <row r="63" spans="1:37" x14ac:dyDescent="0.3">
      <c r="A63" t="s">
        <v>173</v>
      </c>
      <c r="B63" s="4" t="s">
        <v>236</v>
      </c>
      <c r="C63" s="40" t="s">
        <v>131</v>
      </c>
      <c r="E63" t="s">
        <v>5</v>
      </c>
      <c r="G63" t="s">
        <v>5</v>
      </c>
      <c r="I63" t="s">
        <v>5</v>
      </c>
      <c r="O63" s="4" t="s">
        <v>5</v>
      </c>
      <c r="U63" t="s">
        <v>5</v>
      </c>
      <c r="V63">
        <f>'Imports - Data (Raw)'!AI63/'Imports - Data (Raw)'!AH63</f>
        <v>26.56</v>
      </c>
      <c r="W63" s="4" t="s">
        <v>5</v>
      </c>
      <c r="Y63" s="4" t="s">
        <v>5</v>
      </c>
      <c r="AA63" s="4" t="s">
        <v>5</v>
      </c>
      <c r="AC63" s="4" t="s">
        <v>5</v>
      </c>
      <c r="AE63" s="4" t="s">
        <v>5</v>
      </c>
      <c r="AG63" t="s">
        <v>5</v>
      </c>
    </row>
    <row r="64" spans="1:37" x14ac:dyDescent="0.3">
      <c r="A64" t="s">
        <v>64</v>
      </c>
      <c r="B64" s="4" t="s">
        <v>229</v>
      </c>
      <c r="C64" s="40" t="s">
        <v>123</v>
      </c>
      <c r="E64" t="s">
        <v>2</v>
      </c>
      <c r="G64" t="s">
        <v>2</v>
      </c>
      <c r="I64" t="s">
        <v>2</v>
      </c>
      <c r="O64" s="4" t="s">
        <v>2</v>
      </c>
      <c r="U64" t="s">
        <v>2</v>
      </c>
      <c r="V64">
        <f>'Imports - Data (Raw)'!AI64/'Imports - Data (Raw)'!AH64</f>
        <v>3.8095238095238093</v>
      </c>
      <c r="W64" s="2" t="s">
        <v>18</v>
      </c>
      <c r="X64">
        <f>'Imports - Data (Raw)'!AL64/'Imports - Data (Raw)'!AK64</f>
        <v>6.6195939982347754E-2</v>
      </c>
      <c r="Y64" s="4" t="s">
        <v>18</v>
      </c>
      <c r="Z64">
        <f>'Imports - Data (Raw)'!AO64/'Imports - Data (Raw)'!AN64</f>
        <v>6.055887187472965E-2</v>
      </c>
      <c r="AA64" s="4" t="s">
        <v>18</v>
      </c>
      <c r="AC64" s="4" t="s">
        <v>18</v>
      </c>
      <c r="AE64" s="4" t="s">
        <v>18</v>
      </c>
      <c r="AG64" t="s">
        <v>18</v>
      </c>
    </row>
    <row r="65" spans="1:39" x14ac:dyDescent="0.3">
      <c r="A65" t="s">
        <v>107</v>
      </c>
      <c r="B65" s="4" t="s">
        <v>226</v>
      </c>
      <c r="C65" s="40" t="s">
        <v>129</v>
      </c>
      <c r="E65" t="s">
        <v>9</v>
      </c>
      <c r="G65" t="s">
        <v>2</v>
      </c>
      <c r="H65">
        <f>'Imports - Data (Raw)'!J65/'Imports - Data (Raw)'!I65</f>
        <v>2.0189061444969614</v>
      </c>
      <c r="I65" t="s">
        <v>9</v>
      </c>
      <c r="O65" s="4" t="s">
        <v>9</v>
      </c>
      <c r="U65" t="s">
        <v>2</v>
      </c>
      <c r="V65">
        <f>'Imports - Data (Raw)'!AI65/'Imports - Data (Raw)'!AH65</f>
        <v>2</v>
      </c>
      <c r="W65" s="4" t="s">
        <v>2</v>
      </c>
      <c r="X65">
        <f>'Imports - Data (Raw)'!AL65/'Imports - Data (Raw)'!AK65</f>
        <v>2.0833333333333335</v>
      </c>
      <c r="Y65" s="4" t="s">
        <v>2</v>
      </c>
      <c r="Z65">
        <f>'Imports - Data (Raw)'!AO65/'Imports - Data (Raw)'!AN65</f>
        <v>2.0625</v>
      </c>
      <c r="AA65" s="4" t="s">
        <v>2</v>
      </c>
      <c r="AB65">
        <f>'Imports - Data (Raw)'!AR65/'Imports - Data (Raw)'!AQ65</f>
        <v>2.25</v>
      </c>
      <c r="AC65" s="4" t="s">
        <v>2</v>
      </c>
      <c r="AE65" s="4" t="s">
        <v>2</v>
      </c>
      <c r="AG65" t="s">
        <v>2</v>
      </c>
    </row>
    <row r="66" spans="1:39" x14ac:dyDescent="0.3">
      <c r="A66" t="s">
        <v>108</v>
      </c>
      <c r="B66" s="4" t="s">
        <v>225</v>
      </c>
      <c r="C66" s="40" t="s">
        <v>133</v>
      </c>
      <c r="E66" t="s">
        <v>10</v>
      </c>
      <c r="G66" t="s">
        <v>10</v>
      </c>
      <c r="I66" t="s">
        <v>10</v>
      </c>
      <c r="O66" s="4" t="s">
        <v>10</v>
      </c>
      <c r="U66" t="s">
        <v>10</v>
      </c>
      <c r="V66">
        <f>'Imports - Data (Raw)'!AI66/'Imports - Data (Raw)'!AH66</f>
        <v>2.8571428571428571E-2</v>
      </c>
      <c r="W66" s="4" t="s">
        <v>10</v>
      </c>
      <c r="X66">
        <f>'Imports - Data (Raw)'!AL66/'Imports - Data (Raw)'!AK66</f>
        <v>3.8343212349220959E-2</v>
      </c>
      <c r="Y66" s="4" t="s">
        <v>10</v>
      </c>
      <c r="Z66">
        <f>'Imports - Data (Raw)'!AO66/'Imports - Data (Raw)'!AN66</f>
        <v>4.0485E-2</v>
      </c>
      <c r="AA66" s="4" t="s">
        <v>10</v>
      </c>
      <c r="AB66">
        <f>'Imports - Data (Raw)'!AR66/'Imports - Data (Raw)'!AQ66</f>
        <v>0.04</v>
      </c>
      <c r="AC66" s="4" t="s">
        <v>10</v>
      </c>
      <c r="AD66">
        <f>'Imports - Data (Raw)'!AU66/'Imports - Data (Raw)'!AT66</f>
        <v>0.04</v>
      </c>
      <c r="AE66" s="4" t="s">
        <v>10</v>
      </c>
      <c r="AG66" t="s">
        <v>10</v>
      </c>
    </row>
    <row r="67" spans="1:39" x14ac:dyDescent="0.3">
      <c r="A67" t="s">
        <v>109</v>
      </c>
      <c r="B67" s="4" t="s">
        <v>240</v>
      </c>
      <c r="C67" s="40" t="s">
        <v>132</v>
      </c>
      <c r="E67" t="s">
        <v>21</v>
      </c>
      <c r="G67" t="s">
        <v>21</v>
      </c>
      <c r="H67">
        <f>'Imports - Data (Raw)'!J67/'Imports - Data (Raw)'!I67</f>
        <v>5.6</v>
      </c>
      <c r="I67" t="s">
        <v>21</v>
      </c>
      <c r="O67" t="s">
        <v>21</v>
      </c>
      <c r="U67" s="2" t="s">
        <v>2</v>
      </c>
      <c r="W67" s="4" t="s">
        <v>2</v>
      </c>
      <c r="X67">
        <f>'Imports - Data (Raw)'!AL67/'Imports - Data (Raw)'!AK67</f>
        <v>2.335766423357664</v>
      </c>
      <c r="Y67" s="4" t="s">
        <v>2</v>
      </c>
      <c r="Z67">
        <f>'Imports - Data (Raw)'!AO67/'Imports - Data (Raw)'!AN67</f>
        <v>2.3571428571428572</v>
      </c>
      <c r="AA67" s="4" t="s">
        <v>2</v>
      </c>
      <c r="AB67">
        <f>'Imports - Data (Raw)'!AR67/'Imports - Data (Raw)'!AQ67</f>
        <v>2.5</v>
      </c>
      <c r="AC67" s="4" t="s">
        <v>2</v>
      </c>
      <c r="AD67">
        <f>'Imports - Data (Raw)'!AU67/'Imports - Data (Raw)'!AT67</f>
        <v>2.3333333333333335</v>
      </c>
      <c r="AE67" s="4" t="s">
        <v>2</v>
      </c>
      <c r="AG67" t="s">
        <v>2</v>
      </c>
    </row>
    <row r="68" spans="1:39" x14ac:dyDescent="0.3">
      <c r="A68" t="s">
        <v>110</v>
      </c>
      <c r="B68" s="4" t="s">
        <v>226</v>
      </c>
      <c r="C68" s="40" t="s">
        <v>129</v>
      </c>
      <c r="E68" s="40" t="s">
        <v>129</v>
      </c>
      <c r="F68">
        <f>'Imports - Data (Raw)'!G68/'Imports - Data (Raw)'!F68/F95</f>
        <v>1.2192577405629994</v>
      </c>
      <c r="U68" s="2" t="s">
        <v>2</v>
      </c>
      <c r="W68" s="4" t="s">
        <v>2</v>
      </c>
      <c r="X68">
        <f>'Imports - Data (Raw)'!AL68/'Imports - Data (Raw)'!AK68</f>
        <v>0.76647930505876338</v>
      </c>
      <c r="Y68" s="4" t="s">
        <v>2</v>
      </c>
      <c r="Z68">
        <f>'Imports - Data (Raw)'!AO68/'Imports - Data (Raw)'!AN68</f>
        <v>0.77899761336515516</v>
      </c>
      <c r="AA68" s="4" t="s">
        <v>2</v>
      </c>
      <c r="AB68">
        <f>'Imports - Data (Raw)'!AR68/'Imports - Data (Raw)'!AQ68</f>
        <v>0.8</v>
      </c>
      <c r="AC68" s="4" t="s">
        <v>2</v>
      </c>
      <c r="AE68" s="4" t="s">
        <v>2</v>
      </c>
      <c r="AG68" t="s">
        <v>2</v>
      </c>
    </row>
    <row r="69" spans="1:39" x14ac:dyDescent="0.3">
      <c r="A69" t="s">
        <v>111</v>
      </c>
      <c r="B69" s="4" t="s">
        <v>226</v>
      </c>
      <c r="C69" s="40" t="s">
        <v>129</v>
      </c>
      <c r="E69" s="40" t="s">
        <v>129</v>
      </c>
      <c r="F69">
        <f>'Imports - Data (Raw)'!G69/'Imports - Data (Raw)'!F69/F95</f>
        <v>11.176529288494164</v>
      </c>
      <c r="U69" s="4" t="s">
        <v>129</v>
      </c>
      <c r="W69" s="4" t="s">
        <v>2</v>
      </c>
      <c r="X69">
        <f>'Imports - Data (Raw)'!AL69/'Imports - Data (Raw)'!AK69</f>
        <v>4.375</v>
      </c>
      <c r="Y69" s="4" t="s">
        <v>2</v>
      </c>
      <c r="Z69">
        <f>'Imports - Data (Raw)'!AO69/'Imports - Data (Raw)'!AN69</f>
        <v>3.261992619926199</v>
      </c>
      <c r="AA69" s="4" t="s">
        <v>2</v>
      </c>
      <c r="AB69">
        <f>'Imports - Data (Raw)'!AR69/'Imports - Data (Raw)'!AQ69</f>
        <v>4.301075268817204</v>
      </c>
      <c r="AC69" s="4" t="s">
        <v>129</v>
      </c>
      <c r="AD69">
        <f>'Imports - Data (Raw)'!AU69/'Imports - Data (Raw)'!AT69/D94</f>
        <v>11.904761904761905</v>
      </c>
      <c r="AE69" s="4" t="s">
        <v>5</v>
      </c>
      <c r="AG69" t="s">
        <v>5</v>
      </c>
      <c r="AH69">
        <f>'Imports - Data (Raw)'!BA69/'Imports - Data (Raw)'!AZ69</f>
        <v>45</v>
      </c>
    </row>
    <row r="70" spans="1:39" x14ac:dyDescent="0.3">
      <c r="A70" t="s">
        <v>112</v>
      </c>
      <c r="B70" s="4" t="s">
        <v>226</v>
      </c>
      <c r="C70" s="40" t="s">
        <v>129</v>
      </c>
      <c r="E70" t="s">
        <v>2</v>
      </c>
      <c r="G70" t="s">
        <v>2</v>
      </c>
      <c r="I70" t="s">
        <v>2</v>
      </c>
      <c r="O70" t="s">
        <v>2</v>
      </c>
      <c r="U70" t="s">
        <v>2</v>
      </c>
      <c r="W70" s="4" t="s">
        <v>2</v>
      </c>
      <c r="X70">
        <f>'Imports - Data (Raw)'!AL70/'Imports - Data (Raw)'!AK70</f>
        <v>57.265822784810126</v>
      </c>
      <c r="Y70" s="4" t="s">
        <v>2</v>
      </c>
      <c r="AA70" s="4" t="s">
        <v>2</v>
      </c>
      <c r="AB70">
        <f>'Imports - Data (Raw)'!AR70/'Imports - Data (Raw)'!AQ70</f>
        <v>137.5</v>
      </c>
      <c r="AC70" s="4" t="s">
        <v>129</v>
      </c>
      <c r="AD70">
        <f>'Imports - Data (Raw)'!AU70/'Imports - Data (Raw)'!AT70</f>
        <v>140</v>
      </c>
      <c r="AE70" s="4" t="s">
        <v>2</v>
      </c>
      <c r="AG70" t="s">
        <v>2</v>
      </c>
    </row>
    <row r="71" spans="1:39" x14ac:dyDescent="0.3">
      <c r="A71" t="s">
        <v>327</v>
      </c>
      <c r="B71" s="4" t="s">
        <v>226</v>
      </c>
      <c r="C71" s="40" t="s">
        <v>129</v>
      </c>
      <c r="E71" t="s">
        <v>5</v>
      </c>
      <c r="G71" t="s">
        <v>5</v>
      </c>
      <c r="I71" t="s">
        <v>5</v>
      </c>
      <c r="O71" t="s">
        <v>5</v>
      </c>
      <c r="U71" t="s">
        <v>5</v>
      </c>
      <c r="W71" s="4" t="s">
        <v>5</v>
      </c>
      <c r="Y71" s="4" t="s">
        <v>5</v>
      </c>
      <c r="AA71" s="4" t="s">
        <v>5</v>
      </c>
      <c r="AC71" t="s">
        <v>129</v>
      </c>
      <c r="AD71">
        <f>'Imports - Data (Raw)'!AU71/'Imports - Data (Raw)'!AT71/D94</f>
        <v>8.33</v>
      </c>
      <c r="AE71" t="s">
        <v>129</v>
      </c>
      <c r="AF71">
        <f>'Imports - Data (Raw)'!AX71/'Imports - Data (Raw)'!AW71/D94</f>
        <v>8.4285714285714288</v>
      </c>
      <c r="AG71" t="s">
        <v>129</v>
      </c>
      <c r="AH71">
        <f>'Imports - Data (Raw)'!BA71/'Imports - Data (Raw)'!AZ71/D94</f>
        <v>8.7096774193548381</v>
      </c>
      <c r="AI71">
        <f>'Imports - Data (Raw)'!BC71/'Imports - Data (Raw)'!BB71/D94</f>
        <v>8.5294117647058822</v>
      </c>
      <c r="AJ71">
        <f>'Imports - Data (Raw)'!BE71/'Imports - Data (Raw)'!BD71/D94</f>
        <v>8.5714285714285712</v>
      </c>
      <c r="AK71">
        <f>'Imports - Data (Raw)'!BG71/'Imports - Data (Raw)'!BF71/D94</f>
        <v>8.2352941176470598</v>
      </c>
      <c r="AL71">
        <f>'Imports - Data (Raw)'!BI71/'Imports - Data (Raw)'!BH71/D94</f>
        <v>8.1447963800904972</v>
      </c>
      <c r="AM71">
        <f>'Imports - Data (Raw)'!BK71/'Imports - Data (Raw)'!BJ71/D94</f>
        <v>8.25</v>
      </c>
    </row>
    <row r="72" spans="1:39" x14ac:dyDescent="0.3">
      <c r="A72" t="s">
        <v>113</v>
      </c>
      <c r="B72" s="4" t="s">
        <v>242</v>
      </c>
      <c r="C72" s="40" t="s">
        <v>134</v>
      </c>
      <c r="E72" t="s">
        <v>28</v>
      </c>
      <c r="G72" t="s">
        <v>28</v>
      </c>
      <c r="I72" t="s">
        <v>28</v>
      </c>
      <c r="O72" t="s">
        <v>28</v>
      </c>
      <c r="U72" t="s">
        <v>28</v>
      </c>
      <c r="W72" s="4" t="s">
        <v>28</v>
      </c>
      <c r="X72">
        <f>'Imports - Data (Raw)'!AL72/'Imports - Data (Raw)'!AK72</f>
        <v>0.16</v>
      </c>
      <c r="Y72" s="4" t="s">
        <v>28</v>
      </c>
      <c r="Z72">
        <f>'Imports - Data (Raw)'!AO72/'Imports - Data (Raw)'!AN72</f>
        <v>0.16177777777777777</v>
      </c>
      <c r="AA72" s="4" t="s">
        <v>28</v>
      </c>
      <c r="AB72">
        <f>'Imports - Data (Raw)'!AR72/'Imports - Data (Raw)'!AQ72</f>
        <v>0.11363636363636363</v>
      </c>
      <c r="AC72" s="4" t="s">
        <v>28</v>
      </c>
      <c r="AD72">
        <f>'Imports - Data (Raw)'!AU72/'Imports - Data (Raw)'!AT72</f>
        <v>0.17599999999999999</v>
      </c>
      <c r="AE72" s="4" t="s">
        <v>28</v>
      </c>
      <c r="AG72" t="s">
        <v>28</v>
      </c>
    </row>
    <row r="73" spans="1:39" x14ac:dyDescent="0.3">
      <c r="A73" t="s">
        <v>174</v>
      </c>
      <c r="B73" s="4" t="s">
        <v>226</v>
      </c>
      <c r="C73" s="40" t="s">
        <v>129</v>
      </c>
      <c r="W73" t="s">
        <v>129</v>
      </c>
      <c r="X73" s="86">
        <f>'Imports - Data (Raw)'!AL73/'Imports - Data (Raw)'!AK73/D94</f>
        <v>2</v>
      </c>
      <c r="Y73" t="s">
        <v>129</v>
      </c>
      <c r="Z73">
        <f>'Imports - Data (Raw)'!AO73/'Imports - Data (Raw)'!AN73/D94</f>
        <v>2.125</v>
      </c>
      <c r="AA73" t="s">
        <v>129</v>
      </c>
      <c r="AB73">
        <f>'Imports - Data (Raw)'!AR73/'Imports - Data (Raw)'!AQ73/D94</f>
        <v>2.5</v>
      </c>
      <c r="AC73" t="s">
        <v>129</v>
      </c>
      <c r="AD73">
        <f>'Imports - Data (Raw)'!AU73/'Imports - Data (Raw)'!AT73/D94</f>
        <v>2.5</v>
      </c>
      <c r="AE73" t="s">
        <v>129</v>
      </c>
      <c r="AF73">
        <f>'Imports - Data (Raw)'!AX73/'Imports - Data (Raw)'!AW73/D94</f>
        <v>2.083333333333333</v>
      </c>
      <c r="AG73" t="s">
        <v>129</v>
      </c>
      <c r="AH73">
        <f>'Imports - Data (Raw)'!BA73/'Imports - Data (Raw)'!AZ73/D94</f>
        <v>2.0625</v>
      </c>
      <c r="AI73">
        <f>'Imports - Data (Raw)'!BC73/'Imports - Data (Raw)'!BB73/D94</f>
        <v>2</v>
      </c>
      <c r="AJ73">
        <f>'Imports - Data (Raw)'!BE73/'Imports - Data (Raw)'!BD73/D94</f>
        <v>2.1052631578947372</v>
      </c>
      <c r="AK73">
        <f>'Imports - Data (Raw)'!BG73/'Imports - Data (Raw)'!BF73/D94</f>
        <v>2.5</v>
      </c>
      <c r="AL73">
        <f>'Imports - Data (Raw)'!BI73/'Imports - Data (Raw)'!BH73/D94</f>
        <v>2.5</v>
      </c>
      <c r="AM73">
        <f>'Imports - Data (Raw)'!BK73/'Imports - Data (Raw)'!BJ73/D94</f>
        <v>3</v>
      </c>
    </row>
    <row r="74" spans="1:39" x14ac:dyDescent="0.3">
      <c r="A74" t="s">
        <v>114</v>
      </c>
      <c r="B74" s="4" t="s">
        <v>226</v>
      </c>
      <c r="C74" s="40" t="s">
        <v>129</v>
      </c>
      <c r="W74" t="s">
        <v>129</v>
      </c>
      <c r="X74">
        <f>'Imports - Data (Raw)'!AL74/'Imports - Data (Raw)'!AK74/D94</f>
        <v>0.13924050632911394</v>
      </c>
      <c r="Y74" t="s">
        <v>129</v>
      </c>
      <c r="Z74">
        <f>'Imports - Data (Raw)'!AO74/'Imports - Data (Raw)'!AN74/D94</f>
        <v>0.13</v>
      </c>
      <c r="AA74" t="s">
        <v>129</v>
      </c>
      <c r="AB74">
        <f>'Imports - Data (Raw)'!AR74/'Imports - Data (Raw)'!AQ74/D94</f>
        <v>0.13125000000000001</v>
      </c>
      <c r="AC74" t="s">
        <v>129</v>
      </c>
      <c r="AD74">
        <f>'Imports - Data (Raw)'!AU74/'Imports - Data (Raw)'!AT74/D94</f>
        <v>0.11816666666666667</v>
      </c>
      <c r="AE74" t="s">
        <v>129</v>
      </c>
      <c r="AG74" t="s">
        <v>129</v>
      </c>
      <c r="AH74">
        <f>'Imports - Data (Raw)'!BA74/'Imports - Data (Raw)'!AZ74/D94</f>
        <v>0.14285714285714285</v>
      </c>
      <c r="AI74">
        <f>'Imports - Data (Raw)'!BC74/'Imports - Data (Raw)'!BB74/D94</f>
        <v>0.15277777777777776</v>
      </c>
      <c r="AK74">
        <f>'Imports - Data (Raw)'!BG74/'Imports - Data (Raw)'!BF74/D94</f>
        <v>0.21739130434782608</v>
      </c>
    </row>
    <row r="75" spans="1:39" x14ac:dyDescent="0.3">
      <c r="A75" t="s">
        <v>115</v>
      </c>
      <c r="B75" s="4" t="s">
        <v>233</v>
      </c>
      <c r="C75" s="40" t="s">
        <v>122</v>
      </c>
      <c r="E75" t="s">
        <v>6</v>
      </c>
      <c r="G75" t="s">
        <v>6</v>
      </c>
      <c r="I75" t="s">
        <v>6</v>
      </c>
      <c r="O75" t="s">
        <v>6</v>
      </c>
      <c r="U75" t="s">
        <v>6</v>
      </c>
      <c r="W75" s="4" t="s">
        <v>6</v>
      </c>
      <c r="Y75" s="4" t="s">
        <v>6</v>
      </c>
      <c r="Z75">
        <f>'Imports - Data (Raw)'!AO75/'Imports - Data (Raw)'!AN75</f>
        <v>1</v>
      </c>
      <c r="AA75" s="2" t="s">
        <v>3</v>
      </c>
      <c r="AB75">
        <f>'Imports - Data (Raw)'!AR75/'Imports - Data (Raw)'!AQ75</f>
        <v>12</v>
      </c>
      <c r="AC75" s="4" t="s">
        <v>3</v>
      </c>
      <c r="AD75">
        <f>'Imports - Data (Raw)'!AU75/'Imports - Data (Raw)'!AT75</f>
        <v>12.5</v>
      </c>
      <c r="AE75" s="4" t="s">
        <v>3</v>
      </c>
      <c r="AG75" t="s">
        <v>3</v>
      </c>
    </row>
    <row r="76" spans="1:39" x14ac:dyDescent="0.3">
      <c r="A76" t="s">
        <v>175</v>
      </c>
      <c r="B76" s="4" t="s">
        <v>226</v>
      </c>
      <c r="C76" s="40" t="s">
        <v>129</v>
      </c>
      <c r="E76" t="s">
        <v>2</v>
      </c>
      <c r="G76" t="s">
        <v>2</v>
      </c>
      <c r="I76" t="s">
        <v>2</v>
      </c>
      <c r="O76" t="s">
        <v>2</v>
      </c>
      <c r="U76" t="s">
        <v>2</v>
      </c>
      <c r="W76" s="4" t="s">
        <v>2</v>
      </c>
      <c r="Y76" s="4" t="s">
        <v>2</v>
      </c>
      <c r="Z76">
        <f>'Imports - Data (Raw)'!AO76/'Imports - Data (Raw)'!AN76</f>
        <v>2</v>
      </c>
      <c r="AA76" s="4" t="s">
        <v>2</v>
      </c>
      <c r="AB76">
        <f>'Imports - Data (Raw)'!AR76/'Imports - Data (Raw)'!AQ76</f>
        <v>3.1806949806949807</v>
      </c>
      <c r="AC76" s="4" t="s">
        <v>2</v>
      </c>
      <c r="AE76" s="4" t="s">
        <v>2</v>
      </c>
      <c r="AG76" t="s">
        <v>2</v>
      </c>
    </row>
    <row r="77" spans="1:39" x14ac:dyDescent="0.3">
      <c r="A77" t="s">
        <v>176</v>
      </c>
      <c r="B77" s="4" t="s">
        <v>226</v>
      </c>
      <c r="C77" s="40" t="s">
        <v>129</v>
      </c>
      <c r="E77" t="s">
        <v>2</v>
      </c>
      <c r="G77" t="s">
        <v>2</v>
      </c>
      <c r="I77" t="s">
        <v>2</v>
      </c>
      <c r="O77" t="s">
        <v>2</v>
      </c>
      <c r="U77" t="s">
        <v>2</v>
      </c>
      <c r="W77" s="4" t="s">
        <v>2</v>
      </c>
      <c r="Y77" s="4" t="s">
        <v>2</v>
      </c>
      <c r="Z77">
        <f>'Imports - Data (Raw)'!AO77/'Imports - Data (Raw)'!AN77</f>
        <v>5</v>
      </c>
      <c r="AA77" t="s">
        <v>129</v>
      </c>
      <c r="AB77">
        <f>'Imports - Data (Raw)'!AR77/'Imports - Data (Raw)'!AQ77/D94</f>
        <v>4.8333333333333339</v>
      </c>
      <c r="AC77" t="s">
        <v>129</v>
      </c>
      <c r="AD77">
        <f>'Imports - Data (Raw)'!AU77/'Imports - Data (Raw)'!AT77/D94</f>
        <v>5</v>
      </c>
      <c r="AE77" s="4"/>
    </row>
    <row r="78" spans="1:39" x14ac:dyDescent="0.3">
      <c r="A78" t="s">
        <v>74</v>
      </c>
      <c r="B78" s="4" t="s">
        <v>226</v>
      </c>
      <c r="C78" s="40" t="s">
        <v>129</v>
      </c>
      <c r="E78" t="s">
        <v>2</v>
      </c>
      <c r="G78" t="s">
        <v>2</v>
      </c>
      <c r="I78" t="s">
        <v>2</v>
      </c>
      <c r="O78" t="s">
        <v>2</v>
      </c>
      <c r="U78" t="s">
        <v>2</v>
      </c>
      <c r="W78" s="4" t="s">
        <v>2</v>
      </c>
      <c r="Y78" s="4" t="s">
        <v>2</v>
      </c>
      <c r="Z78">
        <f>'Imports - Data (Raw)'!AO78/'Imports - Data (Raw)'!AN78</f>
        <v>8.4033613445378155</v>
      </c>
      <c r="AA78" s="4" t="s">
        <v>2</v>
      </c>
      <c r="AB78">
        <f>'Imports - Data (Raw)'!AR78/'Imports - Data (Raw)'!AQ78</f>
        <v>10</v>
      </c>
      <c r="AC78" s="4" t="s">
        <v>2</v>
      </c>
      <c r="AD78">
        <f>'Imports - Data (Raw)'!AU78/'Imports - Data (Raw)'!AT78</f>
        <v>9.0476190476190474</v>
      </c>
      <c r="AE78" s="4" t="s">
        <v>2</v>
      </c>
      <c r="AG78" t="s">
        <v>2</v>
      </c>
    </row>
    <row r="79" spans="1:39" x14ac:dyDescent="0.3">
      <c r="A79" t="s">
        <v>177</v>
      </c>
      <c r="B79" s="4" t="s">
        <v>226</v>
      </c>
      <c r="C79" s="40" t="s">
        <v>129</v>
      </c>
      <c r="E79" t="s">
        <v>2</v>
      </c>
      <c r="G79" t="s">
        <v>2</v>
      </c>
      <c r="I79" t="s">
        <v>2</v>
      </c>
      <c r="O79" t="s">
        <v>2</v>
      </c>
      <c r="U79" t="s">
        <v>2</v>
      </c>
      <c r="W79" s="4" t="s">
        <v>2</v>
      </c>
      <c r="Y79" s="4" t="s">
        <v>2</v>
      </c>
      <c r="AA79" s="4" t="s">
        <v>2</v>
      </c>
      <c r="AB79">
        <f>'Imports - Data (Raw)'!AR79/'Imports - Data (Raw)'!AQ79</f>
        <v>14</v>
      </c>
      <c r="AC79" s="4" t="s">
        <v>2</v>
      </c>
      <c r="AE79" s="4" t="s">
        <v>2</v>
      </c>
      <c r="AG79" t="s">
        <v>2</v>
      </c>
    </row>
    <row r="80" spans="1:39" x14ac:dyDescent="0.3">
      <c r="A80" t="s">
        <v>116</v>
      </c>
    </row>
    <row r="81" spans="1:50" x14ac:dyDescent="0.3">
      <c r="A81" s="41"/>
      <c r="B81" s="41"/>
    </row>
    <row r="83" spans="1:50" ht="15" x14ac:dyDescent="0.3">
      <c r="A83" s="44" t="s">
        <v>245</v>
      </c>
      <c r="B83" s="4"/>
      <c r="C83"/>
      <c r="F83" s="4"/>
      <c r="K83" s="4"/>
      <c r="T83" s="4"/>
      <c r="AE83" s="45"/>
      <c r="AH83" s="4"/>
    </row>
    <row r="84" spans="1:50" s="4" customFormat="1" ht="15" x14ac:dyDescent="0.3">
      <c r="A84" s="46" t="s">
        <v>246</v>
      </c>
      <c r="B84" s="4">
        <v>1</v>
      </c>
      <c r="C84" s="38" t="s">
        <v>247</v>
      </c>
      <c r="D84" s="6">
        <v>108</v>
      </c>
      <c r="E84" s="38" t="s">
        <v>248</v>
      </c>
      <c r="H84" s="6"/>
      <c r="J84" s="47"/>
      <c r="M84" s="6"/>
      <c r="N84" s="45"/>
      <c r="O84" s="48"/>
      <c r="Q84" s="6"/>
      <c r="U84" s="6"/>
      <c r="Z84" s="6"/>
      <c r="AC84" s="6"/>
      <c r="AF84" s="6"/>
      <c r="AI84" s="6"/>
      <c r="AL84" s="6"/>
      <c r="AO84" s="6"/>
      <c r="AR84" s="6"/>
      <c r="AU84" s="6"/>
      <c r="AX84" s="6"/>
    </row>
    <row r="85" spans="1:50" s="4" customFormat="1" x14ac:dyDescent="0.3">
      <c r="A85" s="46" t="s">
        <v>246</v>
      </c>
      <c r="B85" s="4">
        <v>1</v>
      </c>
      <c r="C85" s="38" t="s">
        <v>27</v>
      </c>
      <c r="D85" s="6">
        <v>32.5</v>
      </c>
      <c r="E85" s="38" t="s">
        <v>248</v>
      </c>
      <c r="H85" s="6"/>
      <c r="L85"/>
      <c r="M85" s="6"/>
      <c r="O85" s="48"/>
      <c r="Q85" s="6"/>
      <c r="U85" s="6"/>
      <c r="Z85" s="6"/>
      <c r="AC85" s="6"/>
      <c r="AF85" s="6"/>
      <c r="AI85" s="6"/>
      <c r="AL85" s="6"/>
      <c r="AO85" s="6"/>
      <c r="AR85" s="6"/>
      <c r="AU85" s="6"/>
      <c r="AX85" s="6"/>
    </row>
    <row r="86" spans="1:50" x14ac:dyDescent="0.3">
      <c r="A86" s="46"/>
      <c r="B86" s="4">
        <v>1</v>
      </c>
      <c r="C86" s="38" t="s">
        <v>249</v>
      </c>
      <c r="D86" s="6">
        <v>6.5</v>
      </c>
      <c r="E86" s="49" t="s">
        <v>248</v>
      </c>
      <c r="F86" s="4"/>
      <c r="G86" s="38"/>
      <c r="H86" s="6"/>
      <c r="I86" s="38"/>
      <c r="J86" s="6"/>
      <c r="K86" s="38"/>
      <c r="M86" s="6"/>
      <c r="Q86" s="6"/>
      <c r="S86" s="48"/>
      <c r="U86" s="6"/>
      <c r="Z86" s="6"/>
      <c r="AC86" s="6"/>
      <c r="AF86" s="6"/>
      <c r="AI86" s="6"/>
      <c r="AL86" s="6"/>
      <c r="AO86" s="6"/>
      <c r="AR86" s="6"/>
      <c r="AU86" s="6"/>
      <c r="AX86" s="6"/>
    </row>
    <row r="87" spans="1:50" x14ac:dyDescent="0.3">
      <c r="A87" s="46"/>
      <c r="B87" s="4">
        <v>1</v>
      </c>
      <c r="C87" s="38" t="s">
        <v>250</v>
      </c>
      <c r="D87" s="6">
        <v>112</v>
      </c>
      <c r="E87" s="38" t="s">
        <v>15</v>
      </c>
      <c r="F87" s="4"/>
      <c r="G87" s="38"/>
      <c r="H87" s="6"/>
      <c r="I87" s="38"/>
      <c r="J87" s="6"/>
      <c r="K87" s="38"/>
      <c r="M87" s="6"/>
      <c r="Q87" s="6"/>
      <c r="S87" s="48"/>
      <c r="U87" s="6"/>
      <c r="Z87" s="6"/>
      <c r="AC87" s="6"/>
      <c r="AF87" s="6"/>
      <c r="AI87" s="6"/>
      <c r="AL87" s="6"/>
      <c r="AO87" s="6"/>
      <c r="AR87" s="6"/>
      <c r="AU87" s="6"/>
      <c r="AX87" s="6"/>
    </row>
    <row r="88" spans="1:50" x14ac:dyDescent="0.3">
      <c r="A88" s="46"/>
      <c r="B88" s="4">
        <v>1</v>
      </c>
      <c r="C88" s="38" t="s">
        <v>250</v>
      </c>
      <c r="D88" s="6">
        <f>D87/D86</f>
        <v>17.23076923076923</v>
      </c>
      <c r="E88" s="38" t="s">
        <v>249</v>
      </c>
      <c r="F88" s="4"/>
      <c r="G88" s="6"/>
      <c r="H88" s="6"/>
      <c r="I88" s="6"/>
      <c r="K88" s="6"/>
      <c r="M88" s="6"/>
      <c r="N88" s="6"/>
      <c r="Q88" s="6"/>
      <c r="R88" s="48"/>
      <c r="S88" s="4"/>
      <c r="U88" s="6"/>
      <c r="Z88" s="6"/>
      <c r="AC88" s="6"/>
      <c r="AE88" s="48"/>
      <c r="AF88" s="6"/>
      <c r="AI88" s="6"/>
      <c r="AL88" s="6"/>
      <c r="AO88" s="6"/>
      <c r="AR88" s="6"/>
      <c r="AU88" s="6"/>
      <c r="AX88" s="6"/>
    </row>
    <row r="89" spans="1:50" s="4" customFormat="1" ht="15" customHeight="1" x14ac:dyDescent="0.3">
      <c r="A89" s="46"/>
      <c r="B89" s="80">
        <v>1</v>
      </c>
      <c r="C89" s="81" t="s">
        <v>251</v>
      </c>
      <c r="D89" s="82">
        <v>130</v>
      </c>
      <c r="E89" s="83" t="s">
        <v>248</v>
      </c>
      <c r="F89" s="50"/>
      <c r="G89" s="51"/>
      <c r="H89" s="52"/>
      <c r="I89" s="51"/>
      <c r="J89" s="51"/>
      <c r="K89" s="51"/>
      <c r="L89" s="51"/>
      <c r="M89" s="52"/>
      <c r="N89" s="51"/>
      <c r="O89" s="51"/>
      <c r="P89" s="51"/>
      <c r="Q89" s="52"/>
      <c r="R89" s="51"/>
      <c r="U89" s="52"/>
      <c r="Z89" s="52"/>
      <c r="AC89" s="52"/>
      <c r="AF89" s="52"/>
      <c r="AI89" s="52"/>
      <c r="AL89" s="52"/>
      <c r="AO89" s="52"/>
      <c r="AR89" s="52"/>
      <c r="AU89" s="52"/>
      <c r="AX89" s="52"/>
    </row>
    <row r="90" spans="1:50" s="4" customFormat="1" ht="28.8" customHeight="1" x14ac:dyDescent="0.3">
      <c r="B90" s="80"/>
      <c r="C90" s="81"/>
      <c r="D90" s="82"/>
      <c r="E90" s="83"/>
      <c r="H90" s="52"/>
      <c r="M90" s="52"/>
      <c r="Q90" s="52"/>
      <c r="U90" s="52"/>
      <c r="Z90" s="52"/>
      <c r="AC90" s="52"/>
      <c r="AF90" s="52"/>
      <c r="AI90" s="52"/>
      <c r="AL90" s="52"/>
      <c r="AO90" s="52"/>
      <c r="AR90" s="52"/>
      <c r="AU90" s="52"/>
      <c r="AX90" s="52"/>
    </row>
    <row r="91" spans="1:50" s="4" customFormat="1" x14ac:dyDescent="0.3">
      <c r="B91" s="53">
        <v>1</v>
      </c>
      <c r="C91" s="38" t="s">
        <v>252</v>
      </c>
      <c r="D91" s="6">
        <v>260</v>
      </c>
      <c r="E91" s="38" t="s">
        <v>248</v>
      </c>
      <c r="H91" s="6"/>
      <c r="M91" s="6"/>
      <c r="Q91" s="6"/>
      <c r="U91" s="6"/>
      <c r="Z91" s="6"/>
      <c r="AC91" s="6"/>
      <c r="AF91" s="6"/>
      <c r="AI91" s="6"/>
      <c r="AL91" s="6"/>
      <c r="AO91" s="6"/>
      <c r="AR91" s="6"/>
      <c r="AU91" s="6"/>
      <c r="AX91" s="6"/>
    </row>
    <row r="92" spans="1:50" s="4" customFormat="1" x14ac:dyDescent="0.3">
      <c r="B92" s="53">
        <v>1</v>
      </c>
      <c r="C92" s="38" t="s">
        <v>252</v>
      </c>
      <c r="D92" s="6">
        <f>D89/D87</f>
        <v>1.1607142857142858</v>
      </c>
      <c r="E92" s="38" t="s">
        <v>253</v>
      </c>
      <c r="H92" s="6"/>
      <c r="M92" s="6"/>
      <c r="Q92" s="6"/>
      <c r="U92" s="6"/>
      <c r="Z92" s="6"/>
      <c r="AC92" s="6"/>
      <c r="AF92" s="6"/>
      <c r="AI92" s="6"/>
      <c r="AL92" s="6"/>
      <c r="AO92" s="6"/>
      <c r="AR92" s="6"/>
      <c r="AU92" s="6"/>
      <c r="AX92" s="6"/>
    </row>
    <row r="93" spans="1:50" s="4" customFormat="1" x14ac:dyDescent="0.3">
      <c r="B93" s="53">
        <v>1</v>
      </c>
      <c r="C93" s="38" t="s">
        <v>252</v>
      </c>
      <c r="D93" s="6">
        <f>D91/D87</f>
        <v>2.3214285714285716</v>
      </c>
      <c r="E93" s="38" t="s">
        <v>253</v>
      </c>
      <c r="H93" s="6"/>
      <c r="M93" s="6"/>
      <c r="Q93" s="6"/>
      <c r="U93" s="6"/>
      <c r="Z93" s="6"/>
      <c r="AC93" s="6"/>
      <c r="AF93" s="6"/>
      <c r="AI93" s="6"/>
      <c r="AL93" s="6"/>
      <c r="AO93" s="6"/>
      <c r="AR93" s="6"/>
      <c r="AU93" s="6"/>
      <c r="AX93" s="6"/>
    </row>
    <row r="94" spans="1:50" x14ac:dyDescent="0.3">
      <c r="A94" s="46"/>
      <c r="B94" s="53">
        <v>1</v>
      </c>
      <c r="C94" s="38" t="s">
        <v>254</v>
      </c>
      <c r="D94" s="6">
        <v>20</v>
      </c>
      <c r="E94" s="38" t="s">
        <v>253</v>
      </c>
      <c r="F94" s="5">
        <f>D94*D87</f>
        <v>2240</v>
      </c>
      <c r="G94" s="38" t="s">
        <v>248</v>
      </c>
      <c r="H94" s="5">
        <f>F94/D96</f>
        <v>420</v>
      </c>
      <c r="I94" s="66" t="s">
        <v>22</v>
      </c>
      <c r="J94" s="5">
        <f>F94/D95</f>
        <v>1016.048117135833</v>
      </c>
      <c r="K94" s="38" t="s">
        <v>310</v>
      </c>
      <c r="S94" s="4"/>
      <c r="V94" s="48"/>
      <c r="W94" s="48"/>
      <c r="AJ94" s="48"/>
    </row>
    <row r="95" spans="1:50" x14ac:dyDescent="0.3">
      <c r="A95" s="46"/>
      <c r="B95" s="53">
        <v>1</v>
      </c>
      <c r="C95" s="38" t="s">
        <v>14</v>
      </c>
      <c r="D95" s="6">
        <v>2.2046199999999998</v>
      </c>
      <c r="E95" s="38" t="s">
        <v>248</v>
      </c>
      <c r="F95" s="5">
        <f>D95/D87</f>
        <v>1.9684107142857142E-2</v>
      </c>
      <c r="G95" s="66" t="s">
        <v>253</v>
      </c>
      <c r="I95" s="48"/>
      <c r="J95" s="48"/>
      <c r="S95" s="4"/>
      <c r="V95" s="48"/>
      <c r="W95" s="48"/>
      <c r="AJ95" s="48"/>
    </row>
    <row r="96" spans="1:50" x14ac:dyDescent="0.3">
      <c r="A96" s="46"/>
      <c r="B96" s="53">
        <v>1</v>
      </c>
      <c r="C96" s="38" t="s">
        <v>297</v>
      </c>
      <c r="D96" s="6">
        <f>16/3</f>
        <v>5.333333333333333</v>
      </c>
      <c r="E96" s="38" t="s">
        <v>248</v>
      </c>
      <c r="F96" s="5">
        <f>D96/D87</f>
        <v>4.7619047619047616E-2</v>
      </c>
      <c r="G96" s="66" t="s">
        <v>253</v>
      </c>
      <c r="I96" s="48"/>
      <c r="J96" s="48"/>
      <c r="S96" s="4"/>
      <c r="V96" s="48"/>
      <c r="W96" s="48"/>
      <c r="AJ96" s="48"/>
    </row>
    <row r="97" spans="1:37" x14ac:dyDescent="0.3">
      <c r="A97" s="46"/>
      <c r="B97" s="53">
        <v>1</v>
      </c>
      <c r="C97" s="38" t="s">
        <v>298</v>
      </c>
      <c r="D97" s="6">
        <v>100</v>
      </c>
      <c r="E97" s="38" t="s">
        <v>297</v>
      </c>
      <c r="F97" s="5">
        <f>D97*F96</f>
        <v>4.7619047619047619</v>
      </c>
      <c r="G97" s="66" t="s">
        <v>253</v>
      </c>
      <c r="H97" s="6">
        <f>F97/D94</f>
        <v>0.23809523809523808</v>
      </c>
      <c r="I97" s="66" t="s">
        <v>5</v>
      </c>
      <c r="J97" s="48"/>
      <c r="S97" s="4"/>
      <c r="V97" s="48"/>
      <c r="W97" s="48"/>
      <c r="AJ97" s="48"/>
    </row>
    <row r="98" spans="1:37" x14ac:dyDescent="0.3">
      <c r="A98" s="46"/>
      <c r="B98" s="53">
        <v>1</v>
      </c>
      <c r="C98" s="38" t="s">
        <v>294</v>
      </c>
      <c r="D98" s="6">
        <f>D87/D96</f>
        <v>21</v>
      </c>
      <c r="E98" s="38" t="s">
        <v>297</v>
      </c>
      <c r="F98" s="5"/>
      <c r="G98" s="66"/>
      <c r="I98" s="48"/>
      <c r="J98" s="48"/>
      <c r="S98" s="4"/>
      <c r="V98" s="48"/>
      <c r="W98" s="48"/>
      <c r="AJ98" s="48"/>
    </row>
    <row r="99" spans="1:37" x14ac:dyDescent="0.3">
      <c r="A99" s="46"/>
      <c r="B99" s="48"/>
      <c r="C99"/>
      <c r="F99" s="48"/>
      <c r="G99" s="48"/>
      <c r="H99" s="48"/>
      <c r="J99" s="48"/>
      <c r="K99" s="48"/>
      <c r="T99" s="4"/>
      <c r="W99" s="48"/>
      <c r="X99" s="48"/>
      <c r="AK99" s="48"/>
    </row>
    <row r="100" spans="1:37" x14ac:dyDescent="0.3">
      <c r="A100" s="46"/>
      <c r="B100" s="46">
        <v>1</v>
      </c>
      <c r="C100" s="38" t="s">
        <v>247</v>
      </c>
      <c r="D100" s="6">
        <v>108</v>
      </c>
      <c r="E100" s="38" t="s">
        <v>248</v>
      </c>
      <c r="H100" s="38"/>
      <c r="I100" s="6"/>
      <c r="J100" s="6"/>
      <c r="K100" s="38"/>
      <c r="M100" s="54"/>
      <c r="N100" s="54"/>
      <c r="O100" s="54"/>
      <c r="P100" s="54"/>
      <c r="Q100" s="4"/>
      <c r="R100" s="4"/>
      <c r="S100" s="55"/>
      <c r="T100" s="55"/>
      <c r="U100" s="55"/>
      <c r="V100" s="48"/>
      <c r="W100" s="4"/>
      <c r="X100" s="4"/>
      <c r="Y100" s="4"/>
      <c r="Z100" s="4"/>
    </row>
    <row r="101" spans="1:37" x14ac:dyDescent="0.3">
      <c r="A101" s="46"/>
      <c r="B101" s="46">
        <v>1</v>
      </c>
      <c r="C101" s="38" t="s">
        <v>27</v>
      </c>
      <c r="D101" s="6">
        <v>32.5</v>
      </c>
      <c r="E101" s="38" t="s">
        <v>248</v>
      </c>
      <c r="F101" s="4"/>
      <c r="G101" s="4"/>
      <c r="H101" s="38"/>
      <c r="I101" s="6"/>
      <c r="J101" s="6"/>
      <c r="K101" s="38"/>
      <c r="M101" s="54"/>
      <c r="N101" s="54"/>
      <c r="O101" s="54"/>
      <c r="P101" s="54"/>
      <c r="Q101" s="4"/>
      <c r="R101" s="4"/>
      <c r="S101" s="55"/>
      <c r="T101" s="55"/>
      <c r="U101" s="55"/>
      <c r="V101" s="48"/>
      <c r="W101" s="4"/>
      <c r="X101" s="4"/>
      <c r="Y101" s="4"/>
      <c r="Z101" s="4"/>
    </row>
    <row r="102" spans="1:37" x14ac:dyDescent="0.3">
      <c r="A102" s="46"/>
      <c r="B102" s="46">
        <v>1</v>
      </c>
      <c r="C102" s="38" t="s">
        <v>250</v>
      </c>
      <c r="D102" s="6">
        <v>112</v>
      </c>
      <c r="E102" s="38" t="s">
        <v>15</v>
      </c>
      <c r="H102" s="38"/>
      <c r="I102" s="6"/>
      <c r="J102" s="6"/>
      <c r="K102" s="38"/>
      <c r="M102" s="54"/>
      <c r="N102" s="54"/>
      <c r="O102" s="54"/>
      <c r="P102" s="54"/>
      <c r="Q102" s="4"/>
      <c r="R102" s="4"/>
      <c r="S102" s="55"/>
      <c r="T102" s="55"/>
      <c r="U102" s="55"/>
      <c r="V102" s="48"/>
      <c r="W102" s="4"/>
      <c r="X102" s="4"/>
      <c r="Y102" s="4"/>
      <c r="Z102" s="4"/>
    </row>
    <row r="103" spans="1:37" ht="14.4" customHeight="1" x14ac:dyDescent="0.3">
      <c r="A103" s="46"/>
      <c r="B103" s="84">
        <v>1</v>
      </c>
      <c r="C103" s="81" t="s">
        <v>251</v>
      </c>
      <c r="D103" s="82">
        <v>130</v>
      </c>
      <c r="E103" s="83" t="s">
        <v>248</v>
      </c>
      <c r="H103" s="38"/>
      <c r="I103" s="6"/>
      <c r="J103" s="6"/>
      <c r="K103" s="38"/>
      <c r="M103" s="54"/>
      <c r="N103" s="54"/>
      <c r="O103" s="54"/>
      <c r="P103" s="54"/>
      <c r="Q103" s="4"/>
      <c r="R103" s="4"/>
      <c r="S103" s="55"/>
      <c r="T103" s="55"/>
      <c r="U103" s="55"/>
      <c r="V103" s="48"/>
      <c r="W103" s="4"/>
      <c r="X103" s="4"/>
      <c r="Y103" s="4"/>
      <c r="Z103" s="4"/>
    </row>
    <row r="104" spans="1:37" ht="14.4" customHeight="1" x14ac:dyDescent="0.3">
      <c r="A104" s="46"/>
      <c r="B104" s="84"/>
      <c r="C104" s="81"/>
      <c r="D104" s="82"/>
      <c r="E104" s="83"/>
      <c r="F104" s="4"/>
      <c r="G104" s="4"/>
      <c r="H104" s="38"/>
      <c r="I104" s="6"/>
      <c r="J104" s="6"/>
      <c r="K104" s="38"/>
      <c r="M104" s="54"/>
      <c r="N104" s="54"/>
      <c r="O104" s="54"/>
      <c r="P104" s="54"/>
      <c r="Q104" s="4"/>
      <c r="R104" s="4"/>
      <c r="S104" s="55"/>
      <c r="T104" s="55"/>
      <c r="U104" s="55"/>
      <c r="V104" s="48"/>
      <c r="W104" s="4"/>
      <c r="X104" s="4"/>
      <c r="Y104" s="4"/>
      <c r="Z104" s="4"/>
    </row>
    <row r="105" spans="1:37" x14ac:dyDescent="0.3">
      <c r="A105" s="46"/>
      <c r="B105" s="56">
        <v>1</v>
      </c>
      <c r="C105" s="38" t="s">
        <v>252</v>
      </c>
      <c r="D105" s="6">
        <v>260</v>
      </c>
      <c r="E105" s="38" t="s">
        <v>248</v>
      </c>
      <c r="F105" s="4"/>
      <c r="G105" s="4"/>
      <c r="H105" s="38"/>
      <c r="I105" s="6"/>
      <c r="J105" s="6"/>
      <c r="K105" s="38"/>
      <c r="M105" s="54"/>
      <c r="N105" s="54"/>
      <c r="O105" s="54"/>
      <c r="P105" s="54"/>
      <c r="Q105" s="4"/>
      <c r="R105" s="4"/>
      <c r="S105" s="55"/>
      <c r="T105" s="55"/>
      <c r="U105" s="55"/>
      <c r="V105" s="48"/>
      <c r="W105" s="4"/>
      <c r="X105" s="4"/>
      <c r="Y105" s="4"/>
      <c r="Z105" s="4"/>
    </row>
    <row r="106" spans="1:37" x14ac:dyDescent="0.3">
      <c r="A106" s="46"/>
      <c r="B106" s="56">
        <v>1</v>
      </c>
      <c r="C106" s="38" t="s">
        <v>328</v>
      </c>
      <c r="D106" s="6">
        <f>D103/D102</f>
        <v>1.1607142857142858</v>
      </c>
      <c r="E106" s="38" t="s">
        <v>253</v>
      </c>
      <c r="F106" s="4"/>
      <c r="G106" s="4"/>
      <c r="H106" s="38"/>
      <c r="I106" s="6"/>
      <c r="J106" s="6"/>
      <c r="K106" s="38"/>
      <c r="M106" s="54"/>
      <c r="N106" s="54"/>
      <c r="O106" s="54"/>
      <c r="P106" s="54"/>
      <c r="Q106" s="4"/>
      <c r="R106" s="4"/>
      <c r="S106" s="55"/>
      <c r="T106" s="55"/>
      <c r="U106" s="55"/>
      <c r="V106" s="48"/>
      <c r="W106" s="4"/>
      <c r="X106" s="4"/>
      <c r="Y106" s="4"/>
      <c r="Z106" s="4"/>
    </row>
    <row r="107" spans="1:37" x14ac:dyDescent="0.3">
      <c r="A107" s="46"/>
      <c r="B107" s="56">
        <v>1</v>
      </c>
      <c r="C107" s="38" t="s">
        <v>252</v>
      </c>
      <c r="D107" s="6">
        <f>D105/D102</f>
        <v>2.3214285714285716</v>
      </c>
      <c r="E107" s="38" t="s">
        <v>253</v>
      </c>
      <c r="F107" s="4"/>
      <c r="G107" s="4"/>
      <c r="H107" s="38"/>
      <c r="I107" s="6"/>
      <c r="J107" s="6"/>
      <c r="K107" s="38"/>
      <c r="M107" s="54"/>
      <c r="N107" s="54"/>
      <c r="O107" s="54"/>
      <c r="P107" s="54"/>
      <c r="Q107" s="4"/>
      <c r="R107" s="4"/>
      <c r="S107" s="55"/>
      <c r="T107" s="55"/>
      <c r="U107" s="55"/>
      <c r="V107" s="48"/>
      <c r="W107" s="4"/>
      <c r="X107" s="4"/>
      <c r="Y107" s="4"/>
      <c r="Z107" s="4"/>
    </row>
    <row r="108" spans="1:37" x14ac:dyDescent="0.3">
      <c r="A108" s="4"/>
      <c r="B108" s="4"/>
      <c r="C108" s="4"/>
      <c r="D108" s="4"/>
      <c r="E108" s="4"/>
      <c r="F108" s="4"/>
      <c r="G108" s="4"/>
      <c r="H108" s="38"/>
      <c r="I108" s="6"/>
      <c r="J108" s="6"/>
      <c r="K108" s="38"/>
      <c r="M108" s="54"/>
      <c r="N108" s="54"/>
      <c r="O108" s="54"/>
      <c r="P108" s="54"/>
      <c r="Q108" s="4"/>
      <c r="R108" s="4"/>
      <c r="S108" s="55"/>
      <c r="T108" s="55"/>
      <c r="U108" s="55"/>
      <c r="V108" s="48"/>
      <c r="W108" s="4"/>
      <c r="X108" s="4"/>
      <c r="Y108" s="4"/>
      <c r="Z108" s="4"/>
    </row>
    <row r="109" spans="1:37" x14ac:dyDescent="0.3">
      <c r="A109" s="4" t="s">
        <v>255</v>
      </c>
      <c r="B109" s="4">
        <v>1</v>
      </c>
      <c r="C109" s="49" t="s">
        <v>256</v>
      </c>
      <c r="D109" s="4">
        <v>373.33</v>
      </c>
      <c r="E109" s="38" t="s">
        <v>248</v>
      </c>
      <c r="F109" s="5">
        <f>D109/D102</f>
        <v>3.3333035714285715</v>
      </c>
      <c r="G109" s="38" t="s">
        <v>253</v>
      </c>
      <c r="H109" s="38"/>
      <c r="I109" s="6"/>
      <c r="J109" s="6"/>
      <c r="K109" s="38"/>
      <c r="M109" s="54"/>
      <c r="N109" s="54"/>
      <c r="O109" s="54"/>
      <c r="P109" s="54"/>
      <c r="Q109" s="4"/>
      <c r="R109" s="4"/>
      <c r="S109" s="55"/>
      <c r="T109" s="55"/>
      <c r="U109" s="55"/>
      <c r="V109" s="48"/>
      <c r="W109" s="4"/>
      <c r="X109" s="4"/>
      <c r="Y109" s="4"/>
      <c r="Z109" s="4"/>
    </row>
    <row r="110" spans="1:37" x14ac:dyDescent="0.3">
      <c r="A110" s="4" t="s">
        <v>257</v>
      </c>
      <c r="B110" s="4">
        <v>1</v>
      </c>
      <c r="C110" s="49" t="s">
        <v>247</v>
      </c>
      <c r="D110" s="4">
        <v>0.5</v>
      </c>
      <c r="E110" s="38" t="s">
        <v>253</v>
      </c>
      <c r="F110" s="4"/>
      <c r="G110" s="4"/>
      <c r="H110" s="38"/>
      <c r="I110" s="6"/>
      <c r="J110" s="6"/>
      <c r="K110" s="38"/>
      <c r="M110" s="54"/>
      <c r="N110" s="54"/>
      <c r="O110" s="54"/>
      <c r="P110" s="54"/>
      <c r="Q110" s="4"/>
      <c r="R110" s="4"/>
      <c r="S110" s="55"/>
      <c r="T110" s="55"/>
      <c r="U110" s="55"/>
      <c r="V110" s="48"/>
      <c r="W110" s="4"/>
      <c r="X110" s="4"/>
      <c r="Y110" s="4"/>
      <c r="Z110" s="4"/>
    </row>
    <row r="111" spans="1:37" x14ac:dyDescent="0.3">
      <c r="A111" s="4" t="s">
        <v>62</v>
      </c>
      <c r="B111">
        <v>1</v>
      </c>
      <c r="C111" s="38" t="s">
        <v>258</v>
      </c>
      <c r="D111" s="6">
        <v>1.5</v>
      </c>
      <c r="E111" s="38" t="s">
        <v>253</v>
      </c>
      <c r="G111" s="38"/>
      <c r="H111" s="38"/>
      <c r="I111" s="6"/>
      <c r="J111" s="6"/>
      <c r="K111" s="38"/>
      <c r="M111" s="54"/>
      <c r="N111" s="54"/>
      <c r="O111" s="54"/>
      <c r="P111" s="54"/>
      <c r="Q111" s="4"/>
      <c r="R111" s="4"/>
      <c r="S111" s="55"/>
      <c r="T111" s="55"/>
      <c r="U111" s="55"/>
      <c r="V111" s="48"/>
      <c r="W111" s="4"/>
      <c r="X111" s="4"/>
      <c r="Y111" s="4"/>
      <c r="Z111" s="4"/>
    </row>
    <row r="112" spans="1:37" x14ac:dyDescent="0.3">
      <c r="A112" s="4" t="s">
        <v>259</v>
      </c>
      <c r="B112">
        <v>1</v>
      </c>
      <c r="C112" s="38" t="s">
        <v>258</v>
      </c>
      <c r="D112" s="6">
        <v>1.75</v>
      </c>
      <c r="E112" s="38" t="s">
        <v>253</v>
      </c>
      <c r="G112" s="38"/>
      <c r="H112" s="38"/>
      <c r="I112" s="6"/>
      <c r="J112" s="6"/>
      <c r="K112" s="38"/>
      <c r="M112" s="54"/>
      <c r="N112" s="54"/>
      <c r="O112" s="54"/>
      <c r="P112" s="54"/>
      <c r="Q112" s="4"/>
      <c r="R112" s="4"/>
      <c r="S112" s="55"/>
      <c r="T112" s="55"/>
      <c r="U112" s="55"/>
      <c r="V112" s="48"/>
      <c r="W112" s="4"/>
      <c r="X112" s="4"/>
      <c r="Y112" s="4"/>
      <c r="Z112" s="4"/>
    </row>
    <row r="113" spans="1:26" x14ac:dyDescent="0.3">
      <c r="A113" s="4" t="s">
        <v>260</v>
      </c>
      <c r="B113">
        <v>1</v>
      </c>
      <c r="C113" s="38" t="s">
        <v>258</v>
      </c>
      <c r="D113" s="6">
        <v>1.5</v>
      </c>
      <c r="E113" s="38" t="s">
        <v>253</v>
      </c>
      <c r="G113" s="38"/>
      <c r="H113" s="38"/>
      <c r="I113" s="6"/>
      <c r="J113" s="6"/>
      <c r="K113" s="38"/>
      <c r="M113" s="54"/>
      <c r="N113" s="54"/>
      <c r="O113" s="54"/>
      <c r="P113" s="54"/>
      <c r="Q113" s="4"/>
      <c r="R113" s="4"/>
      <c r="S113" s="55"/>
      <c r="T113" s="55"/>
      <c r="U113" s="55"/>
      <c r="V113" s="48"/>
      <c r="W113" s="4"/>
      <c r="X113" s="4"/>
      <c r="Y113" s="4"/>
      <c r="Z113" s="4"/>
    </row>
    <row r="114" spans="1:26" x14ac:dyDescent="0.3">
      <c r="A114" s="4" t="s">
        <v>261</v>
      </c>
      <c r="B114">
        <v>1</v>
      </c>
      <c r="C114" s="38" t="s">
        <v>256</v>
      </c>
      <c r="D114" s="6">
        <v>1.26</v>
      </c>
      <c r="E114" s="38" t="s">
        <v>253</v>
      </c>
      <c r="G114" s="38"/>
      <c r="H114" s="38"/>
      <c r="I114" s="6"/>
      <c r="J114" s="6"/>
      <c r="K114" s="38"/>
      <c r="M114" s="54"/>
      <c r="N114" s="54"/>
      <c r="O114" s="54"/>
      <c r="P114" s="54"/>
      <c r="Q114" s="4"/>
      <c r="R114" s="4"/>
      <c r="S114" s="55"/>
      <c r="T114" s="55"/>
      <c r="U114" s="55"/>
      <c r="V114" s="48"/>
      <c r="W114" s="4"/>
      <c r="X114" s="4"/>
      <c r="Y114" s="4"/>
      <c r="Z114" s="4"/>
    </row>
    <row r="115" spans="1:26" x14ac:dyDescent="0.3">
      <c r="A115" s="4" t="s">
        <v>71</v>
      </c>
      <c r="B115">
        <v>1</v>
      </c>
      <c r="C115" s="38" t="s">
        <v>262</v>
      </c>
      <c r="D115" s="6">
        <v>15.9</v>
      </c>
      <c r="E115" s="38" t="s">
        <v>253</v>
      </c>
      <c r="G115" s="38"/>
      <c r="H115" s="38"/>
      <c r="I115" s="6"/>
      <c r="J115" s="6"/>
      <c r="K115" s="38"/>
      <c r="M115" s="54"/>
      <c r="N115" s="54"/>
      <c r="O115" s="54"/>
      <c r="P115" s="54"/>
      <c r="Q115" s="4"/>
      <c r="R115" s="4"/>
      <c r="S115" s="55"/>
      <c r="T115" s="55"/>
      <c r="U115" s="55"/>
      <c r="V115" s="48"/>
      <c r="W115" s="4"/>
      <c r="X115" s="4"/>
      <c r="Y115" s="4"/>
      <c r="Z115" s="4"/>
    </row>
    <row r="116" spans="1:26" x14ac:dyDescent="0.3">
      <c r="A116" s="4" t="s">
        <v>263</v>
      </c>
      <c r="B116">
        <v>1</v>
      </c>
      <c r="C116" s="38" t="s">
        <v>264</v>
      </c>
      <c r="D116" s="6">
        <f>439.681/D102</f>
        <v>3.9257232142857141</v>
      </c>
      <c r="E116" s="38" t="s">
        <v>253</v>
      </c>
      <c r="G116" s="38"/>
      <c r="I116" s="6"/>
      <c r="J116" s="6"/>
      <c r="K116" s="38"/>
      <c r="M116" s="54"/>
      <c r="N116" s="54"/>
      <c r="O116" s="54"/>
      <c r="P116" s="54"/>
      <c r="Q116" s="4"/>
      <c r="R116" s="4"/>
      <c r="S116" s="55"/>
      <c r="T116" s="55"/>
      <c r="U116" s="55"/>
      <c r="V116" s="48"/>
      <c r="W116" s="4"/>
      <c r="X116" s="4"/>
      <c r="Y116" s="4"/>
      <c r="Z116" s="4"/>
    </row>
    <row r="117" spans="1:26" x14ac:dyDescent="0.3">
      <c r="A117" s="4" t="s">
        <v>265</v>
      </c>
      <c r="B117">
        <v>1</v>
      </c>
      <c r="C117" s="38" t="s">
        <v>264</v>
      </c>
      <c r="D117" s="6">
        <v>3</v>
      </c>
      <c r="E117" s="38" t="s">
        <v>253</v>
      </c>
      <c r="G117" s="38"/>
      <c r="M117" s="54"/>
      <c r="N117" s="54"/>
      <c r="O117" s="54"/>
      <c r="P117" s="54"/>
      <c r="Q117" s="48"/>
      <c r="R117" s="48"/>
      <c r="S117" s="55"/>
      <c r="T117" s="55"/>
      <c r="U117" s="55"/>
      <c r="V117" s="48"/>
      <c r="W117" s="4"/>
      <c r="X117" s="4"/>
      <c r="Y117" s="4"/>
      <c r="Z117" s="4"/>
    </row>
    <row r="118" spans="1:26" x14ac:dyDescent="0.3">
      <c r="A118" s="4" t="s">
        <v>82</v>
      </c>
      <c r="B118">
        <v>1</v>
      </c>
      <c r="C118" s="38" t="s">
        <v>264</v>
      </c>
      <c r="D118" s="6">
        <v>2.98</v>
      </c>
      <c r="E118" s="38" t="s">
        <v>253</v>
      </c>
      <c r="G118" s="38"/>
      <c r="M118" s="54"/>
      <c r="N118" s="54"/>
      <c r="O118" s="54"/>
      <c r="P118" s="54"/>
      <c r="Q118" s="48"/>
      <c r="R118" s="48"/>
      <c r="S118" s="55"/>
      <c r="T118" s="55"/>
      <c r="U118" s="55"/>
      <c r="V118" s="48"/>
      <c r="W118" s="4"/>
      <c r="X118" s="4"/>
      <c r="Y118" s="4"/>
      <c r="Z118" s="4"/>
    </row>
    <row r="119" spans="1:26" x14ac:dyDescent="0.3">
      <c r="A119" s="4" t="s">
        <v>70</v>
      </c>
      <c r="B119">
        <v>1</v>
      </c>
      <c r="C119" s="38" t="s">
        <v>266</v>
      </c>
      <c r="D119" s="6">
        <v>9</v>
      </c>
      <c r="E119" s="38" t="s">
        <v>267</v>
      </c>
      <c r="G119" s="38"/>
      <c r="M119" s="54"/>
      <c r="N119" s="54"/>
      <c r="O119" s="54"/>
      <c r="P119" s="54"/>
      <c r="Q119" s="48"/>
      <c r="R119" s="48"/>
      <c r="S119" s="55"/>
      <c r="T119" s="55"/>
      <c r="U119" s="55"/>
      <c r="V119" s="48"/>
      <c r="W119" s="4"/>
      <c r="X119" s="4"/>
      <c r="Y119" s="4"/>
      <c r="Z119" s="4"/>
    </row>
    <row r="120" spans="1:26" x14ac:dyDescent="0.3">
      <c r="A120" s="4" t="s">
        <v>268</v>
      </c>
      <c r="B120">
        <v>1</v>
      </c>
      <c r="C120" s="38" t="s">
        <v>269</v>
      </c>
      <c r="D120" s="6">
        <v>9</v>
      </c>
      <c r="E120" s="38" t="s">
        <v>267</v>
      </c>
      <c r="G120" s="38"/>
      <c r="M120" s="54"/>
      <c r="N120" s="54"/>
      <c r="O120" s="54"/>
      <c r="P120" s="54"/>
      <c r="Q120" s="48"/>
      <c r="R120" s="48"/>
      <c r="S120" s="55"/>
      <c r="T120" s="55"/>
      <c r="U120" s="55"/>
      <c r="V120" s="48"/>
      <c r="W120" s="4"/>
      <c r="X120" s="4"/>
      <c r="Y120" s="4"/>
      <c r="Z120" s="4"/>
    </row>
    <row r="121" spans="1:26" x14ac:dyDescent="0.3">
      <c r="A121" s="4" t="s">
        <v>73</v>
      </c>
      <c r="B121">
        <v>1</v>
      </c>
      <c r="C121" s="38" t="s">
        <v>258</v>
      </c>
      <c r="D121" s="6">
        <v>1.75</v>
      </c>
      <c r="E121" s="38" t="s">
        <v>253</v>
      </c>
      <c r="F121">
        <f>D121*D102</f>
        <v>196</v>
      </c>
      <c r="G121" s="38" t="s">
        <v>248</v>
      </c>
      <c r="M121" s="54"/>
      <c r="N121" s="54"/>
      <c r="O121" s="54"/>
      <c r="P121" s="54"/>
      <c r="Q121" s="48"/>
      <c r="R121" s="48"/>
      <c r="S121" s="55"/>
      <c r="T121" s="55"/>
      <c r="U121" s="55"/>
      <c r="V121" s="48"/>
      <c r="W121" s="4"/>
      <c r="X121" s="4"/>
      <c r="Y121" s="4"/>
      <c r="Z121" s="4"/>
    </row>
    <row r="122" spans="1:26" x14ac:dyDescent="0.3">
      <c r="A122" s="4" t="s">
        <v>73</v>
      </c>
      <c r="B122">
        <v>1</v>
      </c>
      <c r="C122" s="38" t="s">
        <v>256</v>
      </c>
      <c r="D122" s="6">
        <v>175</v>
      </c>
      <c r="E122" s="38" t="s">
        <v>248</v>
      </c>
      <c r="F122" s="6">
        <f>D122/D102</f>
        <v>1.5625</v>
      </c>
      <c r="G122" s="38" t="s">
        <v>250</v>
      </c>
      <c r="M122" s="54"/>
      <c r="N122" s="54"/>
      <c r="O122" s="54"/>
      <c r="P122" s="54"/>
      <c r="Q122" s="48"/>
      <c r="R122" s="48"/>
      <c r="S122" s="55"/>
      <c r="T122" s="55"/>
      <c r="U122" s="55"/>
      <c r="V122" s="48"/>
      <c r="W122" s="4"/>
      <c r="X122" s="4"/>
      <c r="Y122" s="4"/>
      <c r="Z122" s="4"/>
    </row>
    <row r="123" spans="1:26" x14ac:dyDescent="0.3">
      <c r="A123" s="4" t="s">
        <v>270</v>
      </c>
      <c r="B123">
        <v>1</v>
      </c>
      <c r="C123" s="38" t="s">
        <v>271</v>
      </c>
      <c r="D123" s="6">
        <v>0.15175</v>
      </c>
      <c r="E123" s="38" t="s">
        <v>253</v>
      </c>
      <c r="F123" s="6">
        <v>16.997</v>
      </c>
      <c r="G123" s="38" t="s">
        <v>248</v>
      </c>
      <c r="M123" s="54"/>
      <c r="N123" s="54"/>
      <c r="O123" s="54"/>
      <c r="P123" s="54"/>
      <c r="Q123" s="48"/>
      <c r="R123" s="48"/>
      <c r="S123" s="55"/>
      <c r="T123" s="55"/>
      <c r="U123" s="55"/>
      <c r="V123" s="48"/>
      <c r="W123" s="4"/>
      <c r="X123" s="4"/>
      <c r="Y123" s="4"/>
      <c r="Z123" s="4"/>
    </row>
    <row r="124" spans="1:26" x14ac:dyDescent="0.3">
      <c r="A124" s="4" t="s">
        <v>61</v>
      </c>
      <c r="B124">
        <v>1</v>
      </c>
      <c r="C124" s="38" t="s">
        <v>258</v>
      </c>
      <c r="D124" s="6">
        <v>1.5</v>
      </c>
      <c r="E124" s="38" t="s">
        <v>253</v>
      </c>
      <c r="G124" s="38"/>
      <c r="M124" s="54"/>
      <c r="N124" s="54"/>
      <c r="O124" s="54"/>
      <c r="P124" s="54"/>
      <c r="Q124" s="48"/>
      <c r="R124" s="48"/>
      <c r="S124" s="55"/>
      <c r="T124" s="55"/>
      <c r="U124" s="55"/>
      <c r="V124" s="48"/>
      <c r="W124" s="4"/>
      <c r="X124" s="4"/>
      <c r="Y124" s="4"/>
      <c r="Z124" s="4"/>
    </row>
    <row r="125" spans="1:26" x14ac:dyDescent="0.3">
      <c r="A125" s="4" t="s">
        <v>272</v>
      </c>
      <c r="B125">
        <v>1</v>
      </c>
      <c r="C125" s="38" t="s">
        <v>258</v>
      </c>
      <c r="D125" s="6">
        <v>1.625</v>
      </c>
      <c r="E125" s="38" t="s">
        <v>253</v>
      </c>
      <c r="G125" s="38"/>
      <c r="M125" s="54"/>
      <c r="N125" s="54"/>
      <c r="O125" s="54"/>
      <c r="P125" s="54"/>
      <c r="Q125" s="48"/>
      <c r="R125" s="48"/>
      <c r="S125" s="55"/>
      <c r="T125" s="55"/>
      <c r="U125" s="55"/>
      <c r="V125" s="48"/>
      <c r="W125" s="4"/>
      <c r="X125" s="4"/>
      <c r="Y125" s="4"/>
      <c r="Z125" s="4"/>
    </row>
    <row r="126" spans="1:26" x14ac:dyDescent="0.3">
      <c r="A126" s="4" t="s">
        <v>59</v>
      </c>
      <c r="B126">
        <v>1</v>
      </c>
      <c r="C126" s="38" t="s">
        <v>258</v>
      </c>
      <c r="D126" s="6">
        <v>1.5</v>
      </c>
      <c r="E126" s="38" t="s">
        <v>253</v>
      </c>
      <c r="G126" s="38"/>
      <c r="M126" s="54"/>
      <c r="N126" s="54"/>
      <c r="O126" s="54"/>
      <c r="P126" s="54"/>
      <c r="Q126" s="48"/>
      <c r="R126" s="48"/>
      <c r="S126" s="55"/>
      <c r="T126" s="55"/>
      <c r="U126" s="55"/>
      <c r="V126" s="48"/>
      <c r="W126" s="4"/>
      <c r="X126" s="4"/>
      <c r="Y126" s="4"/>
      <c r="Z126" s="4"/>
    </row>
    <row r="127" spans="1:26" x14ac:dyDescent="0.3">
      <c r="A127" s="4" t="s">
        <v>273</v>
      </c>
      <c r="B127">
        <v>1</v>
      </c>
      <c r="C127" s="38" t="s">
        <v>258</v>
      </c>
      <c r="D127" s="6">
        <v>1.5</v>
      </c>
      <c r="E127" s="38" t="s">
        <v>253</v>
      </c>
      <c r="G127" s="38"/>
      <c r="M127" s="54"/>
      <c r="N127" s="54"/>
      <c r="O127" s="54"/>
      <c r="P127" s="54"/>
      <c r="Q127" s="48"/>
      <c r="R127" s="48"/>
      <c r="S127" s="55"/>
      <c r="T127" s="55"/>
      <c r="U127" s="55"/>
      <c r="V127" s="48"/>
      <c r="W127" s="4"/>
      <c r="X127" s="4"/>
      <c r="Y127" s="4"/>
      <c r="Z127" s="4"/>
    </row>
    <row r="128" spans="1:26" x14ac:dyDescent="0.3">
      <c r="A128" s="79" t="s">
        <v>274</v>
      </c>
      <c r="B128">
        <v>1</v>
      </c>
      <c r="C128" s="38" t="s">
        <v>275</v>
      </c>
      <c r="D128" s="6">
        <v>18.559999999999999</v>
      </c>
      <c r="E128" s="38" t="s">
        <v>267</v>
      </c>
      <c r="G128" s="38"/>
      <c r="M128" s="54"/>
      <c r="N128" s="54"/>
      <c r="O128" s="54"/>
      <c r="P128" s="54"/>
      <c r="Q128" s="48"/>
      <c r="R128" s="48"/>
      <c r="S128" s="55"/>
      <c r="T128" s="55"/>
      <c r="U128" s="55"/>
      <c r="V128" s="48"/>
      <c r="W128" s="4"/>
      <c r="X128" s="4"/>
      <c r="Y128" s="4"/>
      <c r="Z128" s="4"/>
    </row>
    <row r="129" spans="1:26" x14ac:dyDescent="0.3">
      <c r="A129" s="79"/>
      <c r="B129">
        <v>1</v>
      </c>
      <c r="C129" s="38" t="s">
        <v>276</v>
      </c>
      <c r="D129" s="6">
        <v>164</v>
      </c>
      <c r="E129" s="38" t="s">
        <v>248</v>
      </c>
      <c r="F129" s="6">
        <f>D129/D87</f>
        <v>1.4642857142857142</v>
      </c>
      <c r="G129" s="38" t="s">
        <v>253</v>
      </c>
      <c r="M129" s="54"/>
      <c r="N129" s="54"/>
      <c r="O129" s="54"/>
      <c r="P129" s="54"/>
      <c r="Q129" s="48"/>
      <c r="R129" s="48"/>
      <c r="S129" s="55"/>
      <c r="T129" s="55"/>
      <c r="U129" s="55"/>
      <c r="V129" s="48"/>
      <c r="W129" s="4"/>
      <c r="X129" s="4"/>
      <c r="Y129" s="4"/>
      <c r="Z129" s="4"/>
    </row>
    <row r="130" spans="1:26" x14ac:dyDescent="0.3">
      <c r="A130" s="79" t="s">
        <v>277</v>
      </c>
      <c r="B130">
        <v>1</v>
      </c>
      <c r="C130" s="38" t="s">
        <v>278</v>
      </c>
      <c r="D130" s="6">
        <v>336</v>
      </c>
      <c r="E130" s="38" t="s">
        <v>248</v>
      </c>
      <c r="F130" s="6">
        <v>3</v>
      </c>
      <c r="G130" s="38" t="s">
        <v>253</v>
      </c>
      <c r="M130" s="54"/>
      <c r="N130" s="54"/>
      <c r="O130" s="54"/>
      <c r="P130" s="54"/>
      <c r="Q130" s="48"/>
      <c r="R130" s="48"/>
      <c r="S130" s="55"/>
      <c r="T130" s="55"/>
      <c r="U130" s="55"/>
      <c r="V130" s="48"/>
      <c r="W130" s="4"/>
      <c r="X130" s="4"/>
      <c r="Y130" s="4"/>
      <c r="Z130" s="4"/>
    </row>
    <row r="131" spans="1:26" x14ac:dyDescent="0.3">
      <c r="A131" s="79"/>
      <c r="B131">
        <v>1</v>
      </c>
      <c r="C131" s="38" t="s">
        <v>279</v>
      </c>
      <c r="D131" s="6">
        <v>240</v>
      </c>
      <c r="E131" s="38" t="s">
        <v>248</v>
      </c>
      <c r="F131" s="6">
        <f>D131/D102</f>
        <v>2.1428571428571428</v>
      </c>
      <c r="G131" s="38" t="s">
        <v>253</v>
      </c>
      <c r="M131" s="54"/>
      <c r="N131" s="54"/>
      <c r="O131" s="54"/>
      <c r="P131" s="54"/>
      <c r="Q131" s="48"/>
      <c r="R131" s="48"/>
      <c r="S131" s="55"/>
      <c r="T131" s="55"/>
      <c r="U131" s="55"/>
      <c r="V131" s="48"/>
      <c r="W131" s="4"/>
      <c r="X131" s="4"/>
      <c r="Y131" s="4"/>
      <c r="Z131" s="4"/>
    </row>
    <row r="132" spans="1:26" x14ac:dyDescent="0.3">
      <c r="A132" s="79" t="s">
        <v>280</v>
      </c>
      <c r="B132">
        <v>1</v>
      </c>
      <c r="C132" s="38" t="s">
        <v>281</v>
      </c>
      <c r="D132" s="6">
        <v>3.40835</v>
      </c>
      <c r="E132" s="38" t="s">
        <v>258</v>
      </c>
      <c r="F132" s="6">
        <f>D132*D133/D102</f>
        <v>5.9646125000000003</v>
      </c>
      <c r="G132" s="38" t="s">
        <v>253</v>
      </c>
      <c r="M132" s="54"/>
      <c r="N132" s="54"/>
      <c r="O132" s="54"/>
      <c r="P132" s="54"/>
      <c r="Q132" s="48"/>
      <c r="R132" s="48"/>
      <c r="S132" s="55"/>
      <c r="T132" s="55"/>
      <c r="U132" s="55"/>
      <c r="V132" s="48"/>
      <c r="W132" s="4"/>
      <c r="X132" s="4"/>
      <c r="Y132" s="4"/>
      <c r="Z132" s="4"/>
    </row>
    <row r="133" spans="1:26" x14ac:dyDescent="0.3">
      <c r="A133" s="79"/>
      <c r="B133">
        <v>1</v>
      </c>
      <c r="C133" s="38" t="s">
        <v>258</v>
      </c>
      <c r="D133" s="5">
        <v>196</v>
      </c>
      <c r="E133" s="38" t="s">
        <v>248</v>
      </c>
      <c r="F133" s="6"/>
      <c r="G133" s="4"/>
      <c r="M133" s="54"/>
      <c r="N133" s="54"/>
      <c r="O133" s="54"/>
      <c r="P133" s="54"/>
      <c r="Q133" s="48"/>
      <c r="R133" s="48"/>
      <c r="S133" s="55"/>
      <c r="T133" s="55"/>
      <c r="U133" s="55"/>
      <c r="V133" s="48"/>
      <c r="W133" s="4"/>
      <c r="X133" s="4"/>
      <c r="Y133" s="4"/>
      <c r="Z133" s="4"/>
    </row>
    <row r="134" spans="1:26" x14ac:dyDescent="0.3">
      <c r="A134" s="79" t="s">
        <v>106</v>
      </c>
      <c r="B134">
        <v>1</v>
      </c>
      <c r="C134" s="38" t="s">
        <v>282</v>
      </c>
      <c r="D134" s="5">
        <v>1</v>
      </c>
      <c r="E134" s="38" t="s">
        <v>264</v>
      </c>
      <c r="F134" s="6">
        <f>F135</f>
        <v>3.0446428571428572</v>
      </c>
      <c r="G134" s="38" t="s">
        <v>253</v>
      </c>
      <c r="M134" s="54"/>
      <c r="N134" s="54"/>
      <c r="O134" s="54"/>
      <c r="P134" s="54"/>
      <c r="Q134" s="48"/>
      <c r="R134" s="48"/>
      <c r="S134" s="55"/>
      <c r="T134" s="55"/>
      <c r="U134" s="55"/>
      <c r="V134" s="48"/>
      <c r="W134" s="4"/>
      <c r="X134" s="4"/>
      <c r="Y134" s="4"/>
      <c r="Z134" s="4"/>
    </row>
    <row r="135" spans="1:26" x14ac:dyDescent="0.3">
      <c r="A135" s="79"/>
      <c r="B135">
        <v>1</v>
      </c>
      <c r="C135" s="38" t="s">
        <v>264</v>
      </c>
      <c r="D135" s="5">
        <f>(355+327)/2</f>
        <v>341</v>
      </c>
      <c r="E135" s="38" t="s">
        <v>248</v>
      </c>
      <c r="F135" s="6">
        <f>D135/D102</f>
        <v>3.0446428571428572</v>
      </c>
      <c r="G135" s="38" t="s">
        <v>253</v>
      </c>
      <c r="M135" s="54"/>
      <c r="N135" s="54"/>
      <c r="O135" s="54"/>
      <c r="P135" s="54"/>
      <c r="Q135" s="48"/>
      <c r="R135" s="48"/>
      <c r="S135" s="55"/>
      <c r="T135" s="55"/>
      <c r="U135" s="55"/>
      <c r="V135" s="48"/>
      <c r="W135" s="4"/>
      <c r="X135" s="4"/>
      <c r="Y135" s="4"/>
      <c r="Z135" s="4"/>
    </row>
    <row r="136" spans="1:26" x14ac:dyDescent="0.3">
      <c r="A136" s="79" t="s">
        <v>261</v>
      </c>
      <c r="B136">
        <v>1</v>
      </c>
      <c r="C136" s="49" t="s">
        <v>256</v>
      </c>
      <c r="D136" s="5">
        <v>140.63</v>
      </c>
      <c r="E136" s="38" t="s">
        <v>248</v>
      </c>
      <c r="F136" s="6">
        <f>D136/D102</f>
        <v>1.255625</v>
      </c>
      <c r="G136" s="38" t="s">
        <v>253</v>
      </c>
      <c r="M136" s="54"/>
      <c r="N136" s="54"/>
      <c r="O136" s="54"/>
      <c r="P136" s="54"/>
      <c r="Q136" s="48"/>
      <c r="R136" s="48"/>
      <c r="S136" s="55"/>
      <c r="T136" s="55"/>
      <c r="U136" s="55"/>
      <c r="V136" s="48"/>
      <c r="W136" s="4"/>
      <c r="X136" s="4"/>
      <c r="Y136" s="4"/>
      <c r="Z136" s="4"/>
    </row>
    <row r="137" spans="1:26" x14ac:dyDescent="0.3">
      <c r="A137" s="79"/>
      <c r="B137">
        <v>1</v>
      </c>
      <c r="C137" s="49" t="s">
        <v>283</v>
      </c>
      <c r="D137" s="5">
        <v>0.91576999999999997</v>
      </c>
      <c r="E137" s="38" t="s">
        <v>256</v>
      </c>
      <c r="F137" s="6">
        <f>F136*D137</f>
        <v>1.1498637062499999</v>
      </c>
      <c r="G137" s="38" t="s">
        <v>253</v>
      </c>
      <c r="M137" s="54"/>
      <c r="N137" s="54"/>
      <c r="O137" s="54"/>
      <c r="P137" s="54"/>
      <c r="Q137" s="48"/>
      <c r="R137" s="48"/>
      <c r="S137" s="55"/>
      <c r="T137" s="55"/>
      <c r="U137" s="55"/>
      <c r="V137" s="48"/>
      <c r="W137" s="4"/>
      <c r="X137" s="4"/>
      <c r="Y137" s="4"/>
      <c r="Z137" s="4"/>
    </row>
    <row r="138" spans="1:26" x14ac:dyDescent="0.3">
      <c r="A138" s="79" t="s">
        <v>284</v>
      </c>
      <c r="B138" s="4">
        <v>1</v>
      </c>
      <c r="C138" s="49" t="s">
        <v>264</v>
      </c>
      <c r="D138" s="5">
        <v>2.37609</v>
      </c>
      <c r="E138" s="49" t="s">
        <v>258</v>
      </c>
      <c r="F138" s="6">
        <f>D138*D139</f>
        <v>4.1366063637000003</v>
      </c>
      <c r="G138" s="38" t="s">
        <v>253</v>
      </c>
      <c r="M138" s="54"/>
      <c r="N138" s="54"/>
      <c r="O138" s="54"/>
      <c r="P138" s="54"/>
      <c r="Q138" s="48"/>
      <c r="R138" s="48"/>
      <c r="S138" s="55"/>
      <c r="T138" s="55"/>
      <c r="U138" s="55"/>
      <c r="V138" s="48"/>
      <c r="W138" s="4"/>
      <c r="X138" s="4"/>
      <c r="Y138" s="4"/>
      <c r="Z138" s="4"/>
    </row>
    <row r="139" spans="1:26" x14ac:dyDescent="0.3">
      <c r="A139" s="79"/>
      <c r="B139">
        <v>1</v>
      </c>
      <c r="C139" s="49" t="s">
        <v>258</v>
      </c>
      <c r="D139" s="5">
        <v>1.7409300000000001</v>
      </c>
      <c r="E139" s="38" t="s">
        <v>253</v>
      </c>
      <c r="F139" s="6"/>
      <c r="G139" s="38"/>
      <c r="M139" s="54"/>
      <c r="N139" s="54"/>
      <c r="O139" s="54"/>
      <c r="P139" s="54"/>
      <c r="Q139" s="48"/>
      <c r="R139" s="48"/>
      <c r="S139" s="55"/>
      <c r="T139" s="55"/>
      <c r="U139" s="55"/>
      <c r="V139" s="48"/>
      <c r="W139" s="4"/>
      <c r="X139" s="4"/>
      <c r="Y139" s="4"/>
      <c r="Z139" s="4"/>
    </row>
    <row r="140" spans="1:26" x14ac:dyDescent="0.3">
      <c r="A140" s="4" t="s">
        <v>285</v>
      </c>
      <c r="B140">
        <v>1</v>
      </c>
      <c r="C140" s="49" t="s">
        <v>264</v>
      </c>
      <c r="D140" s="5">
        <v>242</v>
      </c>
      <c r="E140" s="38" t="s">
        <v>248</v>
      </c>
      <c r="F140" s="6">
        <f>D140/D102</f>
        <v>2.1607142857142856</v>
      </c>
      <c r="G140" s="38" t="s">
        <v>253</v>
      </c>
      <c r="M140" s="54"/>
      <c r="N140" s="54"/>
      <c r="O140" s="54"/>
      <c r="P140" s="54"/>
      <c r="Q140" s="48"/>
      <c r="R140" s="48"/>
      <c r="S140" s="55"/>
      <c r="T140" s="55"/>
      <c r="U140" s="55"/>
      <c r="V140" s="48"/>
      <c r="W140" s="4"/>
      <c r="X140" s="4"/>
      <c r="Y140" s="4"/>
      <c r="Z140" s="4"/>
    </row>
    <row r="141" spans="1:26" x14ac:dyDescent="0.3">
      <c r="A141" s="4" t="s">
        <v>286</v>
      </c>
      <c r="B141">
        <v>1</v>
      </c>
      <c r="C141" s="49" t="s">
        <v>287</v>
      </c>
      <c r="D141" s="5">
        <v>294</v>
      </c>
      <c r="E141" s="38" t="s">
        <v>248</v>
      </c>
      <c r="F141" s="6">
        <f>D141/D102</f>
        <v>2.625</v>
      </c>
      <c r="G141" s="38" t="s">
        <v>253</v>
      </c>
      <c r="M141" s="54"/>
      <c r="N141" s="54"/>
      <c r="O141" s="54"/>
      <c r="P141" s="54"/>
      <c r="Q141" s="48"/>
      <c r="R141" s="48"/>
      <c r="S141" s="55"/>
      <c r="T141" s="55"/>
      <c r="U141" s="55"/>
      <c r="V141" s="48"/>
      <c r="W141" s="4"/>
      <c r="X141" s="4"/>
      <c r="Y141" s="4"/>
      <c r="Z141" s="4"/>
    </row>
    <row r="142" spans="1:26" x14ac:dyDescent="0.3">
      <c r="A142" s="4" t="s">
        <v>74</v>
      </c>
      <c r="B142">
        <v>1</v>
      </c>
      <c r="C142" s="49" t="s">
        <v>256</v>
      </c>
      <c r="D142" s="6">
        <v>0.88400000000000001</v>
      </c>
      <c r="E142" s="38" t="s">
        <v>253</v>
      </c>
      <c r="M142" s="54"/>
      <c r="N142" s="54"/>
      <c r="O142" s="54"/>
      <c r="P142" s="54"/>
      <c r="Q142" s="48"/>
      <c r="R142" s="48"/>
      <c r="S142" s="55"/>
      <c r="T142" s="55"/>
      <c r="U142" s="55"/>
      <c r="V142" s="48"/>
      <c r="W142" s="4"/>
      <c r="X142" s="4"/>
      <c r="Y142" s="4"/>
      <c r="Z142" s="4"/>
    </row>
    <row r="143" spans="1:26" x14ac:dyDescent="0.3">
      <c r="A143" s="4" t="s">
        <v>288</v>
      </c>
      <c r="B143">
        <v>1</v>
      </c>
      <c r="C143" s="49" t="s">
        <v>258</v>
      </c>
      <c r="D143" s="5">
        <v>149</v>
      </c>
      <c r="E143" s="38" t="s">
        <v>248</v>
      </c>
      <c r="F143" s="6">
        <f>D143/D102</f>
        <v>1.3303571428571428</v>
      </c>
      <c r="G143" s="38" t="s">
        <v>253</v>
      </c>
      <c r="M143" s="54"/>
      <c r="N143" s="54"/>
      <c r="O143" s="54"/>
      <c r="P143" s="54"/>
      <c r="Q143" s="48"/>
      <c r="R143" s="48"/>
      <c r="S143" s="55"/>
      <c r="T143" s="55"/>
      <c r="U143" s="55"/>
      <c r="V143" s="48"/>
      <c r="W143" s="4"/>
      <c r="X143" s="4"/>
      <c r="Y143" s="4"/>
      <c r="Z143" s="4"/>
    </row>
    <row r="144" spans="1:26" x14ac:dyDescent="0.3">
      <c r="A144" s="4" t="s">
        <v>274</v>
      </c>
      <c r="B144">
        <v>1</v>
      </c>
      <c r="C144" s="49" t="s">
        <v>256</v>
      </c>
      <c r="D144" s="5">
        <v>164</v>
      </c>
      <c r="E144" s="38" t="s">
        <v>248</v>
      </c>
      <c r="F144" s="6">
        <f>D144/D102</f>
        <v>1.4642857142857142</v>
      </c>
      <c r="G144" s="38" t="s">
        <v>253</v>
      </c>
      <c r="M144" s="54"/>
      <c r="N144" s="54"/>
      <c r="O144" s="54"/>
      <c r="P144" s="54"/>
      <c r="Q144" s="48"/>
      <c r="R144" s="48"/>
      <c r="S144" s="55"/>
      <c r="T144" s="55"/>
      <c r="U144" s="55"/>
      <c r="V144" s="48"/>
      <c r="W144" s="4"/>
      <c r="X144" s="4"/>
      <c r="Y144" s="4"/>
      <c r="Z144" s="4"/>
    </row>
    <row r="145" spans="1:37" x14ac:dyDescent="0.3">
      <c r="A145" s="79" t="s">
        <v>135</v>
      </c>
      <c r="B145">
        <v>1</v>
      </c>
      <c r="C145" s="49" t="s">
        <v>287</v>
      </c>
      <c r="D145" s="5">
        <v>2.0271699999999999</v>
      </c>
      <c r="E145" s="38" t="s">
        <v>264</v>
      </c>
      <c r="F145" s="6">
        <f>D146*D145/D102</f>
        <v>6.0815099999999997</v>
      </c>
      <c r="G145" s="38" t="s">
        <v>253</v>
      </c>
      <c r="M145" s="54"/>
      <c r="N145" s="54"/>
      <c r="O145" s="54"/>
      <c r="P145" s="54"/>
      <c r="Q145" s="48"/>
      <c r="R145" s="48"/>
      <c r="S145" s="55"/>
      <c r="T145" s="55"/>
      <c r="U145" s="55"/>
      <c r="V145" s="48"/>
      <c r="W145" s="4"/>
      <c r="X145" s="4"/>
      <c r="Y145" s="4"/>
      <c r="Z145" s="4"/>
    </row>
    <row r="146" spans="1:37" x14ac:dyDescent="0.3">
      <c r="A146" s="79"/>
      <c r="B146">
        <v>1</v>
      </c>
      <c r="C146" s="49" t="s">
        <v>264</v>
      </c>
      <c r="D146" s="5">
        <v>336</v>
      </c>
      <c r="E146" s="38" t="s">
        <v>248</v>
      </c>
      <c r="F146" s="6">
        <f>D146/D102</f>
        <v>3</v>
      </c>
      <c r="G146" s="38" t="s">
        <v>253</v>
      </c>
      <c r="M146" s="54"/>
      <c r="N146" s="54"/>
      <c r="O146" s="54"/>
      <c r="P146" s="54"/>
      <c r="Q146" s="48"/>
      <c r="R146" s="48"/>
      <c r="S146" s="55"/>
      <c r="T146" s="55"/>
      <c r="U146" s="55"/>
      <c r="V146" s="48"/>
      <c r="W146" s="4"/>
      <c r="X146" s="4"/>
      <c r="Y146" s="4"/>
      <c r="Z146" s="4"/>
    </row>
    <row r="147" spans="1:37" x14ac:dyDescent="0.3">
      <c r="A147" s="57" t="s">
        <v>289</v>
      </c>
      <c r="B147">
        <v>1</v>
      </c>
      <c r="C147" s="49" t="s">
        <v>256</v>
      </c>
      <c r="D147" s="5">
        <v>746.66700000000003</v>
      </c>
      <c r="E147" s="38" t="s">
        <v>248</v>
      </c>
      <c r="F147" s="6">
        <f>D147/D102</f>
        <v>6.6666696428571433</v>
      </c>
      <c r="G147" s="38" t="s">
        <v>253</v>
      </c>
      <c r="M147" s="54"/>
      <c r="N147" s="54"/>
      <c r="O147" s="54"/>
      <c r="P147" s="54"/>
      <c r="Q147" s="48"/>
      <c r="R147" s="48"/>
      <c r="S147" s="55"/>
      <c r="T147" s="55"/>
      <c r="U147" s="55"/>
      <c r="V147" s="48"/>
      <c r="W147" s="4"/>
      <c r="X147" s="4"/>
      <c r="Y147" s="4"/>
      <c r="Z147" s="4"/>
    </row>
    <row r="148" spans="1:37" x14ac:dyDescent="0.3">
      <c r="A148" s="85" t="s">
        <v>60</v>
      </c>
      <c r="B148">
        <v>1</v>
      </c>
      <c r="C148" s="49" t="s">
        <v>283</v>
      </c>
      <c r="D148" s="5">
        <v>260</v>
      </c>
      <c r="E148" s="38" t="s">
        <v>248</v>
      </c>
      <c r="F148" s="6">
        <f>D148/D102</f>
        <v>2.3214285714285716</v>
      </c>
      <c r="G148" s="38" t="s">
        <v>253</v>
      </c>
      <c r="Q148" s="48"/>
      <c r="R148" s="48"/>
      <c r="S148" s="4"/>
      <c r="T148" s="4"/>
      <c r="U148" s="4"/>
      <c r="V148" s="48"/>
      <c r="W148" s="4"/>
      <c r="X148" s="4"/>
      <c r="Y148" s="4"/>
      <c r="Z148" s="4"/>
    </row>
    <row r="149" spans="1:37" x14ac:dyDescent="0.3">
      <c r="A149" s="85"/>
      <c r="B149">
        <v>1</v>
      </c>
      <c r="C149" s="49" t="s">
        <v>256</v>
      </c>
      <c r="D149" s="5">
        <v>1.5662799999999999</v>
      </c>
      <c r="E149" s="38" t="s">
        <v>253</v>
      </c>
      <c r="F149" s="6"/>
      <c r="G149" s="38"/>
      <c r="Q149" s="48"/>
      <c r="R149" s="48"/>
      <c r="S149" s="4"/>
      <c r="T149" s="4"/>
      <c r="U149" s="4"/>
      <c r="V149" s="48"/>
      <c r="W149" s="4"/>
      <c r="X149" s="4"/>
      <c r="Y149" s="4"/>
      <c r="Z149" s="4"/>
    </row>
    <row r="150" spans="1:37" x14ac:dyDescent="0.3">
      <c r="A150" s="85"/>
      <c r="B150">
        <v>1</v>
      </c>
      <c r="C150" s="49" t="s">
        <v>247</v>
      </c>
      <c r="D150" s="5">
        <v>560</v>
      </c>
      <c r="E150" s="38" t="s">
        <v>248</v>
      </c>
      <c r="F150" s="6">
        <f>D150/D102</f>
        <v>5</v>
      </c>
      <c r="G150" s="38" t="s">
        <v>253</v>
      </c>
      <c r="H150" s="48"/>
      <c r="J150" s="48"/>
      <c r="K150" s="48"/>
      <c r="T150" s="4"/>
      <c r="W150" s="48"/>
      <c r="X150" s="48"/>
      <c r="AK150" s="48"/>
    </row>
    <row r="151" spans="1:37" s="4" customFormat="1" x14ac:dyDescent="0.3">
      <c r="A151" s="85" t="s">
        <v>107</v>
      </c>
      <c r="B151">
        <v>1</v>
      </c>
      <c r="C151" s="38" t="s">
        <v>264</v>
      </c>
      <c r="D151" s="58">
        <v>80</v>
      </c>
      <c r="E151" s="38" t="s">
        <v>248</v>
      </c>
      <c r="F151" s="59">
        <f>D151/D152</f>
        <v>0.7142857142857143</v>
      </c>
      <c r="G151" s="38" t="s">
        <v>253</v>
      </c>
      <c r="H151" s="58"/>
      <c r="I151" s="58"/>
      <c r="J151" s="58"/>
      <c r="K151" s="58"/>
      <c r="L151" s="58"/>
      <c r="M151" s="58"/>
    </row>
    <row r="152" spans="1:37" s="4" customFormat="1" x14ac:dyDescent="0.3">
      <c r="A152" s="85"/>
      <c r="B152">
        <v>1</v>
      </c>
      <c r="C152" s="38" t="s">
        <v>253</v>
      </c>
      <c r="D152" s="58">
        <v>112</v>
      </c>
      <c r="E152" s="38" t="s">
        <v>248</v>
      </c>
      <c r="F152" s="58"/>
      <c r="G152" s="58"/>
      <c r="H152" s="58"/>
      <c r="I152" s="58"/>
      <c r="J152" s="58"/>
      <c r="K152" s="58"/>
      <c r="L152" s="58"/>
      <c r="M152" s="58"/>
    </row>
    <row r="153" spans="1:37" s="4" customFormat="1" x14ac:dyDescent="0.3">
      <c r="A153" s="57" t="s">
        <v>290</v>
      </c>
      <c r="B153">
        <v>1</v>
      </c>
      <c r="C153" s="49" t="s">
        <v>264</v>
      </c>
      <c r="D153" s="5">
        <v>336</v>
      </c>
      <c r="E153" s="38" t="s">
        <v>248</v>
      </c>
      <c r="F153" s="6">
        <f>D153/D152</f>
        <v>3</v>
      </c>
      <c r="G153" s="38" t="s">
        <v>253</v>
      </c>
      <c r="H153" s="58"/>
      <c r="I153" s="58"/>
      <c r="J153" s="58"/>
      <c r="K153" s="58"/>
      <c r="L153" s="58"/>
      <c r="M153" s="58"/>
    </row>
    <row r="154" spans="1:37" s="4" customFormat="1" x14ac:dyDescent="0.3">
      <c r="A154" s="46" t="s">
        <v>291</v>
      </c>
      <c r="B154">
        <v>1</v>
      </c>
      <c r="C154" s="49" t="s">
        <v>292</v>
      </c>
      <c r="D154" s="5">
        <v>9</v>
      </c>
      <c r="E154" s="38" t="s">
        <v>267</v>
      </c>
      <c r="F154" s="58"/>
      <c r="G154" s="58"/>
      <c r="H154" s="58"/>
      <c r="I154" s="58"/>
      <c r="J154" s="58"/>
      <c r="K154" s="58"/>
      <c r="L154" s="58"/>
      <c r="M154" s="58"/>
    </row>
    <row r="155" spans="1:37" s="4" customFormat="1" x14ac:dyDescent="0.3">
      <c r="A155" s="46" t="s">
        <v>109</v>
      </c>
      <c r="B155">
        <v>1</v>
      </c>
      <c r="C155" s="49" t="s">
        <v>256</v>
      </c>
      <c r="D155" s="5">
        <f>756/3720</f>
        <v>0.20322580645161289</v>
      </c>
      <c r="E155" s="38" t="s">
        <v>253</v>
      </c>
      <c r="F155" s="58"/>
      <c r="G155" s="58"/>
      <c r="H155" s="58"/>
      <c r="I155" s="58"/>
      <c r="J155" s="58"/>
      <c r="K155" s="58"/>
      <c r="L155" s="58"/>
      <c r="M155" s="58"/>
    </row>
    <row r="156" spans="1:37" s="4" customFormat="1" x14ac:dyDescent="0.3">
      <c r="A156" s="46" t="s">
        <v>72</v>
      </c>
      <c r="B156">
        <v>1</v>
      </c>
      <c r="C156" s="49" t="s">
        <v>258</v>
      </c>
      <c r="D156" s="5">
        <f>600/400</f>
        <v>1.5</v>
      </c>
      <c r="E156" s="38" t="s">
        <v>253</v>
      </c>
      <c r="F156" s="58"/>
      <c r="G156" s="58"/>
      <c r="H156" s="58"/>
      <c r="I156" s="58"/>
      <c r="J156" s="58"/>
      <c r="K156" s="58"/>
      <c r="L156" s="58"/>
      <c r="M156" s="58"/>
    </row>
    <row r="157" spans="1:37" s="4" customFormat="1" x14ac:dyDescent="0.3">
      <c r="A157" s="46" t="s">
        <v>293</v>
      </c>
      <c r="B157">
        <v>1</v>
      </c>
      <c r="C157" s="49" t="s">
        <v>264</v>
      </c>
      <c r="D157" s="5">
        <f>600/400</f>
        <v>1.5</v>
      </c>
      <c r="E157" s="38" t="s">
        <v>253</v>
      </c>
      <c r="F157" s="58"/>
      <c r="G157" s="58"/>
      <c r="H157" s="58"/>
      <c r="I157" s="58"/>
      <c r="J157" s="58"/>
      <c r="K157" s="58"/>
      <c r="L157" s="58"/>
      <c r="M157" s="58"/>
    </row>
    <row r="158" spans="1:37" s="4" customFormat="1" x14ac:dyDescent="0.3">
      <c r="A158" s="46" t="s">
        <v>64</v>
      </c>
      <c r="B158">
        <v>1</v>
      </c>
      <c r="C158" s="49" t="s">
        <v>256</v>
      </c>
      <c r="D158" s="5">
        <f>3600/2400</f>
        <v>1.5</v>
      </c>
      <c r="E158" s="38" t="s">
        <v>253</v>
      </c>
      <c r="F158" s="58"/>
      <c r="G158" s="58"/>
      <c r="H158" s="58"/>
      <c r="I158" s="58"/>
      <c r="J158" s="58"/>
      <c r="K158" s="58"/>
      <c r="L158" s="58"/>
      <c r="M158" s="58"/>
    </row>
    <row r="159" spans="1:37" x14ac:dyDescent="0.3">
      <c r="A159" s="46" t="s">
        <v>98</v>
      </c>
      <c r="B159">
        <v>1</v>
      </c>
      <c r="C159" s="49" t="s">
        <v>256</v>
      </c>
      <c r="D159">
        <v>153.125</v>
      </c>
      <c r="E159" s="38" t="s">
        <v>248</v>
      </c>
      <c r="F159" s="6">
        <f>D159/D102</f>
        <v>1.3671875</v>
      </c>
      <c r="G159" s="38" t="s">
        <v>253</v>
      </c>
      <c r="H159" s="48"/>
      <c r="J159" s="48"/>
      <c r="K159" s="48"/>
      <c r="T159" s="4"/>
      <c r="W159" s="48"/>
      <c r="X159" s="48"/>
      <c r="AK159" s="48"/>
    </row>
    <row r="160" spans="1:37" s="4" customFormat="1" x14ac:dyDescent="0.3">
      <c r="A160" s="79" t="s">
        <v>106</v>
      </c>
      <c r="B160">
        <v>1</v>
      </c>
      <c r="C160" s="38" t="s">
        <v>282</v>
      </c>
      <c r="D160" s="5">
        <v>1</v>
      </c>
      <c r="E160" s="38" t="s">
        <v>264</v>
      </c>
      <c r="F160" s="6">
        <f>F161</f>
        <v>3.0446428571428572</v>
      </c>
      <c r="G160" s="38" t="s">
        <v>253</v>
      </c>
    </row>
    <row r="161" spans="1:42" s="4" customFormat="1" x14ac:dyDescent="0.3">
      <c r="A161" s="79"/>
      <c r="B161">
        <v>1</v>
      </c>
      <c r="C161" s="38" t="s">
        <v>264</v>
      </c>
      <c r="D161" s="5">
        <f>(355+327)/2</f>
        <v>341</v>
      </c>
      <c r="E161" s="38" t="s">
        <v>248</v>
      </c>
      <c r="F161" s="6">
        <f>D161/D102</f>
        <v>3.0446428571428572</v>
      </c>
      <c r="G161" s="38" t="s">
        <v>253</v>
      </c>
    </row>
    <row r="162" spans="1:42" s="4" customFormat="1" x14ac:dyDescent="0.3">
      <c r="A162" s="79"/>
      <c r="B162">
        <v>1</v>
      </c>
      <c r="C162" s="49" t="s">
        <v>295</v>
      </c>
      <c r="D162" s="5">
        <f>(2.2+2.5)/2</f>
        <v>2.35</v>
      </c>
      <c r="E162" s="38" t="s">
        <v>248</v>
      </c>
      <c r="F162" s="6">
        <f>D162/D102</f>
        <v>2.0982142857142859E-2</v>
      </c>
      <c r="G162" s="38" t="s">
        <v>253</v>
      </c>
    </row>
    <row r="163" spans="1:42" s="65" customFormat="1" x14ac:dyDescent="0.3">
      <c r="A163" s="60" t="s">
        <v>296</v>
      </c>
      <c r="B163">
        <v>1</v>
      </c>
      <c r="C163" s="49" t="s">
        <v>282</v>
      </c>
      <c r="D163" s="5">
        <v>640</v>
      </c>
      <c r="E163" s="38" t="s">
        <v>248</v>
      </c>
      <c r="F163" s="6">
        <f>D163/D102</f>
        <v>5.7142857142857144</v>
      </c>
      <c r="G163" s="38" t="s">
        <v>253</v>
      </c>
      <c r="H163" s="61"/>
      <c r="I163" s="62"/>
      <c r="J163" s="61"/>
      <c r="K163" s="61"/>
      <c r="L163" s="62"/>
      <c r="M163" s="61"/>
      <c r="N163" s="61"/>
      <c r="O163" s="61"/>
      <c r="P163" s="62"/>
      <c r="Q163" s="61"/>
      <c r="R163" s="61"/>
      <c r="S163" s="61"/>
      <c r="T163" s="62"/>
      <c r="U163" s="61"/>
      <c r="V163" s="63"/>
      <c r="W163" s="61"/>
      <c r="X163" s="64"/>
      <c r="Y163" s="61"/>
      <c r="Z163" s="62"/>
      <c r="AA163" s="61"/>
      <c r="AB163" s="61"/>
      <c r="AC163" s="61"/>
      <c r="AD163" s="62"/>
      <c r="AE163" s="61"/>
      <c r="AF163" s="62"/>
      <c r="AG163" s="61"/>
      <c r="AH163" s="62"/>
      <c r="AI163" s="61"/>
      <c r="AJ163" s="62"/>
      <c r="AK163" s="61"/>
      <c r="AL163" s="62"/>
      <c r="AM163" s="61"/>
      <c r="AN163" s="64"/>
      <c r="AO163" s="61"/>
    </row>
    <row r="164" spans="1:42" s="65" customFormat="1" x14ac:dyDescent="0.3">
      <c r="A164" s="85" t="s">
        <v>69</v>
      </c>
      <c r="B164">
        <v>1</v>
      </c>
      <c r="C164" s="49" t="s">
        <v>299</v>
      </c>
      <c r="D164" s="5">
        <v>196</v>
      </c>
      <c r="E164" s="38" t="s">
        <v>248</v>
      </c>
      <c r="F164" s="6">
        <f>D164/D102</f>
        <v>1.75</v>
      </c>
      <c r="G164" s="38" t="s">
        <v>253</v>
      </c>
      <c r="H164" s="61"/>
      <c r="I164" s="61"/>
      <c r="J164" s="64"/>
      <c r="K164" s="61"/>
      <c r="L164" s="61"/>
      <c r="M164" s="64"/>
      <c r="N164" s="61"/>
      <c r="O164" s="61"/>
      <c r="P164" s="61"/>
      <c r="Q164" s="64"/>
      <c r="R164" s="61"/>
      <c r="S164" s="61"/>
      <c r="T164" s="61"/>
      <c r="U164" s="64"/>
      <c r="V164" s="61"/>
      <c r="X164" s="61"/>
      <c r="Y164" s="64"/>
      <c r="Z164" s="61"/>
      <c r="AA164" s="64"/>
      <c r="AB164" s="61"/>
      <c r="AC164" s="61"/>
      <c r="AD164" s="61"/>
      <c r="AE164" s="64"/>
      <c r="AF164" s="61"/>
      <c r="AG164" s="64"/>
      <c r="AH164" s="61"/>
      <c r="AI164" s="64"/>
      <c r="AJ164" s="61"/>
      <c r="AK164" s="62"/>
      <c r="AL164" s="61"/>
      <c r="AM164" s="64"/>
      <c r="AN164" s="61"/>
      <c r="AO164" s="64"/>
      <c r="AP164" s="61"/>
    </row>
    <row r="165" spans="1:42" ht="13.8" customHeight="1" x14ac:dyDescent="0.3">
      <c r="A165" s="85"/>
      <c r="B165">
        <v>1</v>
      </c>
      <c r="C165" s="49" t="s">
        <v>300</v>
      </c>
      <c r="D165" s="5">
        <v>280</v>
      </c>
      <c r="E165" s="38" t="s">
        <v>248</v>
      </c>
      <c r="F165" s="6">
        <f>D165/D102</f>
        <v>2.5</v>
      </c>
      <c r="G165" s="38" t="s">
        <v>253</v>
      </c>
    </row>
    <row r="166" spans="1:42" x14ac:dyDescent="0.3">
      <c r="A166" s="56" t="s">
        <v>94</v>
      </c>
      <c r="B166">
        <v>1</v>
      </c>
      <c r="C166" s="49" t="s">
        <v>258</v>
      </c>
      <c r="D166" s="5">
        <v>112</v>
      </c>
      <c r="E166" s="38" t="s">
        <v>248</v>
      </c>
      <c r="F166" s="6">
        <f>D166/D102</f>
        <v>1</v>
      </c>
      <c r="G166" s="38" t="s">
        <v>253</v>
      </c>
    </row>
    <row r="167" spans="1:42" x14ac:dyDescent="0.3">
      <c r="A167" s="56" t="s">
        <v>100</v>
      </c>
      <c r="B167">
        <v>1</v>
      </c>
      <c r="C167" s="49" t="s">
        <v>264</v>
      </c>
      <c r="D167" s="5">
        <v>0.67513000000000001</v>
      </c>
      <c r="E167" s="38" t="s">
        <v>253</v>
      </c>
      <c r="F167" s="6"/>
      <c r="G167" s="38"/>
    </row>
  </sheetData>
  <mergeCells count="19">
    <mergeCell ref="A145:A146"/>
    <mergeCell ref="A151:A152"/>
    <mergeCell ref="A160:A162"/>
    <mergeCell ref="A148:A150"/>
    <mergeCell ref="A164:A165"/>
    <mergeCell ref="A138:A139"/>
    <mergeCell ref="B89:B90"/>
    <mergeCell ref="C89:C90"/>
    <mergeCell ref="D89:D90"/>
    <mergeCell ref="E89:E90"/>
    <mergeCell ref="B103:B104"/>
    <mergeCell ref="C103:C104"/>
    <mergeCell ref="D103:D104"/>
    <mergeCell ref="E103:E104"/>
    <mergeCell ref="A128:A129"/>
    <mergeCell ref="A130:A131"/>
    <mergeCell ref="A132:A133"/>
    <mergeCell ref="A134:A135"/>
    <mergeCell ref="A136:A137"/>
  </mergeCell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J48"/>
  <sheetViews>
    <sheetView zoomScale="70" zoomScaleNormal="70" workbookViewId="0">
      <pane xSplit="1" ySplit="2" topLeftCell="T3" activePane="bottomRight" state="frozen"/>
      <selection activeCell="B45" sqref="B45"/>
      <selection pane="topRight" activeCell="B45" sqref="B45"/>
      <selection pane="bottomLeft" activeCell="B45" sqref="B45"/>
      <selection pane="bottomRight" activeCell="Y18" sqref="Y18"/>
    </sheetView>
  </sheetViews>
  <sheetFormatPr defaultRowHeight="14.4" x14ac:dyDescent="0.3"/>
  <cols>
    <col min="1" max="1" width="28" style="39" customWidth="1"/>
    <col min="2" max="2" width="9.5546875" style="39" bestFit="1" customWidth="1"/>
    <col min="3" max="3" width="8" bestFit="1" customWidth="1"/>
    <col min="4" max="4" width="14.21875" bestFit="1" customWidth="1"/>
    <col min="5" max="5" width="8" bestFit="1" customWidth="1"/>
    <col min="6" max="6" width="14.21875" bestFit="1" customWidth="1"/>
    <col min="7" max="7" width="5.77734375" bestFit="1" customWidth="1"/>
    <col min="8" max="8" width="8" bestFit="1" customWidth="1"/>
    <col min="9" max="9" width="14.21875" bestFit="1" customWidth="1"/>
    <col min="10" max="10" width="5.77734375" bestFit="1" customWidth="1"/>
    <col min="11" max="11" width="8" bestFit="1" customWidth="1"/>
    <col min="12" max="12" width="14.21875" bestFit="1" customWidth="1"/>
    <col min="13" max="13" width="8" bestFit="1" customWidth="1"/>
    <col min="14" max="14" width="14.21875" bestFit="1" customWidth="1"/>
    <col min="15" max="15" width="8" bestFit="1" customWidth="1"/>
    <col min="16" max="16" width="14.21875" bestFit="1" customWidth="1"/>
    <col min="17" max="17" width="8" bestFit="1" customWidth="1"/>
    <col min="18" max="18" width="14.21875" bestFit="1" customWidth="1"/>
    <col min="19" max="19" width="8" bestFit="1" customWidth="1"/>
    <col min="20" max="20" width="14.21875" bestFit="1" customWidth="1"/>
    <col min="21" max="21" width="5.77734375" bestFit="1" customWidth="1"/>
    <col min="22" max="22" width="8" bestFit="1" customWidth="1"/>
    <col min="23" max="23" width="14.21875" bestFit="1" customWidth="1"/>
    <col min="24" max="24" width="8" bestFit="1" customWidth="1"/>
    <col min="25" max="25" width="14.21875" bestFit="1" customWidth="1"/>
    <col min="26" max="26" width="8" bestFit="1" customWidth="1"/>
    <col min="27" max="27" width="14.21875" bestFit="1" customWidth="1"/>
    <col min="28" max="28" width="5.33203125" bestFit="1" customWidth="1"/>
    <col min="29" max="29" width="8" bestFit="1" customWidth="1"/>
    <col min="30" max="30" width="14.21875" bestFit="1" customWidth="1"/>
    <col min="31" max="31" width="8" bestFit="1" customWidth="1"/>
    <col min="32" max="32" width="14.21875" bestFit="1" customWidth="1"/>
    <col min="33" max="33" width="7.88671875" bestFit="1" customWidth="1"/>
    <col min="34" max="34" width="8" bestFit="1" customWidth="1"/>
    <col min="35" max="35" width="14.21875" bestFit="1" customWidth="1"/>
    <col min="36" max="36" width="7.77734375" bestFit="1" customWidth="1"/>
    <col min="37" max="37" width="8" bestFit="1" customWidth="1"/>
    <col min="38" max="38" width="14.21875" bestFit="1" customWidth="1"/>
    <col min="39" max="39" width="8" bestFit="1" customWidth="1"/>
    <col min="40" max="40" width="14.21875" bestFit="1" customWidth="1"/>
    <col min="41" max="41" width="5.33203125" bestFit="1" customWidth="1"/>
    <col min="42" max="42" width="8" bestFit="1" customWidth="1"/>
    <col min="43" max="43" width="14.21875" bestFit="1" customWidth="1"/>
    <col min="44" max="44" width="5.33203125" bestFit="1" customWidth="1"/>
    <col min="45" max="45" width="8" bestFit="1" customWidth="1"/>
    <col min="46" max="46" width="14.21875" bestFit="1" customWidth="1"/>
    <col min="47" max="47" width="5.33203125" bestFit="1" customWidth="1"/>
    <col min="48" max="48" width="8" bestFit="1" customWidth="1"/>
    <col min="49" max="49" width="14.21875" bestFit="1" customWidth="1"/>
    <col min="50" max="50" width="8" bestFit="1" customWidth="1"/>
    <col min="51" max="51" width="14.21875" bestFit="1" customWidth="1"/>
    <col min="52" max="52" width="7.77734375" bestFit="1" customWidth="1"/>
    <col min="53" max="53" width="8" bestFit="1" customWidth="1"/>
    <col min="54" max="54" width="14.21875" bestFit="1" customWidth="1"/>
    <col min="55" max="55" width="8" bestFit="1" customWidth="1"/>
    <col min="56" max="56" width="14.21875" bestFit="1" customWidth="1"/>
    <col min="57" max="57" width="8" bestFit="1" customWidth="1"/>
    <col min="58" max="58" width="14.21875" bestFit="1" customWidth="1"/>
    <col min="59" max="59" width="8" bestFit="1" customWidth="1"/>
    <col min="60" max="60" width="14.21875" bestFit="1" customWidth="1"/>
    <col min="61" max="61" width="8" bestFit="1" customWidth="1"/>
    <col min="62" max="62" width="14.21875" bestFit="1" customWidth="1"/>
  </cols>
  <sheetData>
    <row r="1" spans="1:62" x14ac:dyDescent="0.3">
      <c r="A1"/>
      <c r="B1"/>
      <c r="C1" s="78" t="s">
        <v>195</v>
      </c>
      <c r="D1" s="78"/>
      <c r="E1" s="78" t="s">
        <v>196</v>
      </c>
      <c r="F1" s="78"/>
      <c r="H1" s="78" t="s">
        <v>197</v>
      </c>
      <c r="I1" s="78"/>
      <c r="K1" s="78" t="s">
        <v>198</v>
      </c>
      <c r="L1" s="78"/>
      <c r="M1" s="78" t="s">
        <v>199</v>
      </c>
      <c r="N1" s="78"/>
      <c r="O1" s="78" t="s">
        <v>200</v>
      </c>
      <c r="P1" s="78"/>
      <c r="Q1" s="78" t="s">
        <v>201</v>
      </c>
      <c r="R1" s="78"/>
      <c r="S1" s="78" t="s">
        <v>202</v>
      </c>
      <c r="T1" s="78"/>
      <c r="V1" s="78" t="s">
        <v>203</v>
      </c>
      <c r="W1" s="78"/>
      <c r="X1" s="78" t="s">
        <v>204</v>
      </c>
      <c r="Y1" s="78"/>
      <c r="Z1" s="78" t="s">
        <v>205</v>
      </c>
      <c r="AA1" s="78"/>
      <c r="AB1" s="43"/>
      <c r="AC1" s="78" t="s">
        <v>206</v>
      </c>
      <c r="AD1" s="78"/>
      <c r="AE1" s="78" t="s">
        <v>207</v>
      </c>
      <c r="AF1" s="78"/>
      <c r="AH1" s="78" t="s">
        <v>208</v>
      </c>
      <c r="AI1" s="78"/>
      <c r="AK1" s="78" t="s">
        <v>209</v>
      </c>
      <c r="AL1" s="78"/>
      <c r="AM1" s="78" t="s">
        <v>210</v>
      </c>
      <c r="AN1" s="78"/>
      <c r="AP1" s="78" t="s">
        <v>211</v>
      </c>
      <c r="AQ1" s="78"/>
      <c r="AS1" s="78" t="s">
        <v>212</v>
      </c>
      <c r="AT1" s="78"/>
      <c r="AV1" s="78" t="s">
        <v>213</v>
      </c>
      <c r="AW1" s="78"/>
      <c r="AX1" s="78" t="s">
        <v>214</v>
      </c>
      <c r="AY1" s="78"/>
      <c r="AZ1" s="43"/>
      <c r="BA1" s="78" t="s">
        <v>215</v>
      </c>
      <c r="BB1" s="78"/>
      <c r="BC1" s="78" t="s">
        <v>216</v>
      </c>
      <c r="BD1" s="78"/>
      <c r="BE1" s="78" t="s">
        <v>217</v>
      </c>
      <c r="BF1" s="78"/>
      <c r="BG1" s="78" t="s">
        <v>218</v>
      </c>
      <c r="BH1" s="78"/>
      <c r="BI1" s="78" t="s">
        <v>219</v>
      </c>
      <c r="BJ1" s="78"/>
    </row>
    <row r="2" spans="1:62" x14ac:dyDescent="0.3">
      <c r="A2" t="s">
        <v>194</v>
      </c>
      <c r="B2" s="43" t="s">
        <v>0</v>
      </c>
      <c r="C2" t="s">
        <v>220</v>
      </c>
      <c r="D2" t="s">
        <v>221</v>
      </c>
      <c r="E2" t="s">
        <v>220</v>
      </c>
      <c r="F2" t="s">
        <v>221</v>
      </c>
      <c r="G2" s="43" t="s">
        <v>0</v>
      </c>
      <c r="H2" t="s">
        <v>220</v>
      </c>
      <c r="I2" t="s">
        <v>221</v>
      </c>
      <c r="J2" s="43" t="s">
        <v>0</v>
      </c>
      <c r="K2" t="s">
        <v>220</v>
      </c>
      <c r="L2" t="s">
        <v>221</v>
      </c>
      <c r="M2" t="s">
        <v>220</v>
      </c>
      <c r="N2" t="s">
        <v>221</v>
      </c>
      <c r="O2" t="s">
        <v>220</v>
      </c>
      <c r="P2" t="s">
        <v>221</v>
      </c>
      <c r="Q2" t="s">
        <v>220</v>
      </c>
      <c r="R2" t="s">
        <v>221</v>
      </c>
      <c r="S2" t="s">
        <v>220</v>
      </c>
      <c r="T2" t="s">
        <v>221</v>
      </c>
      <c r="U2" s="43" t="s">
        <v>0</v>
      </c>
      <c r="V2" t="s">
        <v>220</v>
      </c>
      <c r="W2" t="s">
        <v>221</v>
      </c>
      <c r="X2" t="s">
        <v>220</v>
      </c>
      <c r="Y2" t="s">
        <v>221</v>
      </c>
      <c r="Z2" t="s">
        <v>220</v>
      </c>
      <c r="AA2" t="s">
        <v>221</v>
      </c>
      <c r="AB2" s="43" t="s">
        <v>0</v>
      </c>
      <c r="AC2" t="s">
        <v>220</v>
      </c>
      <c r="AD2" t="s">
        <v>221</v>
      </c>
      <c r="AE2" t="s">
        <v>220</v>
      </c>
      <c r="AF2" t="s">
        <v>221</v>
      </c>
      <c r="AG2" s="43" t="s">
        <v>0</v>
      </c>
      <c r="AH2" t="s">
        <v>220</v>
      </c>
      <c r="AI2" t="s">
        <v>221</v>
      </c>
      <c r="AJ2" s="43" t="s">
        <v>0</v>
      </c>
      <c r="AK2" t="s">
        <v>220</v>
      </c>
      <c r="AL2" t="s">
        <v>221</v>
      </c>
      <c r="AM2" t="s">
        <v>220</v>
      </c>
      <c r="AN2" t="s">
        <v>221</v>
      </c>
      <c r="AO2" s="43" t="s">
        <v>0</v>
      </c>
      <c r="AP2" t="s">
        <v>220</v>
      </c>
      <c r="AQ2" t="s">
        <v>221</v>
      </c>
      <c r="AR2" s="43" t="s">
        <v>0</v>
      </c>
      <c r="AS2" t="s">
        <v>220</v>
      </c>
      <c r="AT2" t="s">
        <v>221</v>
      </c>
      <c r="AU2" s="43" t="s">
        <v>0</v>
      </c>
      <c r="AV2" t="s">
        <v>220</v>
      </c>
      <c r="AW2" t="s">
        <v>221</v>
      </c>
      <c r="AX2" t="s">
        <v>220</v>
      </c>
      <c r="AY2" t="s">
        <v>221</v>
      </c>
      <c r="AZ2" s="43" t="s">
        <v>0</v>
      </c>
      <c r="BA2" t="s">
        <v>220</v>
      </c>
      <c r="BB2" t="s">
        <v>221</v>
      </c>
      <c r="BC2" t="s">
        <v>220</v>
      </c>
      <c r="BD2" t="s">
        <v>221</v>
      </c>
      <c r="BE2" t="s">
        <v>220</v>
      </c>
      <c r="BF2" t="s">
        <v>221</v>
      </c>
      <c r="BG2" t="s">
        <v>220</v>
      </c>
      <c r="BH2" t="s">
        <v>221</v>
      </c>
      <c r="BI2" t="s">
        <v>220</v>
      </c>
      <c r="BJ2" t="s">
        <v>221</v>
      </c>
    </row>
    <row r="3" spans="1:62" x14ac:dyDescent="0.3">
      <c r="A3" s="40" t="s">
        <v>69</v>
      </c>
      <c r="B3" s="40" t="s">
        <v>108</v>
      </c>
      <c r="H3">
        <v>84506</v>
      </c>
      <c r="I3">
        <v>79985</v>
      </c>
      <c r="K3">
        <v>66516</v>
      </c>
      <c r="L3">
        <v>90745</v>
      </c>
      <c r="M3">
        <v>38718</v>
      </c>
      <c r="N3">
        <v>42570</v>
      </c>
      <c r="O3">
        <v>56737</v>
      </c>
      <c r="P3">
        <v>62410</v>
      </c>
      <c r="Q3">
        <v>68167</v>
      </c>
      <c r="R3" s="4">
        <v>69725</v>
      </c>
      <c r="S3">
        <v>112318</v>
      </c>
      <c r="T3">
        <v>90906</v>
      </c>
      <c r="U3" s="2" t="s">
        <v>2</v>
      </c>
      <c r="V3">
        <v>147975</v>
      </c>
      <c r="W3">
        <v>56200</v>
      </c>
      <c r="X3">
        <v>125000</v>
      </c>
      <c r="Y3">
        <v>53960</v>
      </c>
      <c r="Z3">
        <v>187500</v>
      </c>
      <c r="AA3">
        <v>70000</v>
      </c>
      <c r="AC3">
        <v>250000</v>
      </c>
      <c r="AD3">
        <v>72000</v>
      </c>
      <c r="AE3">
        <v>250000</v>
      </c>
      <c r="AF3">
        <v>60000</v>
      </c>
      <c r="AG3" t="s">
        <v>2</v>
      </c>
      <c r="AZ3" t="s">
        <v>2</v>
      </c>
    </row>
    <row r="4" spans="1:62" x14ac:dyDescent="0.3">
      <c r="A4" s="40" t="s">
        <v>179</v>
      </c>
      <c r="B4" s="40" t="s">
        <v>118</v>
      </c>
      <c r="H4">
        <v>2110</v>
      </c>
      <c r="I4">
        <v>52000</v>
      </c>
      <c r="K4">
        <v>2038</v>
      </c>
      <c r="L4">
        <v>74207</v>
      </c>
      <c r="M4">
        <v>2237</v>
      </c>
      <c r="N4">
        <v>56162</v>
      </c>
      <c r="O4">
        <v>1757</v>
      </c>
      <c r="P4">
        <v>87850</v>
      </c>
      <c r="Q4">
        <v>1770</v>
      </c>
      <c r="R4">
        <v>88533</v>
      </c>
      <c r="S4">
        <v>3500</v>
      </c>
      <c r="T4">
        <v>165000</v>
      </c>
      <c r="AG4" t="s">
        <v>3</v>
      </c>
      <c r="AZ4" t="s">
        <v>3</v>
      </c>
    </row>
    <row r="5" spans="1:62" x14ac:dyDescent="0.3">
      <c r="A5" s="40" t="s">
        <v>180</v>
      </c>
      <c r="B5" s="40" t="s">
        <v>118</v>
      </c>
      <c r="H5">
        <v>971</v>
      </c>
      <c r="I5">
        <v>8208</v>
      </c>
      <c r="K5">
        <v>840</v>
      </c>
      <c r="L5">
        <v>5878</v>
      </c>
      <c r="M5">
        <v>478</v>
      </c>
      <c r="N5">
        <v>2472</v>
      </c>
      <c r="O5">
        <v>592</v>
      </c>
      <c r="P5">
        <v>3604</v>
      </c>
      <c r="Q5">
        <v>848</v>
      </c>
      <c r="R5">
        <v>4422</v>
      </c>
      <c r="S5">
        <v>1140</v>
      </c>
      <c r="T5">
        <v>6150</v>
      </c>
      <c r="AG5" t="s">
        <v>3</v>
      </c>
      <c r="AZ5" t="s">
        <v>3</v>
      </c>
    </row>
    <row r="6" spans="1:62" x14ac:dyDescent="0.3">
      <c r="A6" s="40" t="s">
        <v>181</v>
      </c>
      <c r="B6" s="40" t="s">
        <v>118</v>
      </c>
      <c r="H6">
        <v>2007</v>
      </c>
      <c r="I6">
        <v>12117</v>
      </c>
      <c r="K6">
        <v>3033</v>
      </c>
      <c r="L6">
        <v>19851</v>
      </c>
      <c r="M6">
        <v>3068</v>
      </c>
      <c r="N6">
        <v>27177</v>
      </c>
      <c r="O6">
        <v>6007</v>
      </c>
      <c r="P6">
        <v>27400</v>
      </c>
      <c r="Q6">
        <v>6665</v>
      </c>
      <c r="R6">
        <v>33470</v>
      </c>
      <c r="S6">
        <v>11600</v>
      </c>
      <c r="T6">
        <v>41040</v>
      </c>
      <c r="AG6" t="s">
        <v>3</v>
      </c>
      <c r="AZ6" t="s">
        <v>3</v>
      </c>
    </row>
    <row r="7" spans="1:62" x14ac:dyDescent="0.3">
      <c r="A7" s="40" t="s">
        <v>182</v>
      </c>
      <c r="B7" s="40" t="s">
        <v>130</v>
      </c>
      <c r="C7" s="4"/>
      <c r="D7" s="4"/>
      <c r="E7" s="4">
        <v>2500</v>
      </c>
      <c r="F7" s="4">
        <f>4000000/110</f>
        <v>36363.63636363636</v>
      </c>
      <c r="H7" s="4"/>
      <c r="I7" s="4"/>
      <c r="J7" s="4"/>
      <c r="K7" s="4"/>
      <c r="L7" s="4"/>
      <c r="U7" s="2" t="s">
        <v>3</v>
      </c>
      <c r="V7">
        <v>2900</v>
      </c>
      <c r="W7">
        <v>22560</v>
      </c>
      <c r="X7">
        <v>3875</v>
      </c>
      <c r="Y7">
        <v>24000</v>
      </c>
      <c r="Z7" s="3">
        <v>4375</v>
      </c>
      <c r="AA7" s="3">
        <v>27700</v>
      </c>
      <c r="AB7" s="2" t="s">
        <v>5</v>
      </c>
      <c r="AC7">
        <v>825</v>
      </c>
      <c r="AD7">
        <v>25340</v>
      </c>
      <c r="AE7">
        <v>810</v>
      </c>
      <c r="AF7">
        <v>20830</v>
      </c>
      <c r="AG7" s="4" t="s">
        <v>5</v>
      </c>
      <c r="AH7" s="4">
        <v>574</v>
      </c>
      <c r="AI7" s="4">
        <v>28700</v>
      </c>
      <c r="AJ7" s="4"/>
      <c r="AK7">
        <v>1125</v>
      </c>
      <c r="AL7">
        <v>30000</v>
      </c>
      <c r="AM7">
        <v>980</v>
      </c>
      <c r="AN7">
        <v>23000</v>
      </c>
      <c r="AZ7" s="4" t="s">
        <v>5</v>
      </c>
    </row>
    <row r="8" spans="1:62" x14ac:dyDescent="0.3">
      <c r="A8" s="40" t="s">
        <v>182</v>
      </c>
      <c r="B8" s="40" t="s">
        <v>131</v>
      </c>
      <c r="C8" s="4"/>
      <c r="D8" s="4"/>
      <c r="E8" s="4"/>
      <c r="F8" s="4"/>
      <c r="G8" s="4"/>
      <c r="H8" s="4"/>
      <c r="I8" s="4"/>
      <c r="J8" s="4"/>
      <c r="K8" s="4"/>
      <c r="L8" s="4"/>
      <c r="Z8" s="4"/>
      <c r="AA8" s="4"/>
      <c r="AB8" s="4"/>
      <c r="AG8" s="4" t="s">
        <v>5</v>
      </c>
      <c r="AH8" s="4"/>
      <c r="AI8" s="4"/>
      <c r="AJ8" s="4"/>
      <c r="AP8">
        <v>650</v>
      </c>
      <c r="AQ8">
        <v>22300</v>
      </c>
      <c r="AR8" s="2" t="s">
        <v>2</v>
      </c>
      <c r="AS8">
        <v>18000</v>
      </c>
      <c r="AT8">
        <v>36000</v>
      </c>
      <c r="AU8" s="2" t="s">
        <v>5</v>
      </c>
      <c r="AV8">
        <v>1000</v>
      </c>
      <c r="AW8">
        <v>42200</v>
      </c>
      <c r="AX8">
        <v>1000</v>
      </c>
      <c r="AY8">
        <v>50000</v>
      </c>
      <c r="AZ8" s="4" t="s">
        <v>5</v>
      </c>
      <c r="BC8">
        <v>900</v>
      </c>
      <c r="BD8">
        <v>45000</v>
      </c>
      <c r="BE8">
        <v>1000</v>
      </c>
      <c r="BF8">
        <v>48000</v>
      </c>
      <c r="BG8">
        <v>1100</v>
      </c>
      <c r="BH8">
        <v>52800</v>
      </c>
      <c r="BI8">
        <v>1050</v>
      </c>
      <c r="BJ8">
        <v>64000</v>
      </c>
    </row>
    <row r="9" spans="1:62" x14ac:dyDescent="0.3">
      <c r="A9" s="40" t="s">
        <v>183</v>
      </c>
      <c r="B9" s="40" t="s">
        <v>118</v>
      </c>
      <c r="C9" s="4"/>
      <c r="D9" s="4"/>
      <c r="E9" s="4"/>
      <c r="F9" s="4"/>
      <c r="G9" s="4"/>
      <c r="H9" s="4"/>
      <c r="I9" s="4"/>
      <c r="J9" s="4"/>
      <c r="K9" s="4"/>
      <c r="L9" s="4"/>
      <c r="V9" s="4">
        <v>1700</v>
      </c>
      <c r="W9" s="4">
        <v>15870</v>
      </c>
      <c r="X9" s="4">
        <v>1350</v>
      </c>
      <c r="Y9" s="4">
        <v>12000</v>
      </c>
      <c r="AG9" s="2" t="s">
        <v>2</v>
      </c>
      <c r="AM9">
        <v>1445</v>
      </c>
      <c r="AN9">
        <v>139980</v>
      </c>
      <c r="AZ9" s="4" t="s">
        <v>2</v>
      </c>
    </row>
    <row r="10" spans="1:62" x14ac:dyDescent="0.3">
      <c r="A10" s="40" t="s">
        <v>184</v>
      </c>
      <c r="B10" s="40" t="s">
        <v>118</v>
      </c>
      <c r="C10" s="4"/>
      <c r="D10" s="4"/>
      <c r="E10" s="4">
        <v>300</v>
      </c>
      <c r="F10" s="4">
        <f>3375000/110</f>
        <v>30681.81818181818</v>
      </c>
      <c r="G10" s="4"/>
      <c r="H10" s="4"/>
      <c r="I10" s="4"/>
      <c r="J10" s="4"/>
      <c r="K10" s="4"/>
      <c r="L10" s="4"/>
      <c r="V10" s="4"/>
      <c r="W10" s="4"/>
      <c r="X10" s="4"/>
      <c r="Y10" s="4"/>
      <c r="AG10" s="4" t="s">
        <v>3</v>
      </c>
      <c r="AZ10" s="4" t="s">
        <v>3</v>
      </c>
    </row>
    <row r="11" spans="1:62" x14ac:dyDescent="0.3">
      <c r="A11" s="40" t="s">
        <v>185</v>
      </c>
      <c r="B11" s="40" t="s">
        <v>122</v>
      </c>
      <c r="C11" s="4"/>
      <c r="D11" s="4"/>
      <c r="E11" s="4">
        <v>30000</v>
      </c>
      <c r="F11" s="4">
        <f>180000/110</f>
        <v>1636.3636363636363</v>
      </c>
      <c r="G11" s="4"/>
      <c r="H11" s="4"/>
      <c r="I11" s="4"/>
      <c r="J11" s="4"/>
      <c r="K11" s="4"/>
      <c r="L11" s="4"/>
      <c r="V11" s="4"/>
      <c r="W11" s="4"/>
      <c r="X11" s="4"/>
      <c r="Y11" s="4"/>
      <c r="AG11" s="4" t="s">
        <v>6</v>
      </c>
      <c r="AZ11" s="4" t="s">
        <v>6</v>
      </c>
    </row>
    <row r="12" spans="1:62" x14ac:dyDescent="0.3">
      <c r="A12" s="40" t="s">
        <v>186</v>
      </c>
      <c r="B12" s="40" t="s">
        <v>122</v>
      </c>
      <c r="C12" s="4"/>
      <c r="D12" s="4"/>
      <c r="E12" s="4">
        <v>10000</v>
      </c>
      <c r="F12" s="4">
        <f>70000/110</f>
        <v>636.36363636363637</v>
      </c>
      <c r="G12" s="4"/>
      <c r="H12" s="4"/>
      <c r="I12" s="4"/>
      <c r="J12" s="4"/>
      <c r="K12" s="4"/>
      <c r="L12" s="4"/>
      <c r="V12" s="4"/>
      <c r="W12" s="4"/>
      <c r="X12" s="4"/>
      <c r="Y12" s="4"/>
      <c r="AG12" s="4" t="s">
        <v>6</v>
      </c>
      <c r="AZ12" s="4" t="s">
        <v>6</v>
      </c>
    </row>
    <row r="13" spans="1:62" x14ac:dyDescent="0.3">
      <c r="A13" s="40" t="s">
        <v>136</v>
      </c>
      <c r="B13" s="40" t="s">
        <v>122</v>
      </c>
      <c r="C13" s="4"/>
      <c r="D13" s="4"/>
      <c r="E13" s="4">
        <v>10000</v>
      </c>
      <c r="F13" s="4">
        <f>80000/110</f>
        <v>727.27272727272725</v>
      </c>
      <c r="G13" s="4"/>
      <c r="H13" s="4"/>
      <c r="I13" s="4"/>
      <c r="J13" s="4"/>
      <c r="K13" s="4"/>
      <c r="L13" s="4"/>
      <c r="V13" s="4"/>
      <c r="W13" s="4"/>
      <c r="X13" s="4"/>
      <c r="Y13" s="4"/>
      <c r="AG13" s="4" t="s">
        <v>6</v>
      </c>
      <c r="AZ13" s="4" t="s">
        <v>6</v>
      </c>
    </row>
    <row r="14" spans="1:62" x14ac:dyDescent="0.3">
      <c r="A14" s="40" t="s">
        <v>187</v>
      </c>
      <c r="B14" s="40" t="s">
        <v>122</v>
      </c>
      <c r="C14" s="4"/>
      <c r="D14" s="4"/>
      <c r="E14" s="4"/>
      <c r="F14" s="4"/>
      <c r="G14" s="4"/>
      <c r="H14" s="4"/>
      <c r="I14" s="4"/>
      <c r="J14" s="4"/>
      <c r="K14" s="4"/>
      <c r="L14" s="4"/>
      <c r="V14" s="4"/>
      <c r="W14" s="4"/>
      <c r="X14" s="4"/>
      <c r="Y14" s="4"/>
      <c r="AG14" s="4" t="s">
        <v>6</v>
      </c>
      <c r="AM14">
        <v>360000</v>
      </c>
      <c r="AN14">
        <v>36000</v>
      </c>
      <c r="AP14">
        <v>254800</v>
      </c>
      <c r="AQ14">
        <v>27000</v>
      </c>
      <c r="AZ14" s="4" t="s">
        <v>6</v>
      </c>
    </row>
    <row r="15" spans="1:62" x14ac:dyDescent="0.3">
      <c r="A15" s="40" t="s">
        <v>137</v>
      </c>
      <c r="B15" s="40" t="s">
        <v>131</v>
      </c>
      <c r="C15" s="4"/>
      <c r="D15" s="4"/>
      <c r="E15" s="4"/>
      <c r="F15" s="4"/>
      <c r="G15" s="4"/>
      <c r="H15" s="4"/>
      <c r="I15" s="4"/>
      <c r="J15" s="4"/>
      <c r="K15" s="4"/>
      <c r="L15" s="4"/>
      <c r="V15" s="4"/>
      <c r="W15" s="4"/>
      <c r="X15" s="4"/>
      <c r="Y15" s="4"/>
      <c r="AG15" s="4" t="s">
        <v>5</v>
      </c>
      <c r="AK15">
        <v>360</v>
      </c>
      <c r="AL15">
        <v>3000</v>
      </c>
      <c r="AM15">
        <v>600</v>
      </c>
      <c r="AN15">
        <v>5000</v>
      </c>
      <c r="AP15">
        <v>900</v>
      </c>
      <c r="AQ15">
        <v>7000</v>
      </c>
      <c r="AS15">
        <v>470</v>
      </c>
      <c r="AT15">
        <v>6000</v>
      </c>
      <c r="AV15">
        <v>700</v>
      </c>
      <c r="AW15">
        <v>7000</v>
      </c>
      <c r="AX15">
        <v>800</v>
      </c>
      <c r="AY15">
        <v>12000</v>
      </c>
      <c r="AZ15" s="4" t="s">
        <v>5</v>
      </c>
      <c r="BG15">
        <v>2000</v>
      </c>
      <c r="BH15">
        <v>12000</v>
      </c>
      <c r="BI15">
        <v>2200</v>
      </c>
      <c r="BJ15">
        <v>11000</v>
      </c>
    </row>
    <row r="16" spans="1:62" x14ac:dyDescent="0.3">
      <c r="A16" s="40" t="s">
        <v>61</v>
      </c>
      <c r="B16" s="40" t="s">
        <v>160</v>
      </c>
      <c r="C16" s="4"/>
      <c r="D16" s="4"/>
      <c r="E16" s="4"/>
      <c r="F16" s="4"/>
      <c r="G16" s="4"/>
      <c r="H16" s="4"/>
      <c r="I16" s="4"/>
      <c r="J16" s="4"/>
      <c r="K16" s="4"/>
      <c r="L16" s="4"/>
      <c r="V16" s="4"/>
      <c r="W16" s="4"/>
      <c r="X16" s="4"/>
      <c r="Y16" s="4"/>
      <c r="AG16" s="4" t="s">
        <v>7</v>
      </c>
      <c r="AH16">
        <v>7188</v>
      </c>
      <c r="AI16">
        <v>8000</v>
      </c>
      <c r="AJ16" s="2" t="s">
        <v>8</v>
      </c>
      <c r="AK16">
        <v>23333</v>
      </c>
      <c r="AL16">
        <v>1216</v>
      </c>
      <c r="AM16">
        <v>233300</v>
      </c>
      <c r="AN16">
        <v>15300</v>
      </c>
      <c r="AP16">
        <v>150000</v>
      </c>
      <c r="AQ16">
        <v>15000</v>
      </c>
      <c r="AS16">
        <v>165000</v>
      </c>
      <c r="AT16">
        <v>13450</v>
      </c>
      <c r="AV16">
        <v>130000</v>
      </c>
      <c r="AW16">
        <v>12000</v>
      </c>
      <c r="AX16">
        <v>200000</v>
      </c>
      <c r="AY16">
        <v>19000</v>
      </c>
      <c r="AZ16" s="4" t="s">
        <v>8</v>
      </c>
      <c r="BC16">
        <v>350000</v>
      </c>
      <c r="BD16">
        <v>50000</v>
      </c>
      <c r="BE16">
        <v>800000</v>
      </c>
      <c r="BF16">
        <v>120000</v>
      </c>
      <c r="BG16">
        <v>820000</v>
      </c>
      <c r="BH16">
        <v>125000</v>
      </c>
      <c r="BI16">
        <v>810000</v>
      </c>
      <c r="BJ16">
        <v>123000</v>
      </c>
    </row>
    <row r="17" spans="1:62" x14ac:dyDescent="0.3">
      <c r="A17" s="40" t="s">
        <v>188</v>
      </c>
      <c r="B17" s="40" t="s">
        <v>130</v>
      </c>
      <c r="E17">
        <v>4000</v>
      </c>
      <c r="F17">
        <f>1400000/110</f>
        <v>12727.272727272728</v>
      </c>
      <c r="G17" s="2" t="s">
        <v>9</v>
      </c>
      <c r="H17">
        <v>4080</v>
      </c>
      <c r="I17">
        <v>10813</v>
      </c>
      <c r="K17" s="4">
        <v>9053</v>
      </c>
      <c r="L17" s="4">
        <v>14167</v>
      </c>
      <c r="M17">
        <v>12096</v>
      </c>
      <c r="N17">
        <v>13179</v>
      </c>
      <c r="O17">
        <v>9720</v>
      </c>
      <c r="P17">
        <v>18544</v>
      </c>
      <c r="Q17">
        <v>12944</v>
      </c>
      <c r="R17">
        <v>16345</v>
      </c>
      <c r="S17">
        <v>30120</v>
      </c>
      <c r="T17">
        <v>10732</v>
      </c>
      <c r="U17" s="2" t="s">
        <v>2</v>
      </c>
      <c r="V17">
        <v>20130</v>
      </c>
      <c r="W17">
        <v>14450</v>
      </c>
      <c r="X17" s="4">
        <v>27500</v>
      </c>
      <c r="Y17" s="4">
        <v>16000</v>
      </c>
      <c r="Z17" s="4">
        <v>45000</v>
      </c>
      <c r="AA17" s="4">
        <v>18000</v>
      </c>
      <c r="AB17" s="4"/>
      <c r="AC17" s="4">
        <v>45000</v>
      </c>
      <c r="AD17" s="4">
        <v>20000</v>
      </c>
      <c r="AE17" s="4">
        <v>62500</v>
      </c>
      <c r="AF17" s="4">
        <v>20000</v>
      </c>
      <c r="AG17" t="s">
        <v>2</v>
      </c>
      <c r="AH17">
        <v>25000</v>
      </c>
      <c r="AI17">
        <v>20000</v>
      </c>
      <c r="AJ17" s="2" t="s">
        <v>5</v>
      </c>
      <c r="AK17">
        <v>1025</v>
      </c>
      <c r="AL17">
        <v>20000</v>
      </c>
      <c r="AM17">
        <v>808</v>
      </c>
      <c r="AN17">
        <v>4913</v>
      </c>
      <c r="AP17">
        <v>700</v>
      </c>
      <c r="AQ17">
        <v>4200</v>
      </c>
      <c r="AS17">
        <v>210</v>
      </c>
      <c r="AT17">
        <v>2100</v>
      </c>
      <c r="AV17">
        <v>300</v>
      </c>
      <c r="AW17">
        <v>4800</v>
      </c>
      <c r="AX17">
        <v>4000</v>
      </c>
      <c r="AY17">
        <v>40000</v>
      </c>
      <c r="AZ17" s="4" t="s">
        <v>5</v>
      </c>
      <c r="BA17" s="4">
        <v>2800</v>
      </c>
      <c r="BB17" s="4">
        <v>28000</v>
      </c>
      <c r="BC17" s="4">
        <v>1700</v>
      </c>
      <c r="BD17" s="4">
        <v>25000</v>
      </c>
      <c r="BE17" s="4">
        <v>2000</v>
      </c>
      <c r="BF17" s="4">
        <v>30000</v>
      </c>
      <c r="BG17" s="4">
        <v>1500</v>
      </c>
      <c r="BH17" s="4">
        <v>25000</v>
      </c>
      <c r="BI17" s="4">
        <v>3000</v>
      </c>
      <c r="BJ17" s="4">
        <v>35000</v>
      </c>
    </row>
    <row r="18" spans="1:62" x14ac:dyDescent="0.3">
      <c r="A18" s="40" t="s">
        <v>189</v>
      </c>
      <c r="B18" s="40" t="s">
        <v>130</v>
      </c>
      <c r="E18">
        <v>4000</v>
      </c>
      <c r="F18">
        <f>2400000/110</f>
        <v>21818.18181818182</v>
      </c>
      <c r="G18" s="2" t="s">
        <v>9</v>
      </c>
      <c r="H18">
        <v>4290</v>
      </c>
      <c r="I18">
        <v>9009</v>
      </c>
      <c r="K18">
        <v>3597</v>
      </c>
      <c r="L18">
        <v>5497</v>
      </c>
      <c r="M18">
        <v>3735</v>
      </c>
      <c r="N18">
        <v>6855</v>
      </c>
      <c r="O18">
        <v>1547</v>
      </c>
      <c r="P18">
        <v>6392</v>
      </c>
      <c r="Q18">
        <v>3494</v>
      </c>
      <c r="R18">
        <v>5097</v>
      </c>
      <c r="S18">
        <v>7380</v>
      </c>
      <c r="T18">
        <v>7297</v>
      </c>
      <c r="U18" s="2" t="s">
        <v>2</v>
      </c>
      <c r="V18">
        <v>5000</v>
      </c>
      <c r="W18">
        <v>10160</v>
      </c>
      <c r="X18">
        <v>7500</v>
      </c>
      <c r="Y18">
        <v>16200</v>
      </c>
      <c r="Z18">
        <v>14400</v>
      </c>
      <c r="AA18">
        <v>15700</v>
      </c>
      <c r="AC18">
        <v>10000</v>
      </c>
      <c r="AD18">
        <v>14800</v>
      </c>
      <c r="AE18">
        <v>12500</v>
      </c>
      <c r="AF18">
        <v>8000</v>
      </c>
      <c r="AG18" t="s">
        <v>2</v>
      </c>
      <c r="AH18">
        <v>442</v>
      </c>
      <c r="AI18">
        <v>7200</v>
      </c>
      <c r="AJ18" s="2" t="s">
        <v>5</v>
      </c>
      <c r="AK18">
        <v>103</v>
      </c>
      <c r="AL18">
        <v>4000</v>
      </c>
      <c r="AM18">
        <v>150</v>
      </c>
      <c r="AN18">
        <v>5013</v>
      </c>
      <c r="AP18">
        <v>250</v>
      </c>
      <c r="AQ18">
        <v>6500</v>
      </c>
      <c r="AS18">
        <v>125</v>
      </c>
      <c r="AT18">
        <v>2500</v>
      </c>
      <c r="AV18">
        <v>160</v>
      </c>
      <c r="AW18">
        <v>4000</v>
      </c>
      <c r="AX18">
        <v>400</v>
      </c>
      <c r="AY18">
        <v>10000</v>
      </c>
      <c r="AZ18" s="4" t="s">
        <v>5</v>
      </c>
      <c r="BA18" s="4">
        <v>300</v>
      </c>
      <c r="BB18" s="4">
        <v>8000</v>
      </c>
      <c r="BC18" s="4">
        <v>280</v>
      </c>
      <c r="BD18" s="4">
        <v>8000</v>
      </c>
      <c r="BE18" s="4">
        <v>280</v>
      </c>
      <c r="BF18" s="4">
        <v>8000</v>
      </c>
      <c r="BG18" s="4">
        <v>230</v>
      </c>
      <c r="BH18" s="4">
        <v>7800</v>
      </c>
      <c r="BI18" s="4">
        <v>400</v>
      </c>
      <c r="BJ18" s="4">
        <v>11000</v>
      </c>
    </row>
    <row r="19" spans="1:62" x14ac:dyDescent="0.3">
      <c r="A19" s="40" t="s">
        <v>138</v>
      </c>
      <c r="B19" s="40" t="s">
        <v>130</v>
      </c>
      <c r="C19">
        <v>1800</v>
      </c>
      <c r="D19">
        <v>18000</v>
      </c>
      <c r="E19">
        <v>3650</v>
      </c>
      <c r="F19">
        <f>1825000/110</f>
        <v>16590.909090909092</v>
      </c>
      <c r="G19" s="2" t="s">
        <v>9</v>
      </c>
      <c r="H19">
        <v>1490</v>
      </c>
      <c r="I19">
        <v>2106</v>
      </c>
      <c r="K19">
        <v>1317</v>
      </c>
      <c r="L19">
        <v>2393</v>
      </c>
      <c r="M19">
        <v>2142</v>
      </c>
      <c r="N19">
        <v>4919</v>
      </c>
      <c r="O19">
        <v>536</v>
      </c>
      <c r="P19">
        <v>677</v>
      </c>
      <c r="Q19">
        <v>1106</v>
      </c>
      <c r="R19">
        <v>1715</v>
      </c>
      <c r="S19">
        <v>1446</v>
      </c>
      <c r="T19">
        <v>1316</v>
      </c>
      <c r="U19" s="2" t="s">
        <v>2</v>
      </c>
      <c r="V19">
        <v>3750</v>
      </c>
      <c r="W19">
        <v>2960</v>
      </c>
      <c r="X19">
        <v>1500</v>
      </c>
      <c r="Y19">
        <v>1200</v>
      </c>
      <c r="Z19">
        <v>3750</v>
      </c>
      <c r="AA19">
        <v>2160</v>
      </c>
      <c r="AC19">
        <v>10000</v>
      </c>
      <c r="AD19">
        <v>3570</v>
      </c>
      <c r="AE19">
        <v>7500</v>
      </c>
      <c r="AF19">
        <v>2000</v>
      </c>
      <c r="AG19" t="s">
        <v>2</v>
      </c>
      <c r="AJ19" s="2" t="s">
        <v>5</v>
      </c>
      <c r="AK19">
        <v>269</v>
      </c>
      <c r="AL19">
        <v>3000</v>
      </c>
      <c r="AM19">
        <v>562</v>
      </c>
      <c r="AN19">
        <v>6272</v>
      </c>
      <c r="AP19">
        <v>420</v>
      </c>
      <c r="AQ19">
        <v>4800</v>
      </c>
      <c r="AS19">
        <v>400</v>
      </c>
      <c r="AT19" s="4">
        <v>1500</v>
      </c>
      <c r="AU19" s="4"/>
      <c r="AV19" s="4">
        <v>120</v>
      </c>
      <c r="AW19" s="4">
        <v>1700</v>
      </c>
      <c r="AX19" s="4">
        <v>250</v>
      </c>
      <c r="AY19" s="4">
        <v>5000</v>
      </c>
      <c r="AZ19" s="4" t="s">
        <v>5</v>
      </c>
      <c r="BC19" s="4">
        <v>380</v>
      </c>
      <c r="BD19" s="4">
        <v>10000</v>
      </c>
      <c r="BE19" s="4">
        <v>350</v>
      </c>
      <c r="BF19" s="4">
        <v>8000</v>
      </c>
      <c r="BG19" s="4">
        <v>250</v>
      </c>
      <c r="BH19" s="4">
        <v>6000</v>
      </c>
      <c r="BI19" s="4">
        <v>275</v>
      </c>
      <c r="BJ19" s="4">
        <v>6000</v>
      </c>
    </row>
    <row r="20" spans="1:62" x14ac:dyDescent="0.3">
      <c r="A20" s="40" t="s">
        <v>190</v>
      </c>
      <c r="B20" s="40" t="s">
        <v>130</v>
      </c>
      <c r="E20">
        <v>500</v>
      </c>
      <c r="F20">
        <f>5000000/110</f>
        <v>45454.545454545456</v>
      </c>
      <c r="G20" s="2" t="s">
        <v>9</v>
      </c>
      <c r="H20">
        <v>7837</v>
      </c>
      <c r="I20">
        <v>4636</v>
      </c>
      <c r="J20" s="2" t="s">
        <v>1</v>
      </c>
      <c r="K20">
        <v>4910</v>
      </c>
      <c r="L20">
        <v>8019</v>
      </c>
      <c r="M20">
        <v>3314</v>
      </c>
      <c r="N20">
        <v>11121</v>
      </c>
      <c r="O20">
        <v>2024</v>
      </c>
      <c r="P20">
        <v>7254</v>
      </c>
      <c r="Q20">
        <v>4735</v>
      </c>
      <c r="R20">
        <v>14008</v>
      </c>
      <c r="S20">
        <v>6866</v>
      </c>
      <c r="T20">
        <v>11855</v>
      </c>
      <c r="U20" s="2" t="s">
        <v>2</v>
      </c>
      <c r="V20">
        <v>7512</v>
      </c>
      <c r="W20">
        <v>7566</v>
      </c>
      <c r="X20">
        <v>7000</v>
      </c>
      <c r="Y20">
        <v>9440</v>
      </c>
      <c r="Z20">
        <v>17500</v>
      </c>
      <c r="AA20">
        <v>14000</v>
      </c>
      <c r="AC20">
        <v>11600</v>
      </c>
      <c r="AD20">
        <v>13200</v>
      </c>
      <c r="AE20">
        <v>15000</v>
      </c>
      <c r="AF20">
        <v>14000</v>
      </c>
      <c r="AG20" t="s">
        <v>2</v>
      </c>
      <c r="AH20">
        <v>5300</v>
      </c>
      <c r="AI20">
        <v>8056</v>
      </c>
      <c r="AJ20" s="2" t="s">
        <v>5</v>
      </c>
      <c r="AK20">
        <v>883</v>
      </c>
      <c r="AL20">
        <v>16000</v>
      </c>
      <c r="AM20">
        <v>255</v>
      </c>
      <c r="AN20">
        <v>6522</v>
      </c>
      <c r="AP20">
        <v>360</v>
      </c>
      <c r="AQ20">
        <v>8400</v>
      </c>
      <c r="AS20">
        <v>200</v>
      </c>
      <c r="AT20">
        <v>4400</v>
      </c>
      <c r="AV20">
        <v>300</v>
      </c>
      <c r="AW20">
        <v>9000</v>
      </c>
      <c r="AX20">
        <v>1100</v>
      </c>
      <c r="AY20">
        <v>38500</v>
      </c>
      <c r="AZ20" s="4" t="s">
        <v>5</v>
      </c>
      <c r="BA20" s="4">
        <v>800</v>
      </c>
      <c r="BB20" s="4">
        <v>27000</v>
      </c>
      <c r="BC20" s="4">
        <v>600</v>
      </c>
      <c r="BD20" s="4">
        <v>20000</v>
      </c>
      <c r="BE20" s="4">
        <v>800</v>
      </c>
      <c r="BF20" s="4">
        <v>24000</v>
      </c>
      <c r="BG20" s="4">
        <v>1200</v>
      </c>
      <c r="BH20" s="4">
        <v>28800</v>
      </c>
      <c r="BI20" s="4">
        <v>2400</v>
      </c>
      <c r="BJ20" s="4">
        <v>56000</v>
      </c>
    </row>
    <row r="21" spans="1:62" x14ac:dyDescent="0.3">
      <c r="A21" s="40" t="s">
        <v>139</v>
      </c>
      <c r="B21" s="40" t="s">
        <v>118</v>
      </c>
      <c r="C21" s="4"/>
      <c r="D21" s="4"/>
      <c r="E21" s="4"/>
      <c r="F21" s="4"/>
      <c r="G21" s="4"/>
      <c r="H21" s="4"/>
      <c r="I21" s="4"/>
      <c r="J21" s="4"/>
      <c r="K21" s="4"/>
      <c r="L21" s="4"/>
      <c r="V21">
        <v>250</v>
      </c>
      <c r="W21">
        <v>2850</v>
      </c>
      <c r="X21">
        <v>350</v>
      </c>
      <c r="Y21">
        <v>4000</v>
      </c>
      <c r="Z21" s="3">
        <v>400</v>
      </c>
      <c r="AA21" s="3">
        <v>4500</v>
      </c>
      <c r="AG21" s="4" t="s">
        <v>3</v>
      </c>
      <c r="AZ21" s="4" t="s">
        <v>3</v>
      </c>
    </row>
    <row r="22" spans="1:62" x14ac:dyDescent="0.3">
      <c r="A22" s="40" t="s">
        <v>140</v>
      </c>
      <c r="B22" s="40" t="s">
        <v>126</v>
      </c>
      <c r="C22" s="4"/>
      <c r="D22" s="4"/>
      <c r="E22" s="4"/>
      <c r="F22" s="4"/>
      <c r="G22" s="4"/>
      <c r="H22" s="4"/>
      <c r="I22" s="4"/>
      <c r="J22" s="4"/>
      <c r="K22" s="4"/>
      <c r="L22" s="4"/>
      <c r="M22">
        <v>244</v>
      </c>
      <c r="N22">
        <v>3711</v>
      </c>
      <c r="O22">
        <v>305</v>
      </c>
      <c r="P22">
        <v>5502</v>
      </c>
      <c r="Q22" s="3">
        <v>465</v>
      </c>
      <c r="R22" s="3">
        <v>7553</v>
      </c>
      <c r="V22">
        <v>240</v>
      </c>
      <c r="W22">
        <v>7300</v>
      </c>
      <c r="X22">
        <v>300</v>
      </c>
      <c r="Y22">
        <v>8960</v>
      </c>
      <c r="Z22" s="3">
        <v>470</v>
      </c>
      <c r="AA22" s="3">
        <v>13000</v>
      </c>
      <c r="AG22" s="4" t="s">
        <v>9</v>
      </c>
      <c r="AZ22" s="4" t="s">
        <v>9</v>
      </c>
    </row>
    <row r="23" spans="1:62" x14ac:dyDescent="0.3">
      <c r="A23" s="40" t="s">
        <v>141</v>
      </c>
      <c r="B23" s="40" t="s">
        <v>130</v>
      </c>
      <c r="E23" s="4">
        <v>160</v>
      </c>
      <c r="F23">
        <f>160000/110</f>
        <v>1454.5454545454545</v>
      </c>
      <c r="G23" s="2" t="s">
        <v>9</v>
      </c>
      <c r="H23" s="4">
        <v>608</v>
      </c>
      <c r="I23" s="4">
        <v>1504</v>
      </c>
      <c r="J23" s="2" t="s">
        <v>1</v>
      </c>
      <c r="K23" s="4">
        <v>870</v>
      </c>
      <c r="L23" s="4">
        <v>2391</v>
      </c>
      <c r="M23">
        <v>911</v>
      </c>
      <c r="N23">
        <v>1422</v>
      </c>
      <c r="O23">
        <v>649</v>
      </c>
      <c r="P23">
        <v>1690</v>
      </c>
      <c r="Q23">
        <v>1126</v>
      </c>
      <c r="R23">
        <v>404</v>
      </c>
      <c r="S23">
        <v>1834</v>
      </c>
      <c r="T23">
        <v>1133</v>
      </c>
      <c r="AG23" t="s">
        <v>1</v>
      </c>
      <c r="AZ23" t="s">
        <v>1</v>
      </c>
    </row>
    <row r="24" spans="1:62" x14ac:dyDescent="0.3">
      <c r="A24" s="40" t="s">
        <v>142</v>
      </c>
      <c r="B24" s="40" t="s">
        <v>126</v>
      </c>
      <c r="H24" s="4">
        <v>1521</v>
      </c>
      <c r="I24" s="4">
        <v>921</v>
      </c>
      <c r="K24" s="4">
        <v>896</v>
      </c>
      <c r="L24" s="4">
        <v>1613</v>
      </c>
      <c r="M24">
        <v>520</v>
      </c>
      <c r="N24">
        <v>1081</v>
      </c>
      <c r="O24">
        <v>533</v>
      </c>
      <c r="P24">
        <v>952</v>
      </c>
      <c r="Q24">
        <v>1038</v>
      </c>
      <c r="R24">
        <v>1247</v>
      </c>
      <c r="S24">
        <v>2780</v>
      </c>
      <c r="T24">
        <v>1987</v>
      </c>
      <c r="AG24" s="2" t="s">
        <v>2</v>
      </c>
      <c r="AH24">
        <v>20000</v>
      </c>
      <c r="AI24">
        <v>16800</v>
      </c>
      <c r="AJ24" s="2" t="s">
        <v>5</v>
      </c>
      <c r="AK24">
        <v>331</v>
      </c>
      <c r="AL24">
        <v>6000</v>
      </c>
      <c r="AM24">
        <v>310</v>
      </c>
      <c r="AN24">
        <v>4200</v>
      </c>
      <c r="AP24">
        <v>320</v>
      </c>
      <c r="AQ24">
        <v>4115</v>
      </c>
      <c r="AR24" s="2" t="s">
        <v>2</v>
      </c>
      <c r="AS24">
        <v>6600</v>
      </c>
      <c r="AT24">
        <v>4000</v>
      </c>
      <c r="AU24" s="2" t="s">
        <v>5</v>
      </c>
      <c r="AV24">
        <v>400</v>
      </c>
      <c r="AW24">
        <v>4800</v>
      </c>
      <c r="AX24">
        <v>400</v>
      </c>
      <c r="AY24">
        <v>4800</v>
      </c>
      <c r="AZ24" s="4" t="s">
        <v>5</v>
      </c>
      <c r="BC24">
        <v>380</v>
      </c>
      <c r="BD24">
        <v>5000</v>
      </c>
      <c r="BE24">
        <v>380</v>
      </c>
      <c r="BF24">
        <v>6000</v>
      </c>
      <c r="BG24">
        <v>380</v>
      </c>
      <c r="BH24">
        <v>6000</v>
      </c>
      <c r="BI24">
        <v>350</v>
      </c>
      <c r="BJ24">
        <v>6000</v>
      </c>
    </row>
    <row r="25" spans="1:62" x14ac:dyDescent="0.3">
      <c r="A25" s="40" t="s">
        <v>143</v>
      </c>
      <c r="B25" s="40" t="s">
        <v>126</v>
      </c>
      <c r="H25" s="4">
        <v>536</v>
      </c>
      <c r="I25" s="4">
        <v>1361</v>
      </c>
      <c r="J25" s="2" t="s">
        <v>1</v>
      </c>
      <c r="K25" s="4">
        <v>242</v>
      </c>
      <c r="L25" s="4">
        <v>1246</v>
      </c>
      <c r="M25">
        <v>271</v>
      </c>
      <c r="N25">
        <v>1036</v>
      </c>
      <c r="O25">
        <v>398</v>
      </c>
      <c r="P25">
        <v>1624</v>
      </c>
      <c r="Q25" s="3">
        <v>449</v>
      </c>
      <c r="R25" s="3">
        <v>1181</v>
      </c>
      <c r="AG25" s="2" t="s">
        <v>2</v>
      </c>
      <c r="AK25">
        <v>15600</v>
      </c>
      <c r="AL25">
        <v>1640</v>
      </c>
      <c r="AM25">
        <v>5600</v>
      </c>
      <c r="AN25">
        <v>5000</v>
      </c>
      <c r="AP25">
        <v>250</v>
      </c>
      <c r="AQ25">
        <v>400</v>
      </c>
      <c r="AS25">
        <v>200</v>
      </c>
      <c r="AT25">
        <v>310</v>
      </c>
      <c r="AU25" s="2" t="s">
        <v>5</v>
      </c>
      <c r="AV25">
        <v>22</v>
      </c>
      <c r="AW25">
        <v>700</v>
      </c>
      <c r="AX25">
        <v>200</v>
      </c>
      <c r="AY25">
        <v>4000</v>
      </c>
      <c r="AZ25" s="4" t="s">
        <v>5</v>
      </c>
      <c r="BC25">
        <v>100</v>
      </c>
      <c r="BD25">
        <v>5000</v>
      </c>
      <c r="BE25">
        <v>100</v>
      </c>
      <c r="BF25">
        <v>5000</v>
      </c>
      <c r="BG25">
        <v>100</v>
      </c>
      <c r="BH25">
        <v>5000</v>
      </c>
      <c r="BI25">
        <v>90</v>
      </c>
      <c r="BJ25">
        <v>4500</v>
      </c>
    </row>
    <row r="26" spans="1:62" x14ac:dyDescent="0.3">
      <c r="A26" s="40" t="s">
        <v>191</v>
      </c>
      <c r="B26" s="40" t="s">
        <v>133</v>
      </c>
      <c r="H26" s="4"/>
      <c r="I26" s="4"/>
      <c r="J26" s="4"/>
      <c r="K26" s="4"/>
      <c r="L26" s="4"/>
      <c r="Q26" s="4"/>
      <c r="R26" s="4"/>
      <c r="AG26" t="s">
        <v>10</v>
      </c>
      <c r="AH26">
        <v>64000</v>
      </c>
      <c r="AI26">
        <v>5120</v>
      </c>
      <c r="AZ26" t="s">
        <v>10</v>
      </c>
    </row>
    <row r="27" spans="1:62" x14ac:dyDescent="0.3">
      <c r="A27" s="40" t="s">
        <v>106</v>
      </c>
      <c r="B27" s="40" t="s">
        <v>133</v>
      </c>
      <c r="E27">
        <v>12000</v>
      </c>
      <c r="F27">
        <f>84000/110</f>
        <v>763.63636363636363</v>
      </c>
      <c r="H27" s="4"/>
      <c r="I27" s="4"/>
      <c r="J27" s="4"/>
      <c r="K27" s="4"/>
      <c r="L27" s="4"/>
      <c r="Q27" s="4"/>
      <c r="R27" s="4"/>
      <c r="AG27" t="s">
        <v>10</v>
      </c>
      <c r="AK27">
        <v>207664</v>
      </c>
      <c r="AL27">
        <v>14200</v>
      </c>
      <c r="AM27">
        <v>177620</v>
      </c>
      <c r="AN27">
        <v>16143</v>
      </c>
      <c r="AP27">
        <v>182962</v>
      </c>
      <c r="AQ27">
        <v>19318</v>
      </c>
      <c r="AS27">
        <v>135400</v>
      </c>
      <c r="AT27">
        <v>14933</v>
      </c>
      <c r="AV27">
        <v>111000</v>
      </c>
      <c r="AW27">
        <v>15200</v>
      </c>
      <c r="AX27">
        <v>83400</v>
      </c>
      <c r="AY27">
        <v>11500</v>
      </c>
      <c r="AZ27" t="s">
        <v>10</v>
      </c>
      <c r="BA27">
        <v>84000</v>
      </c>
      <c r="BB27">
        <v>14000</v>
      </c>
    </row>
    <row r="28" spans="1:62" x14ac:dyDescent="0.3">
      <c r="A28" s="40" t="s">
        <v>144</v>
      </c>
      <c r="B28" s="40" t="s">
        <v>118</v>
      </c>
      <c r="K28" s="4">
        <v>6632</v>
      </c>
      <c r="L28" s="4">
        <v>4823</v>
      </c>
      <c r="M28">
        <v>15944</v>
      </c>
      <c r="N28">
        <v>10362</v>
      </c>
      <c r="O28">
        <v>3779</v>
      </c>
      <c r="P28">
        <v>1492</v>
      </c>
      <c r="Q28">
        <v>5310</v>
      </c>
      <c r="R28">
        <v>1608</v>
      </c>
      <c r="S28">
        <v>2510</v>
      </c>
      <c r="T28">
        <v>631</v>
      </c>
      <c r="U28" s="2" t="s">
        <v>2</v>
      </c>
      <c r="X28">
        <v>8400</v>
      </c>
      <c r="Y28">
        <v>2000</v>
      </c>
      <c r="Z28">
        <v>6250</v>
      </c>
      <c r="AA28">
        <v>2300</v>
      </c>
      <c r="AC28" s="3">
        <v>5200</v>
      </c>
      <c r="AD28" s="3">
        <v>1900</v>
      </c>
      <c r="AG28" t="s">
        <v>2</v>
      </c>
      <c r="AH28">
        <v>15160</v>
      </c>
      <c r="AI28">
        <v>2789</v>
      </c>
      <c r="AJ28" s="2" t="s">
        <v>5</v>
      </c>
      <c r="AK28">
        <v>800</v>
      </c>
      <c r="AL28">
        <v>3000</v>
      </c>
      <c r="AM28">
        <v>1100</v>
      </c>
      <c r="AN28">
        <v>4670</v>
      </c>
      <c r="AP28">
        <v>1900</v>
      </c>
      <c r="AQ28">
        <v>8550</v>
      </c>
      <c r="AR28" s="2" t="s">
        <v>2</v>
      </c>
      <c r="AS28">
        <v>32000</v>
      </c>
      <c r="AT28">
        <v>6640</v>
      </c>
      <c r="AU28" s="2" t="s">
        <v>5</v>
      </c>
      <c r="AV28">
        <v>2000</v>
      </c>
      <c r="AW28">
        <v>16800</v>
      </c>
      <c r="AX28">
        <v>2000</v>
      </c>
      <c r="AY28">
        <v>16800</v>
      </c>
      <c r="AZ28" t="s">
        <v>5</v>
      </c>
      <c r="BC28">
        <v>1500</v>
      </c>
      <c r="BD28">
        <v>15000</v>
      </c>
      <c r="BE28">
        <v>1700</v>
      </c>
      <c r="BF28">
        <v>17000</v>
      </c>
      <c r="BG28">
        <v>1700</v>
      </c>
      <c r="BH28">
        <v>17000</v>
      </c>
      <c r="BI28">
        <v>1700</v>
      </c>
      <c r="BJ28">
        <v>17000</v>
      </c>
    </row>
    <row r="29" spans="1:62" x14ac:dyDescent="0.3">
      <c r="A29" s="40" t="s">
        <v>145</v>
      </c>
      <c r="B29" s="40" t="s">
        <v>130</v>
      </c>
      <c r="E29">
        <v>300</v>
      </c>
      <c r="F29">
        <f>57000/110</f>
        <v>518.18181818181813</v>
      </c>
      <c r="J29" s="2" t="s">
        <v>3</v>
      </c>
      <c r="K29" s="4">
        <v>1443</v>
      </c>
      <c r="L29" s="4">
        <v>123</v>
      </c>
      <c r="M29">
        <v>907</v>
      </c>
      <c r="N29" s="4">
        <v>109</v>
      </c>
      <c r="O29">
        <v>588</v>
      </c>
      <c r="P29">
        <v>79</v>
      </c>
      <c r="Q29">
        <v>1577</v>
      </c>
      <c r="R29">
        <v>788</v>
      </c>
      <c r="S29">
        <v>2026</v>
      </c>
      <c r="T29">
        <v>702</v>
      </c>
      <c r="AG29" t="s">
        <v>3</v>
      </c>
      <c r="AZ29" t="s">
        <v>3</v>
      </c>
    </row>
    <row r="30" spans="1:62" x14ac:dyDescent="0.3">
      <c r="A30" s="40" t="s">
        <v>146</v>
      </c>
      <c r="B30" s="40" t="s">
        <v>131</v>
      </c>
      <c r="K30" s="4"/>
      <c r="L30" s="4"/>
      <c r="N30" s="4"/>
      <c r="AG30" t="s">
        <v>5</v>
      </c>
      <c r="AH30">
        <v>728</v>
      </c>
      <c r="AI30">
        <v>582</v>
      </c>
      <c r="AK30">
        <v>900</v>
      </c>
      <c r="AL30">
        <v>600</v>
      </c>
      <c r="AZ30" t="s">
        <v>5</v>
      </c>
    </row>
    <row r="31" spans="1:62" x14ac:dyDescent="0.3">
      <c r="A31" s="40" t="s">
        <v>147</v>
      </c>
      <c r="B31" s="40" t="s">
        <v>161</v>
      </c>
      <c r="M31">
        <v>463820</v>
      </c>
      <c r="N31">
        <v>84332</v>
      </c>
      <c r="O31" s="3">
        <v>411250</v>
      </c>
      <c r="P31" s="3">
        <v>74772</v>
      </c>
      <c r="Q31">
        <v>420000</v>
      </c>
      <c r="R31">
        <v>75600</v>
      </c>
      <c r="S31">
        <v>521364</v>
      </c>
      <c r="T31">
        <v>80810</v>
      </c>
      <c r="AB31" s="2" t="s">
        <v>2</v>
      </c>
      <c r="AC31" s="4">
        <v>25000</v>
      </c>
      <c r="AD31">
        <v>7000</v>
      </c>
      <c r="AE31">
        <v>50000</v>
      </c>
      <c r="AF31">
        <v>8000</v>
      </c>
      <c r="AG31" t="s">
        <v>2</v>
      </c>
      <c r="AZ31" t="s">
        <v>2</v>
      </c>
    </row>
    <row r="32" spans="1:62" x14ac:dyDescent="0.3">
      <c r="A32" s="40" t="s">
        <v>148</v>
      </c>
      <c r="B32" s="40" t="s">
        <v>129</v>
      </c>
      <c r="C32" s="4"/>
      <c r="D32" s="4"/>
      <c r="E32" s="4"/>
      <c r="F32" s="4"/>
      <c r="G32" s="4"/>
      <c r="H32" s="4"/>
      <c r="I32" s="4"/>
      <c r="J32" s="4"/>
      <c r="K32" s="4"/>
      <c r="L32" s="4"/>
      <c r="V32">
        <v>5000</v>
      </c>
      <c r="W32">
        <v>3200</v>
      </c>
      <c r="X32">
        <v>10000</v>
      </c>
      <c r="Y32">
        <v>6000</v>
      </c>
      <c r="Z32">
        <v>5000</v>
      </c>
      <c r="AA32">
        <v>3200</v>
      </c>
      <c r="AC32">
        <v>5000</v>
      </c>
      <c r="AD32">
        <v>2600</v>
      </c>
      <c r="AE32">
        <v>5000</v>
      </c>
      <c r="AF32">
        <v>2800</v>
      </c>
      <c r="AG32" s="4" t="s">
        <v>2</v>
      </c>
      <c r="AZ32" s="4" t="s">
        <v>2</v>
      </c>
    </row>
    <row r="33" spans="1:62" x14ac:dyDescent="0.3">
      <c r="A33" s="40" t="s">
        <v>149</v>
      </c>
      <c r="B33" s="40" t="s">
        <v>129</v>
      </c>
      <c r="C33" s="4"/>
      <c r="D33" s="4"/>
      <c r="E33" s="4"/>
      <c r="F33" s="4"/>
      <c r="G33" s="4"/>
      <c r="H33" s="4"/>
      <c r="I33" s="4"/>
      <c r="J33" s="4"/>
      <c r="K33" s="4"/>
      <c r="L33" s="4"/>
      <c r="V33">
        <v>10000</v>
      </c>
      <c r="W33">
        <v>6000</v>
      </c>
      <c r="X33">
        <v>10000</v>
      </c>
      <c r="Y33">
        <v>6000</v>
      </c>
      <c r="Z33">
        <v>12500</v>
      </c>
      <c r="AA33">
        <v>8000</v>
      </c>
      <c r="AC33">
        <v>12500</v>
      </c>
      <c r="AD33">
        <v>8500</v>
      </c>
      <c r="AE33">
        <v>20000</v>
      </c>
      <c r="AF33">
        <v>10000</v>
      </c>
      <c r="AG33" s="4" t="s">
        <v>2</v>
      </c>
      <c r="AZ33" s="4" t="s">
        <v>2</v>
      </c>
    </row>
    <row r="34" spans="1:62" x14ac:dyDescent="0.3">
      <c r="A34" s="40" t="s">
        <v>150</v>
      </c>
      <c r="B34" s="40" t="s">
        <v>119</v>
      </c>
      <c r="C34" s="4"/>
      <c r="D34" s="4"/>
      <c r="E34" s="4">
        <v>190000</v>
      </c>
      <c r="F34" s="4">
        <f>227000/110</f>
        <v>2063.6363636363635</v>
      </c>
      <c r="G34" s="4"/>
      <c r="H34" s="4"/>
      <c r="I34" s="4"/>
      <c r="J34" s="4"/>
      <c r="K34" s="4"/>
      <c r="L34" s="4"/>
      <c r="U34" s="2" t="s">
        <v>9</v>
      </c>
      <c r="X34">
        <v>100</v>
      </c>
      <c r="Y34">
        <v>850</v>
      </c>
      <c r="Z34">
        <v>110</v>
      </c>
      <c r="AA34">
        <v>1040</v>
      </c>
      <c r="AC34">
        <v>170</v>
      </c>
      <c r="AD34">
        <v>2720</v>
      </c>
      <c r="AE34">
        <v>200</v>
      </c>
      <c r="AF34">
        <v>2900</v>
      </c>
      <c r="AG34" s="4" t="s">
        <v>9</v>
      </c>
      <c r="AJ34" s="2" t="s">
        <v>12</v>
      </c>
      <c r="AK34">
        <v>127664</v>
      </c>
      <c r="AL34">
        <v>1014</v>
      </c>
      <c r="AM34">
        <v>169620</v>
      </c>
      <c r="AN34">
        <v>1917</v>
      </c>
      <c r="AP34">
        <v>168827</v>
      </c>
      <c r="AQ34">
        <v>2814</v>
      </c>
      <c r="AX34">
        <v>160000</v>
      </c>
      <c r="AY34">
        <v>3000</v>
      </c>
      <c r="AZ34" s="4" t="s">
        <v>12</v>
      </c>
    </row>
    <row r="35" spans="1:62" x14ac:dyDescent="0.3">
      <c r="A35" s="40" t="s">
        <v>151</v>
      </c>
      <c r="B35" s="40" t="s">
        <v>118</v>
      </c>
      <c r="H35">
        <v>1760</v>
      </c>
      <c r="I35">
        <v>6050</v>
      </c>
      <c r="K35">
        <v>1180</v>
      </c>
      <c r="L35">
        <v>6432</v>
      </c>
      <c r="M35">
        <v>1097</v>
      </c>
      <c r="N35">
        <v>4513</v>
      </c>
      <c r="O35">
        <v>1276</v>
      </c>
      <c r="P35">
        <v>5748</v>
      </c>
      <c r="Q35" s="3">
        <v>750</v>
      </c>
      <c r="R35" s="3">
        <v>4182</v>
      </c>
      <c r="U35" s="2" t="s">
        <v>2</v>
      </c>
      <c r="X35">
        <v>12500</v>
      </c>
      <c r="Y35">
        <v>16000</v>
      </c>
      <c r="Z35">
        <v>11250</v>
      </c>
      <c r="AA35">
        <v>15200</v>
      </c>
      <c r="AC35">
        <v>25000</v>
      </c>
      <c r="AD35">
        <v>32000</v>
      </c>
      <c r="AE35">
        <v>30000</v>
      </c>
      <c r="AF35">
        <v>40000</v>
      </c>
      <c r="AG35" t="s">
        <v>2</v>
      </c>
      <c r="AH35">
        <v>12500</v>
      </c>
      <c r="AI35">
        <v>16000</v>
      </c>
      <c r="AZ35" t="s">
        <v>2</v>
      </c>
    </row>
    <row r="36" spans="1:62" x14ac:dyDescent="0.3">
      <c r="A36" s="40" t="s">
        <v>152</v>
      </c>
      <c r="B36" s="40" t="s">
        <v>130</v>
      </c>
      <c r="E36">
        <v>365</v>
      </c>
      <c r="F36">
        <f>438000/110</f>
        <v>3981.818181818182</v>
      </c>
      <c r="Q36" s="4"/>
      <c r="R36" s="4"/>
      <c r="S36" s="4"/>
      <c r="T36" s="4"/>
      <c r="U36" s="4"/>
      <c r="AG36" s="2" t="s">
        <v>2</v>
      </c>
      <c r="AK36">
        <v>14350</v>
      </c>
      <c r="AL36">
        <v>20000</v>
      </c>
      <c r="AZ36" t="s">
        <v>2</v>
      </c>
    </row>
    <row r="37" spans="1:62" x14ac:dyDescent="0.3">
      <c r="A37" s="40" t="s">
        <v>153</v>
      </c>
      <c r="B37" s="40" t="s">
        <v>131</v>
      </c>
      <c r="Q37" s="4"/>
      <c r="R37" s="4"/>
      <c r="S37" s="4"/>
      <c r="T37" s="4"/>
      <c r="U37" s="4"/>
      <c r="AG37" t="s">
        <v>5</v>
      </c>
      <c r="AM37">
        <v>1000</v>
      </c>
      <c r="AN37">
        <v>30000</v>
      </c>
      <c r="AP37">
        <v>1200</v>
      </c>
      <c r="AQ37">
        <v>36000</v>
      </c>
      <c r="AR37" s="2" t="s">
        <v>2</v>
      </c>
      <c r="AS37">
        <v>14000</v>
      </c>
      <c r="AT37">
        <v>24000</v>
      </c>
      <c r="AU37" s="2" t="s">
        <v>5</v>
      </c>
      <c r="AV37">
        <v>1200</v>
      </c>
      <c r="AW37">
        <v>32000</v>
      </c>
      <c r="AZ37" t="s">
        <v>5</v>
      </c>
    </row>
    <row r="38" spans="1:62" x14ac:dyDescent="0.3">
      <c r="A38" s="40" t="s">
        <v>154</v>
      </c>
      <c r="B38" s="40" t="s">
        <v>126</v>
      </c>
      <c r="H38">
        <v>1646</v>
      </c>
      <c r="I38">
        <v>22240</v>
      </c>
      <c r="K38">
        <v>1107</v>
      </c>
      <c r="L38">
        <v>4528</v>
      </c>
      <c r="M38" s="3">
        <v>1214</v>
      </c>
      <c r="N38" s="3">
        <v>3191</v>
      </c>
      <c r="AG38" t="s">
        <v>9</v>
      </c>
      <c r="AZ38" t="s">
        <v>9</v>
      </c>
    </row>
    <row r="39" spans="1:62" x14ac:dyDescent="0.3">
      <c r="A39" s="40" t="s">
        <v>192</v>
      </c>
      <c r="B39" s="40" t="s">
        <v>162</v>
      </c>
      <c r="H39">
        <v>400000</v>
      </c>
      <c r="I39">
        <v>81810</v>
      </c>
      <c r="AG39" s="2" t="s">
        <v>8</v>
      </c>
      <c r="AM39">
        <v>17500</v>
      </c>
      <c r="AN39">
        <v>2613</v>
      </c>
      <c r="AP39">
        <v>80000</v>
      </c>
      <c r="AQ39">
        <v>12000</v>
      </c>
      <c r="AS39">
        <v>150000</v>
      </c>
      <c r="AT39">
        <v>24375</v>
      </c>
      <c r="AV39">
        <v>120000</v>
      </c>
      <c r="AW39">
        <v>22000</v>
      </c>
      <c r="AX39">
        <v>150000</v>
      </c>
      <c r="AY39">
        <v>26000</v>
      </c>
      <c r="AZ39" s="4" t="s">
        <v>8</v>
      </c>
      <c r="BC39">
        <v>300000</v>
      </c>
      <c r="BD39">
        <v>80000</v>
      </c>
      <c r="BE39">
        <v>1000000</v>
      </c>
      <c r="BF39">
        <v>300000</v>
      </c>
      <c r="BG39">
        <v>900000</v>
      </c>
      <c r="BH39">
        <v>302000</v>
      </c>
      <c r="BI39">
        <v>800000</v>
      </c>
      <c r="BJ39">
        <v>260000</v>
      </c>
    </row>
    <row r="40" spans="1:62" x14ac:dyDescent="0.3">
      <c r="A40" s="40" t="s">
        <v>155</v>
      </c>
      <c r="B40" s="40" t="s">
        <v>161</v>
      </c>
      <c r="AG40" t="s">
        <v>8</v>
      </c>
      <c r="AM40">
        <v>12833</v>
      </c>
      <c r="AN40">
        <v>2069</v>
      </c>
      <c r="AP40">
        <v>70000</v>
      </c>
      <c r="AQ40">
        <v>10500</v>
      </c>
      <c r="AS40">
        <v>10000</v>
      </c>
      <c r="AT40">
        <v>2000</v>
      </c>
      <c r="AV40">
        <v>8000</v>
      </c>
      <c r="AW40">
        <v>1800</v>
      </c>
      <c r="AX40">
        <v>105000</v>
      </c>
      <c r="AY40">
        <v>26250</v>
      </c>
      <c r="AZ40" t="s">
        <v>8</v>
      </c>
      <c r="BC40">
        <v>160000</v>
      </c>
      <c r="BD40">
        <v>40000</v>
      </c>
      <c r="BE40">
        <v>130000</v>
      </c>
      <c r="BF40">
        <v>42750</v>
      </c>
    </row>
    <row r="41" spans="1:62" x14ac:dyDescent="0.3">
      <c r="A41" s="40" t="s">
        <v>193</v>
      </c>
      <c r="B41" s="40" t="s">
        <v>129</v>
      </c>
      <c r="AG41" t="s">
        <v>2</v>
      </c>
      <c r="AM41">
        <v>1000</v>
      </c>
      <c r="AN41">
        <v>4000</v>
      </c>
      <c r="AO41" s="2" t="s">
        <v>5</v>
      </c>
      <c r="AP41">
        <v>78</v>
      </c>
      <c r="AQ41">
        <v>3200</v>
      </c>
      <c r="AZ41" t="s">
        <v>5</v>
      </c>
    </row>
    <row r="42" spans="1:62" x14ac:dyDescent="0.3">
      <c r="A42" s="40" t="s">
        <v>70</v>
      </c>
      <c r="B42" s="40" t="s">
        <v>129</v>
      </c>
      <c r="AG42" t="s">
        <v>2</v>
      </c>
      <c r="AO42" s="4"/>
      <c r="AS42">
        <v>1350</v>
      </c>
      <c r="AT42">
        <v>5500</v>
      </c>
      <c r="AZ42" s="2" t="s">
        <v>5</v>
      </c>
      <c r="BC42">
        <v>70</v>
      </c>
      <c r="BD42">
        <v>6000</v>
      </c>
      <c r="BE42">
        <v>80</v>
      </c>
      <c r="BF42">
        <v>6500</v>
      </c>
      <c r="BG42">
        <v>80</v>
      </c>
      <c r="BH42">
        <v>6500</v>
      </c>
      <c r="BI42">
        <v>40</v>
      </c>
      <c r="BJ42">
        <v>6000</v>
      </c>
    </row>
    <row r="43" spans="1:62" x14ac:dyDescent="0.3">
      <c r="A43" s="40" t="s">
        <v>156</v>
      </c>
      <c r="B43" s="40" t="s">
        <v>129</v>
      </c>
      <c r="AG43" t="s">
        <v>2</v>
      </c>
      <c r="AM43">
        <v>560</v>
      </c>
      <c r="AN43">
        <v>2000</v>
      </c>
      <c r="AP43">
        <v>500</v>
      </c>
      <c r="AQ43">
        <v>1800</v>
      </c>
      <c r="AZ43" t="s">
        <v>2</v>
      </c>
    </row>
    <row r="44" spans="1:62" x14ac:dyDescent="0.3">
      <c r="A44" s="40" t="s">
        <v>157</v>
      </c>
      <c r="B44" s="40" t="s">
        <v>131</v>
      </c>
      <c r="AG44" t="s">
        <v>5</v>
      </c>
      <c r="AV44">
        <v>36</v>
      </c>
      <c r="AW44">
        <v>2200</v>
      </c>
      <c r="AZ44" t="s">
        <v>5</v>
      </c>
    </row>
    <row r="45" spans="1:62" x14ac:dyDescent="0.3">
      <c r="A45" s="40" t="s">
        <v>158</v>
      </c>
      <c r="B45" s="40" t="s">
        <v>162</v>
      </c>
      <c r="E45">
        <v>500000</v>
      </c>
      <c r="F45">
        <f>29400000/110</f>
        <v>267272.72727272729</v>
      </c>
      <c r="AG45" t="s">
        <v>13</v>
      </c>
      <c r="AZ45" t="s">
        <v>13</v>
      </c>
    </row>
    <row r="46" spans="1:62" x14ac:dyDescent="0.3">
      <c r="A46" s="40" t="s">
        <v>159</v>
      </c>
      <c r="B46" s="40" t="s">
        <v>130</v>
      </c>
      <c r="E46">
        <v>20</v>
      </c>
      <c r="F46">
        <f>28000/110</f>
        <v>254.54545454545453</v>
      </c>
      <c r="AG46" t="s">
        <v>4</v>
      </c>
      <c r="AZ46" t="s">
        <v>4</v>
      </c>
    </row>
    <row r="47" spans="1:62" x14ac:dyDescent="0.3">
      <c r="A47" s="40" t="s">
        <v>116</v>
      </c>
      <c r="B47" s="40" t="s">
        <v>116</v>
      </c>
    </row>
    <row r="48" spans="1:62" x14ac:dyDescent="0.3">
      <c r="A48" s="42" t="s">
        <v>178</v>
      </c>
      <c r="B48" s="40" t="s">
        <v>116</v>
      </c>
      <c r="F48">
        <v>442945</v>
      </c>
      <c r="I48">
        <v>307400</v>
      </c>
      <c r="L48">
        <v>356227</v>
      </c>
      <c r="N48">
        <v>288999</v>
      </c>
      <c r="P48">
        <v>341294</v>
      </c>
      <c r="R48">
        <v>338031</v>
      </c>
      <c r="T48">
        <v>452703</v>
      </c>
      <c r="W48">
        <v>215666</v>
      </c>
      <c r="Y48">
        <v>358100</v>
      </c>
      <c r="AA48">
        <v>425380</v>
      </c>
      <c r="AD48">
        <v>456780</v>
      </c>
      <c r="AF48">
        <v>400830</v>
      </c>
      <c r="AI48">
        <v>302047</v>
      </c>
      <c r="AL48">
        <v>307170</v>
      </c>
      <c r="AN48">
        <v>355612</v>
      </c>
      <c r="AQ48">
        <v>386697</v>
      </c>
      <c r="AT48">
        <v>405108</v>
      </c>
      <c r="AW48">
        <v>386000</v>
      </c>
      <c r="AY48">
        <v>643400</v>
      </c>
      <c r="BB48">
        <v>639000</v>
      </c>
      <c r="BD48">
        <v>657000</v>
      </c>
      <c r="BF48">
        <v>1004700</v>
      </c>
      <c r="BH48">
        <v>979570</v>
      </c>
      <c r="BJ48">
        <v>995500</v>
      </c>
    </row>
  </sheetData>
  <mergeCells count="25">
    <mergeCell ref="BI1:BJ1"/>
    <mergeCell ref="AV1:AW1"/>
    <mergeCell ref="AX1:AY1"/>
    <mergeCell ref="BA1:BB1"/>
    <mergeCell ref="BC1:BD1"/>
    <mergeCell ref="BE1:BF1"/>
    <mergeCell ref="BG1:BH1"/>
    <mergeCell ref="AS1:AT1"/>
    <mergeCell ref="Q1:R1"/>
    <mergeCell ref="S1:T1"/>
    <mergeCell ref="V1:W1"/>
    <mergeCell ref="X1:Y1"/>
    <mergeCell ref="Z1:AA1"/>
    <mergeCell ref="AC1:AD1"/>
    <mergeCell ref="AE1:AF1"/>
    <mergeCell ref="AH1:AI1"/>
    <mergeCell ref="AK1:AL1"/>
    <mergeCell ref="AM1:AN1"/>
    <mergeCell ref="AP1:AQ1"/>
    <mergeCell ref="O1:P1"/>
    <mergeCell ref="C1:D1"/>
    <mergeCell ref="E1:F1"/>
    <mergeCell ref="H1:I1"/>
    <mergeCell ref="K1:L1"/>
    <mergeCell ref="M1:N1"/>
  </mergeCells>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8"/>
  <sheetViews>
    <sheetView zoomScale="70" zoomScaleNormal="70" workbookViewId="0">
      <pane xSplit="1" ySplit="2" topLeftCell="B3" activePane="bottomRight" state="frozen"/>
      <selection activeCell="B45" sqref="B45"/>
      <selection pane="topRight" activeCell="B45" sqref="B45"/>
      <selection pane="bottomLeft" activeCell="B45" sqref="B45"/>
      <selection pane="bottomRight" activeCell="B45" sqref="B45"/>
    </sheetView>
  </sheetViews>
  <sheetFormatPr defaultRowHeight="14.4" x14ac:dyDescent="0.3"/>
  <cols>
    <col min="1" max="1" width="28" style="39" customWidth="1"/>
    <col min="2" max="2" width="8.21875" style="39" bestFit="1" customWidth="1"/>
    <col min="3" max="4" width="14.44140625" bestFit="1" customWidth="1"/>
    <col min="5" max="5" width="7.88671875" bestFit="1" customWidth="1"/>
    <col min="6" max="6" width="14.44140625" bestFit="1" customWidth="1"/>
    <col min="7" max="7" width="7.88671875" bestFit="1" customWidth="1"/>
    <col min="8" max="12" width="14.44140625" bestFit="1" customWidth="1"/>
    <col min="13" max="13" width="7.88671875" bestFit="1" customWidth="1"/>
    <col min="14" max="14" width="14.44140625" bestFit="1" customWidth="1"/>
    <col min="15" max="15" width="14.21875" bestFit="1" customWidth="1"/>
    <col min="16" max="21" width="14.44140625" bestFit="1" customWidth="1"/>
    <col min="22" max="23" width="14.21875" bestFit="1" customWidth="1"/>
    <col min="24" max="24" width="14.44140625" bestFit="1" customWidth="1"/>
    <col min="25" max="25" width="7.77734375" bestFit="1" customWidth="1"/>
    <col min="26" max="26" width="14.44140625" bestFit="1" customWidth="1"/>
    <col min="27" max="27" width="7.77734375" bestFit="1" customWidth="1"/>
    <col min="28" max="28" width="14.44140625" bestFit="1" customWidth="1"/>
    <col min="29" max="29" width="7.77734375" bestFit="1" customWidth="1"/>
    <col min="30" max="31" width="14.44140625" bestFit="1" customWidth="1"/>
    <col min="32" max="32" width="7.77734375" bestFit="1" customWidth="1"/>
    <col min="33" max="35" width="14.44140625" bestFit="1" customWidth="1"/>
    <col min="36" max="36" width="14.21875" bestFit="1" customWidth="1"/>
    <col min="37" max="37" width="14.21875" customWidth="1"/>
    <col min="38" max="38" width="14.21875" bestFit="1" customWidth="1"/>
  </cols>
  <sheetData>
    <row r="1" spans="1:37" s="43" customFormat="1" x14ac:dyDescent="0.3">
      <c r="C1" s="43" t="s">
        <v>195</v>
      </c>
      <c r="D1" s="43" t="s">
        <v>196</v>
      </c>
      <c r="F1" s="43" t="s">
        <v>197</v>
      </c>
      <c r="H1" s="43" t="s">
        <v>198</v>
      </c>
      <c r="I1" s="43" t="s">
        <v>199</v>
      </c>
      <c r="J1" s="43" t="s">
        <v>200</v>
      </c>
      <c r="K1" s="43" t="s">
        <v>201</v>
      </c>
      <c r="L1" s="43" t="s">
        <v>202</v>
      </c>
      <c r="N1" s="43" t="s">
        <v>203</v>
      </c>
      <c r="O1" s="43" t="s">
        <v>204</v>
      </c>
      <c r="P1" s="43" t="s">
        <v>205</v>
      </c>
      <c r="R1" s="43" t="s">
        <v>206</v>
      </c>
      <c r="S1" s="43" t="s">
        <v>207</v>
      </c>
      <c r="U1" s="43" t="s">
        <v>208</v>
      </c>
      <c r="W1" s="43" t="s">
        <v>209</v>
      </c>
      <c r="X1" s="43" t="s">
        <v>210</v>
      </c>
      <c r="Z1" s="43" t="s">
        <v>211</v>
      </c>
      <c r="AB1" s="43" t="s">
        <v>212</v>
      </c>
      <c r="AD1" s="43" t="s">
        <v>213</v>
      </c>
      <c r="AE1" s="43" t="s">
        <v>214</v>
      </c>
      <c r="AG1" s="43" t="s">
        <v>215</v>
      </c>
      <c r="AH1" s="43" t="s">
        <v>216</v>
      </c>
      <c r="AI1" s="43" t="s">
        <v>217</v>
      </c>
      <c r="AJ1" s="43" t="s">
        <v>218</v>
      </c>
      <c r="AK1" s="43" t="s">
        <v>219</v>
      </c>
    </row>
    <row r="2" spans="1:37" s="43" customFormat="1" x14ac:dyDescent="0.3">
      <c r="A2" s="43" t="s">
        <v>194</v>
      </c>
      <c r="B2" s="43" t="s">
        <v>0</v>
      </c>
      <c r="C2" s="43" t="s">
        <v>222</v>
      </c>
      <c r="D2" s="43" t="s">
        <v>222</v>
      </c>
      <c r="E2" s="43" t="s">
        <v>0</v>
      </c>
      <c r="F2" s="43" t="s">
        <v>222</v>
      </c>
      <c r="G2" s="43" t="s">
        <v>0</v>
      </c>
      <c r="H2" s="43" t="s">
        <v>222</v>
      </c>
      <c r="I2" s="43" t="s">
        <v>222</v>
      </c>
      <c r="J2" s="43" t="s">
        <v>222</v>
      </c>
      <c r="K2" s="43" t="s">
        <v>222</v>
      </c>
      <c r="L2" s="43" t="s">
        <v>222</v>
      </c>
      <c r="M2" s="43" t="s">
        <v>0</v>
      </c>
      <c r="N2" s="43" t="s">
        <v>222</v>
      </c>
      <c r="O2" s="43" t="s">
        <v>222</v>
      </c>
      <c r="P2" s="43" t="s">
        <v>222</v>
      </c>
      <c r="Q2" s="43" t="s">
        <v>0</v>
      </c>
      <c r="R2" s="43" t="s">
        <v>222</v>
      </c>
      <c r="S2" s="43" t="s">
        <v>222</v>
      </c>
      <c r="T2" s="43" t="s">
        <v>0</v>
      </c>
      <c r="U2" s="43" t="s">
        <v>222</v>
      </c>
      <c r="V2" s="43" t="s">
        <v>0</v>
      </c>
      <c r="W2" s="43" t="s">
        <v>222</v>
      </c>
      <c r="X2" s="43" t="s">
        <v>222</v>
      </c>
      <c r="Y2" s="43" t="s">
        <v>0</v>
      </c>
      <c r="Z2" s="43" t="s">
        <v>222</v>
      </c>
      <c r="AA2" s="43" t="s">
        <v>0</v>
      </c>
      <c r="AB2" s="43" t="s">
        <v>222</v>
      </c>
      <c r="AC2" s="43" t="s">
        <v>0</v>
      </c>
      <c r="AD2" s="43" t="s">
        <v>222</v>
      </c>
      <c r="AE2" s="43" t="s">
        <v>222</v>
      </c>
      <c r="AF2" s="43" t="s">
        <v>0</v>
      </c>
      <c r="AG2" s="43" t="s">
        <v>222</v>
      </c>
      <c r="AH2" s="43" t="s">
        <v>222</v>
      </c>
      <c r="AI2" s="43" t="s">
        <v>222</v>
      </c>
      <c r="AJ2" s="43" t="s">
        <v>222</v>
      </c>
      <c r="AK2" s="43" t="s">
        <v>222</v>
      </c>
    </row>
    <row r="3" spans="1:37" x14ac:dyDescent="0.3">
      <c r="A3" s="40" t="s">
        <v>69</v>
      </c>
      <c r="B3" s="40" t="s">
        <v>108</v>
      </c>
      <c r="E3" t="s">
        <v>1</v>
      </c>
      <c r="F3">
        <f>'Exports - Data (Raw)'!I3/'Exports - Data (Raw)'!H3</f>
        <v>0.94650084017702885</v>
      </c>
      <c r="G3" s="4" t="s">
        <v>1</v>
      </c>
      <c r="H3">
        <f>'Exports - Data (Raw)'!L3/'Exports - Data (Raw)'!K3</f>
        <v>1.3642582235853027</v>
      </c>
      <c r="I3">
        <f>'Exports - Data (Raw)'!N3/'Exports - Data (Raw)'!M3</f>
        <v>1.099488609948861</v>
      </c>
      <c r="J3">
        <f>'Exports - Data (Raw)'!P3/'Exports - Data (Raw)'!O3</f>
        <v>1.0999876623719971</v>
      </c>
      <c r="K3">
        <f>'Exports - Data (Raw)'!R3/'Exports - Data (Raw)'!Q3</f>
        <v>1.0228556339577801</v>
      </c>
      <c r="L3">
        <f>'Exports - Data (Raw)'!T3/'Exports - Data (Raw)'!S3</f>
        <v>0.80936270232732066</v>
      </c>
      <c r="M3" s="2" t="s">
        <v>2</v>
      </c>
      <c r="N3">
        <f>'Exports - Data (Raw)'!W3/'Exports - Data (Raw)'!V3</f>
        <v>0.37979388410204429</v>
      </c>
      <c r="O3">
        <f>'Exports - Data (Raw)'!Y3/'Exports - Data (Raw)'!X3</f>
        <v>0.43168000000000001</v>
      </c>
      <c r="P3">
        <f>'Exports - Data (Raw)'!AA3/'Exports - Data (Raw)'!Z3</f>
        <v>0.37333333333333335</v>
      </c>
      <c r="Q3" s="4" t="s">
        <v>2</v>
      </c>
      <c r="R3">
        <f>'Exports - Data (Raw)'!AD3/'Exports - Data (Raw)'!AC3</f>
        <v>0.28799999999999998</v>
      </c>
      <c r="S3">
        <f>'Exports - Data (Raw)'!AF3/'Exports - Data (Raw)'!AE3</f>
        <v>0.24</v>
      </c>
      <c r="T3" t="s">
        <v>2</v>
      </c>
      <c r="V3" s="4" t="s">
        <v>2</v>
      </c>
      <c r="Y3" s="4" t="s">
        <v>2</v>
      </c>
      <c r="AA3" s="4" t="s">
        <v>2</v>
      </c>
      <c r="AC3" s="4" t="s">
        <v>2</v>
      </c>
      <c r="AF3" t="s">
        <v>2</v>
      </c>
    </row>
    <row r="4" spans="1:37" x14ac:dyDescent="0.3">
      <c r="A4" s="40" t="s">
        <v>179</v>
      </c>
      <c r="B4" s="40" t="s">
        <v>118</v>
      </c>
      <c r="E4" t="s">
        <v>3</v>
      </c>
      <c r="F4">
        <f>'Exports - Data (Raw)'!I4/'Exports - Data (Raw)'!H4</f>
        <v>24.644549763033176</v>
      </c>
      <c r="G4" s="4" t="s">
        <v>3</v>
      </c>
      <c r="H4">
        <f>'Exports - Data (Raw)'!L4/'Exports - Data (Raw)'!K4</f>
        <v>36.411678115799802</v>
      </c>
      <c r="I4">
        <f>'Exports - Data (Raw)'!N4/'Exports - Data (Raw)'!M4</f>
        <v>25.105945462673223</v>
      </c>
      <c r="J4">
        <f>'Exports - Data (Raw)'!P4/'Exports - Data (Raw)'!O4</f>
        <v>50</v>
      </c>
      <c r="K4">
        <f>'Exports - Data (Raw)'!R4/'Exports - Data (Raw)'!Q4</f>
        <v>50.018644067796608</v>
      </c>
      <c r="L4">
        <f>'Exports - Data (Raw)'!T4/'Exports - Data (Raw)'!S4</f>
        <v>47.142857142857146</v>
      </c>
      <c r="M4" s="4" t="s">
        <v>3</v>
      </c>
      <c r="Q4" s="4" t="s">
        <v>3</v>
      </c>
      <c r="T4" t="s">
        <v>3</v>
      </c>
      <c r="V4" s="4" t="s">
        <v>3</v>
      </c>
      <c r="Y4" s="4" t="s">
        <v>3</v>
      </c>
      <c r="AA4" s="4" t="s">
        <v>3</v>
      </c>
      <c r="AC4" s="4" t="s">
        <v>3</v>
      </c>
      <c r="AF4" t="s">
        <v>3</v>
      </c>
    </row>
    <row r="5" spans="1:37" x14ac:dyDescent="0.3">
      <c r="A5" s="40" t="s">
        <v>180</v>
      </c>
      <c r="B5" s="40" t="s">
        <v>118</v>
      </c>
      <c r="E5" t="s">
        <v>3</v>
      </c>
      <c r="F5">
        <f>'Exports - Data (Raw)'!I5/'Exports - Data (Raw)'!H5</f>
        <v>8.4531410916580842</v>
      </c>
      <c r="G5" s="4" t="s">
        <v>3</v>
      </c>
      <c r="H5">
        <f>'Exports - Data (Raw)'!L5/'Exports - Data (Raw)'!K5</f>
        <v>6.9976190476190476</v>
      </c>
      <c r="I5">
        <f>'Exports - Data (Raw)'!N5/'Exports - Data (Raw)'!M5</f>
        <v>5.1715481171548117</v>
      </c>
      <c r="J5">
        <f>'Exports - Data (Raw)'!P5/'Exports - Data (Raw)'!O5</f>
        <v>6.0878378378378377</v>
      </c>
      <c r="K5">
        <f>'Exports - Data (Raw)'!R5/'Exports - Data (Raw)'!Q5</f>
        <v>5.2146226415094343</v>
      </c>
      <c r="L5">
        <f>'Exports - Data (Raw)'!T5/'Exports - Data (Raw)'!S5</f>
        <v>5.3947368421052628</v>
      </c>
      <c r="M5" s="4" t="s">
        <v>3</v>
      </c>
      <c r="Q5" s="4" t="s">
        <v>3</v>
      </c>
      <c r="T5" t="s">
        <v>3</v>
      </c>
      <c r="V5" s="4" t="s">
        <v>3</v>
      </c>
      <c r="Y5" s="4" t="s">
        <v>3</v>
      </c>
      <c r="AA5" s="4" t="s">
        <v>3</v>
      </c>
      <c r="AC5" s="4" t="s">
        <v>3</v>
      </c>
      <c r="AF5" t="s">
        <v>3</v>
      </c>
    </row>
    <row r="6" spans="1:37" x14ac:dyDescent="0.3">
      <c r="A6" s="40" t="s">
        <v>181</v>
      </c>
      <c r="B6" s="40" t="s">
        <v>118</v>
      </c>
      <c r="E6" t="s">
        <v>3</v>
      </c>
      <c r="F6">
        <f>'Exports - Data (Raw)'!I6/'Exports - Data (Raw)'!H6</f>
        <v>6.0373692077727954</v>
      </c>
      <c r="G6" s="4" t="s">
        <v>3</v>
      </c>
      <c r="H6">
        <f>'Exports - Data (Raw)'!L6/'Exports - Data (Raw)'!K6</f>
        <v>6.5450049455984178</v>
      </c>
      <c r="I6">
        <f>'Exports - Data (Raw)'!N6/'Exports - Data (Raw)'!M6</f>
        <v>8.8582138200782268</v>
      </c>
      <c r="J6">
        <f>'Exports - Data (Raw)'!P6/'Exports - Data (Raw)'!O6</f>
        <v>4.5613450973863827</v>
      </c>
      <c r="K6">
        <f>'Exports - Data (Raw)'!R6/'Exports - Data (Raw)'!Q6</f>
        <v>5.0217554388597145</v>
      </c>
      <c r="L6">
        <f>'Exports - Data (Raw)'!T6/'Exports - Data (Raw)'!S6</f>
        <v>3.5379310344827588</v>
      </c>
      <c r="M6" s="4" t="s">
        <v>3</v>
      </c>
      <c r="Q6" s="4" t="s">
        <v>3</v>
      </c>
      <c r="T6" t="s">
        <v>3</v>
      </c>
      <c r="V6" s="4" t="s">
        <v>3</v>
      </c>
      <c r="Y6" s="4" t="s">
        <v>3</v>
      </c>
      <c r="AA6" s="4" t="s">
        <v>3</v>
      </c>
      <c r="AC6" s="4" t="s">
        <v>3</v>
      </c>
      <c r="AF6" t="s">
        <v>3</v>
      </c>
    </row>
    <row r="7" spans="1:37" x14ac:dyDescent="0.3">
      <c r="A7" s="40" t="s">
        <v>182</v>
      </c>
      <c r="B7" s="40" t="s">
        <v>130</v>
      </c>
      <c r="C7" s="4"/>
      <c r="D7">
        <f>'Exports - Data (Raw)'!F7/'Exports - Data (Raw)'!E7</f>
        <v>14.545454545454545</v>
      </c>
      <c r="E7" s="4" t="s">
        <v>4</v>
      </c>
      <c r="G7" s="4" t="s">
        <v>4</v>
      </c>
      <c r="M7" s="2" t="s">
        <v>3</v>
      </c>
      <c r="N7">
        <f>'Exports - Data (Raw)'!W7/'Exports - Data (Raw)'!V7</f>
        <v>7.7793103448275858</v>
      </c>
      <c r="O7">
        <f>'Exports - Data (Raw)'!Y7/'Exports - Data (Raw)'!X7</f>
        <v>6.193548387096774</v>
      </c>
      <c r="P7">
        <f>'Exports - Data (Raw)'!AA7/'Exports - Data (Raw)'!Z7</f>
        <v>6.3314285714285718</v>
      </c>
      <c r="Q7" s="2" t="s">
        <v>5</v>
      </c>
      <c r="R7">
        <f>'Exports - Data (Raw)'!AD7/'Exports - Data (Raw)'!AC7</f>
        <v>30.715151515151515</v>
      </c>
      <c r="S7">
        <f>'Exports - Data (Raw)'!AF7/'Exports - Data (Raw)'!AE7</f>
        <v>25.716049382716051</v>
      </c>
      <c r="T7" s="4" t="s">
        <v>5</v>
      </c>
      <c r="U7">
        <f>'Exports - Data (Raw)'!AI7/'Exports - Data (Raw)'!AH7</f>
        <v>50</v>
      </c>
      <c r="V7" s="4" t="s">
        <v>5</v>
      </c>
      <c r="W7">
        <f>'Exports - Data (Raw)'!AL7/'Exports - Data (Raw)'!AK7</f>
        <v>26.666666666666668</v>
      </c>
      <c r="X7">
        <f>'Exports - Data (Raw)'!AN7/'Exports - Data (Raw)'!AM7</f>
        <v>23.469387755102041</v>
      </c>
      <c r="Y7" s="4" t="s">
        <v>5</v>
      </c>
      <c r="AA7" s="4" t="s">
        <v>5</v>
      </c>
      <c r="AC7" s="4" t="s">
        <v>5</v>
      </c>
      <c r="AF7" s="4" t="s">
        <v>5</v>
      </c>
    </row>
    <row r="8" spans="1:37" x14ac:dyDescent="0.3">
      <c r="A8" s="40" t="s">
        <v>182</v>
      </c>
      <c r="B8" s="40" t="s">
        <v>131</v>
      </c>
      <c r="C8" s="4"/>
      <c r="E8" s="4" t="s">
        <v>5</v>
      </c>
      <c r="G8" s="4" t="s">
        <v>5</v>
      </c>
      <c r="M8" s="4" t="s">
        <v>5</v>
      </c>
      <c r="Q8" s="4" t="s">
        <v>5</v>
      </c>
      <c r="T8" s="4" t="s">
        <v>5</v>
      </c>
      <c r="V8" s="4" t="s">
        <v>5</v>
      </c>
      <c r="Y8" s="4" t="s">
        <v>5</v>
      </c>
      <c r="Z8">
        <f>'Exports - Data (Raw)'!AQ8/'Exports - Data (Raw)'!AP8</f>
        <v>34.307692307692307</v>
      </c>
      <c r="AA8" s="2" t="s">
        <v>2</v>
      </c>
      <c r="AB8">
        <f>'Exports - Data (Raw)'!AT8/'Exports - Data (Raw)'!AS8</f>
        <v>2</v>
      </c>
      <c r="AC8" s="2" t="s">
        <v>5</v>
      </c>
      <c r="AD8">
        <f>'Exports - Data (Raw)'!AW8/'Exports - Data (Raw)'!AV8</f>
        <v>42.2</v>
      </c>
      <c r="AE8">
        <f>'Exports - Data (Raw)'!AY8/'Exports - Data (Raw)'!AX8</f>
        <v>50</v>
      </c>
      <c r="AF8" s="4" t="s">
        <v>5</v>
      </c>
      <c r="AH8">
        <f>'Exports - Data (Raw)'!BD8/'Exports - Data (Raw)'!BC8</f>
        <v>50</v>
      </c>
      <c r="AI8">
        <f>'Exports - Data (Raw)'!BF8/'Exports - Data (Raw)'!BE8</f>
        <v>48</v>
      </c>
      <c r="AJ8">
        <f>'Exports - Data (Raw)'!BH8/'Exports - Data (Raw)'!BG8</f>
        <v>48</v>
      </c>
      <c r="AK8">
        <f>'Exports - Data (Raw)'!BJ8/'Exports - Data (Raw)'!BI8</f>
        <v>60.952380952380949</v>
      </c>
    </row>
    <row r="9" spans="1:37" x14ac:dyDescent="0.3">
      <c r="A9" s="40" t="s">
        <v>183</v>
      </c>
      <c r="B9" s="40" t="s">
        <v>118</v>
      </c>
      <c r="C9" s="4"/>
      <c r="E9" s="4" t="s">
        <v>3</v>
      </c>
      <c r="G9" s="4" t="s">
        <v>3</v>
      </c>
      <c r="M9" s="4" t="s">
        <v>3</v>
      </c>
      <c r="N9">
        <f>'Exports - Data (Raw)'!W9/'Exports - Data (Raw)'!V9</f>
        <v>9.3352941176470594</v>
      </c>
      <c r="O9">
        <f>'Exports - Data (Raw)'!Y9/'Exports - Data (Raw)'!X9</f>
        <v>8.8888888888888893</v>
      </c>
      <c r="Q9" s="4" t="s">
        <v>3</v>
      </c>
      <c r="T9" s="2" t="s">
        <v>2</v>
      </c>
      <c r="V9" s="4" t="s">
        <v>2</v>
      </c>
      <c r="X9">
        <f>'Exports - Data (Raw)'!AN9/'Exports - Data (Raw)'!AM9</f>
        <v>96.871972318339104</v>
      </c>
      <c r="Y9" s="4" t="s">
        <v>2</v>
      </c>
      <c r="AA9" s="4" t="s">
        <v>2</v>
      </c>
      <c r="AC9" s="4" t="s">
        <v>2</v>
      </c>
      <c r="AF9" s="4" t="s">
        <v>2</v>
      </c>
    </row>
    <row r="10" spans="1:37" x14ac:dyDescent="0.3">
      <c r="A10" s="40" t="s">
        <v>184</v>
      </c>
      <c r="B10" s="40" t="s">
        <v>118</v>
      </c>
      <c r="C10" s="4"/>
      <c r="D10">
        <f>'Exports - Data (Raw)'!F10/'Exports - Data (Raw)'!E10</f>
        <v>102.27272727272727</v>
      </c>
      <c r="E10" s="4" t="s">
        <v>3</v>
      </c>
      <c r="G10" s="4" t="s">
        <v>3</v>
      </c>
      <c r="M10" s="4" t="s">
        <v>3</v>
      </c>
      <c r="Q10" s="4" t="s">
        <v>3</v>
      </c>
      <c r="T10" s="4" t="s">
        <v>3</v>
      </c>
      <c r="V10" s="4" t="s">
        <v>3</v>
      </c>
      <c r="Y10" s="4" t="s">
        <v>3</v>
      </c>
      <c r="AA10" s="4" t="s">
        <v>3</v>
      </c>
      <c r="AC10" s="4" t="s">
        <v>3</v>
      </c>
      <c r="AF10" s="4" t="s">
        <v>3</v>
      </c>
    </row>
    <row r="11" spans="1:37" x14ac:dyDescent="0.3">
      <c r="A11" s="40" t="s">
        <v>185</v>
      </c>
      <c r="B11" s="40" t="s">
        <v>122</v>
      </c>
      <c r="C11" s="4"/>
      <c r="D11">
        <f>'Exports - Data (Raw)'!F11/'Exports - Data (Raw)'!E11</f>
        <v>5.4545454545454543E-2</v>
      </c>
      <c r="E11" s="4" t="s">
        <v>6</v>
      </c>
      <c r="G11" s="4" t="s">
        <v>6</v>
      </c>
      <c r="M11" s="4" t="s">
        <v>6</v>
      </c>
      <c r="Q11" s="4" t="s">
        <v>6</v>
      </c>
      <c r="T11" s="4" t="s">
        <v>6</v>
      </c>
      <c r="V11" s="4" t="s">
        <v>6</v>
      </c>
      <c r="Y11" s="4" t="s">
        <v>6</v>
      </c>
      <c r="AA11" s="4" t="s">
        <v>6</v>
      </c>
      <c r="AC11" s="4" t="s">
        <v>6</v>
      </c>
      <c r="AF11" s="4" t="s">
        <v>6</v>
      </c>
    </row>
    <row r="12" spans="1:37" x14ac:dyDescent="0.3">
      <c r="A12" s="40" t="s">
        <v>186</v>
      </c>
      <c r="B12" s="40" t="s">
        <v>122</v>
      </c>
      <c r="C12" s="4"/>
      <c r="D12">
        <f>'Exports - Data (Raw)'!F12/'Exports - Data (Raw)'!E12</f>
        <v>6.3636363636363644E-2</v>
      </c>
      <c r="E12" s="4" t="s">
        <v>6</v>
      </c>
      <c r="G12" s="4" t="s">
        <v>6</v>
      </c>
      <c r="M12" s="4" t="s">
        <v>6</v>
      </c>
      <c r="Q12" s="4" t="s">
        <v>6</v>
      </c>
      <c r="T12" s="4" t="s">
        <v>6</v>
      </c>
      <c r="V12" s="4" t="s">
        <v>6</v>
      </c>
      <c r="Y12" s="4" t="s">
        <v>6</v>
      </c>
      <c r="AA12" s="4" t="s">
        <v>6</v>
      </c>
      <c r="AC12" s="4" t="s">
        <v>6</v>
      </c>
      <c r="AF12" s="4" t="s">
        <v>6</v>
      </c>
    </row>
    <row r="13" spans="1:37" x14ac:dyDescent="0.3">
      <c r="A13" s="40" t="s">
        <v>136</v>
      </c>
      <c r="B13" s="40" t="s">
        <v>122</v>
      </c>
      <c r="C13" s="4"/>
      <c r="D13">
        <f>'Exports - Data (Raw)'!F13/'Exports - Data (Raw)'!E13</f>
        <v>7.2727272727272724E-2</v>
      </c>
      <c r="E13" s="4" t="s">
        <v>6</v>
      </c>
      <c r="G13" s="4" t="s">
        <v>6</v>
      </c>
      <c r="M13" s="4" t="s">
        <v>6</v>
      </c>
      <c r="Q13" s="4" t="s">
        <v>6</v>
      </c>
      <c r="T13" s="4" t="s">
        <v>6</v>
      </c>
      <c r="V13" s="4" t="s">
        <v>6</v>
      </c>
      <c r="Y13" s="4" t="s">
        <v>6</v>
      </c>
      <c r="AA13" s="4" t="s">
        <v>6</v>
      </c>
      <c r="AC13" s="4" t="s">
        <v>6</v>
      </c>
      <c r="AF13" s="4" t="s">
        <v>6</v>
      </c>
    </row>
    <row r="14" spans="1:37" x14ac:dyDescent="0.3">
      <c r="A14" s="40" t="s">
        <v>187</v>
      </c>
      <c r="B14" s="40" t="s">
        <v>122</v>
      </c>
      <c r="C14" s="4"/>
      <c r="E14" s="4" t="s">
        <v>6</v>
      </c>
      <c r="G14" s="4" t="s">
        <v>6</v>
      </c>
      <c r="M14" s="4" t="s">
        <v>6</v>
      </c>
      <c r="Q14" s="4" t="s">
        <v>6</v>
      </c>
      <c r="T14" s="4" t="s">
        <v>6</v>
      </c>
      <c r="V14" s="4" t="s">
        <v>6</v>
      </c>
      <c r="X14">
        <f>'Exports - Data (Raw)'!AN14/'Exports - Data (Raw)'!AM14</f>
        <v>0.1</v>
      </c>
      <c r="Y14" s="4" t="s">
        <v>6</v>
      </c>
      <c r="Z14">
        <f>'Exports - Data (Raw)'!AQ14/'Exports - Data (Raw)'!AP14</f>
        <v>0.10596546310832025</v>
      </c>
      <c r="AA14" s="4" t="s">
        <v>6</v>
      </c>
      <c r="AC14" s="4" t="s">
        <v>6</v>
      </c>
      <c r="AF14" s="4" t="s">
        <v>6</v>
      </c>
    </row>
    <row r="15" spans="1:37" x14ac:dyDescent="0.3">
      <c r="A15" s="40" t="s">
        <v>137</v>
      </c>
      <c r="B15" s="40" t="s">
        <v>131</v>
      </c>
      <c r="C15" s="4"/>
      <c r="E15" s="4" t="s">
        <v>5</v>
      </c>
      <c r="G15" s="4" t="s">
        <v>5</v>
      </c>
      <c r="M15" s="4" t="s">
        <v>5</v>
      </c>
      <c r="Q15" s="4" t="s">
        <v>5</v>
      </c>
      <c r="T15" s="4" t="s">
        <v>5</v>
      </c>
      <c r="V15" s="4" t="s">
        <v>5</v>
      </c>
      <c r="W15">
        <f>'Exports - Data (Raw)'!AL15/'Exports - Data (Raw)'!AK15</f>
        <v>8.3333333333333339</v>
      </c>
      <c r="X15">
        <f>'Exports - Data (Raw)'!AN15/'Exports - Data (Raw)'!AM15</f>
        <v>8.3333333333333339</v>
      </c>
      <c r="Y15" s="4" t="s">
        <v>5</v>
      </c>
      <c r="Z15">
        <f>'Exports - Data (Raw)'!AQ15/'Exports - Data (Raw)'!AP15</f>
        <v>7.7777777777777777</v>
      </c>
      <c r="AA15" s="4" t="s">
        <v>5</v>
      </c>
      <c r="AB15">
        <f>'Exports - Data (Raw)'!AT15/'Exports - Data (Raw)'!AS15</f>
        <v>12.76595744680851</v>
      </c>
      <c r="AC15" s="4" t="s">
        <v>5</v>
      </c>
      <c r="AD15">
        <f>'Exports - Data (Raw)'!AW15/'Exports - Data (Raw)'!AV15</f>
        <v>10</v>
      </c>
      <c r="AE15">
        <f>'Exports - Data (Raw)'!AY15/'Exports - Data (Raw)'!AX15</f>
        <v>15</v>
      </c>
      <c r="AF15" s="4" t="s">
        <v>5</v>
      </c>
      <c r="AJ15">
        <f>'Exports - Data (Raw)'!BH15/'Exports - Data (Raw)'!BG15</f>
        <v>6</v>
      </c>
      <c r="AK15">
        <f>'Exports - Data (Raw)'!BJ15/'Exports - Data (Raw)'!BI15</f>
        <v>5</v>
      </c>
    </row>
    <row r="16" spans="1:37" x14ac:dyDescent="0.3">
      <c r="A16" s="40" t="s">
        <v>61</v>
      </c>
      <c r="B16" s="40" t="s">
        <v>160</v>
      </c>
      <c r="C16" s="4"/>
      <c r="E16" s="4" t="s">
        <v>7</v>
      </c>
      <c r="G16" s="4" t="s">
        <v>7</v>
      </c>
      <c r="M16" s="4" t="s">
        <v>7</v>
      </c>
      <c r="Q16" s="4" t="s">
        <v>7</v>
      </c>
      <c r="T16" s="4" t="s">
        <v>7</v>
      </c>
      <c r="U16">
        <f>'Exports - Data (Raw)'!AI16/'Exports - Data (Raw)'!AH16</f>
        <v>1.1129660545353366</v>
      </c>
      <c r="V16" s="2" t="s">
        <v>8</v>
      </c>
      <c r="W16">
        <f>'Exports - Data (Raw)'!AL16/'Exports - Data (Raw)'!AK16</f>
        <v>5.2115030214717355E-2</v>
      </c>
      <c r="X16">
        <f>'Exports - Data (Raw)'!AN16/'Exports - Data (Raw)'!AM16</f>
        <v>6.5580797256750964E-2</v>
      </c>
      <c r="Y16" s="4" t="s">
        <v>8</v>
      </c>
      <c r="Z16">
        <f>'Exports - Data (Raw)'!AQ16/'Exports - Data (Raw)'!AP16</f>
        <v>0.1</v>
      </c>
      <c r="AA16" s="4" t="s">
        <v>8</v>
      </c>
      <c r="AB16">
        <f>'Exports - Data (Raw)'!AT16/'Exports - Data (Raw)'!AS16</f>
        <v>8.1515151515151513E-2</v>
      </c>
      <c r="AC16" s="4" t="s">
        <v>8</v>
      </c>
      <c r="AD16">
        <f>'Exports - Data (Raw)'!AW16/'Exports - Data (Raw)'!AV16</f>
        <v>9.2307692307692313E-2</v>
      </c>
      <c r="AE16">
        <f>'Exports - Data (Raw)'!AY16/'Exports - Data (Raw)'!AX16</f>
        <v>9.5000000000000001E-2</v>
      </c>
      <c r="AF16" s="4" t="s">
        <v>8</v>
      </c>
      <c r="AH16">
        <f>'Exports - Data (Raw)'!BD16/'Exports - Data (Raw)'!BC16</f>
        <v>0.14285714285714285</v>
      </c>
      <c r="AI16">
        <f>'Exports - Data (Raw)'!BF16/'Exports - Data (Raw)'!BE16</f>
        <v>0.15</v>
      </c>
      <c r="AJ16">
        <f>'Exports - Data (Raw)'!BH16/'Exports - Data (Raw)'!BG16</f>
        <v>0.1524390243902439</v>
      </c>
      <c r="AK16">
        <f>'Exports - Data (Raw)'!BJ16/'Exports - Data (Raw)'!BI16</f>
        <v>0.15185185185185185</v>
      </c>
    </row>
    <row r="17" spans="1:38" x14ac:dyDescent="0.3">
      <c r="A17" s="40" t="s">
        <v>188</v>
      </c>
      <c r="B17" s="40" t="s">
        <v>130</v>
      </c>
      <c r="D17">
        <f>'Exports - Data (Raw)'!F17/'Exports - Data (Raw)'!E17</f>
        <v>3.1818181818181821</v>
      </c>
      <c r="E17" s="2" t="s">
        <v>9</v>
      </c>
      <c r="F17">
        <f>'Exports - Data (Raw)'!I17/'Exports - Data (Raw)'!H17</f>
        <v>2.6502450980392158</v>
      </c>
      <c r="G17" s="4" t="s">
        <v>9</v>
      </c>
      <c r="H17">
        <f>'Exports - Data (Raw)'!L17/'Exports - Data (Raw)'!K17</f>
        <v>1.5648956147133546</v>
      </c>
      <c r="I17">
        <f>'Exports - Data (Raw)'!N17/'Exports - Data (Raw)'!M17</f>
        <v>1.0895337301587302</v>
      </c>
      <c r="J17">
        <f>'Exports - Data (Raw)'!P17/'Exports - Data (Raw)'!O17</f>
        <v>1.9078189300411523</v>
      </c>
      <c r="K17">
        <f>'Exports - Data (Raw)'!R17/'Exports - Data (Raw)'!Q17</f>
        <v>1.2627472187886279</v>
      </c>
      <c r="L17">
        <f>'Exports - Data (Raw)'!T17/'Exports - Data (Raw)'!S17</f>
        <v>0.3563081009296149</v>
      </c>
      <c r="M17" s="2" t="s">
        <v>2</v>
      </c>
      <c r="N17">
        <f>'Exports - Data (Raw)'!W17/'Exports - Data (Raw)'!V17</f>
        <v>0.71783407848981617</v>
      </c>
      <c r="O17">
        <f>'Exports - Data (Raw)'!Y17/'Exports - Data (Raw)'!X17</f>
        <v>0.58181818181818179</v>
      </c>
      <c r="P17">
        <f>'Exports - Data (Raw)'!AA17/'Exports - Data (Raw)'!Z17</f>
        <v>0.4</v>
      </c>
      <c r="Q17" s="4" t="s">
        <v>2</v>
      </c>
      <c r="R17">
        <f>'Exports - Data (Raw)'!AD17/'Exports - Data (Raw)'!AC17</f>
        <v>0.44444444444444442</v>
      </c>
      <c r="S17">
        <f>'Exports - Data (Raw)'!AF17/'Exports - Data (Raw)'!AE17</f>
        <v>0.32</v>
      </c>
      <c r="T17" t="s">
        <v>2</v>
      </c>
      <c r="U17">
        <f>'Exports - Data (Raw)'!AI17/'Exports - Data (Raw)'!AH17</f>
        <v>0.8</v>
      </c>
      <c r="V17" s="2" t="s">
        <v>5</v>
      </c>
      <c r="W17">
        <f>'Exports - Data (Raw)'!AL17/'Exports - Data (Raw)'!AK17</f>
        <v>19.512195121951219</v>
      </c>
      <c r="X17">
        <f>'Exports - Data (Raw)'!AN17/'Exports - Data (Raw)'!AM17</f>
        <v>6.0804455445544559</v>
      </c>
      <c r="Y17" s="4" t="s">
        <v>5</v>
      </c>
      <c r="Z17">
        <f>'Exports - Data (Raw)'!AQ17/'Exports - Data (Raw)'!AP17</f>
        <v>6</v>
      </c>
      <c r="AA17" s="4" t="s">
        <v>5</v>
      </c>
      <c r="AB17">
        <f>'Exports - Data (Raw)'!AT17/'Exports - Data (Raw)'!AS17</f>
        <v>10</v>
      </c>
      <c r="AC17" s="4" t="s">
        <v>5</v>
      </c>
      <c r="AD17">
        <f>'Exports - Data (Raw)'!AW17/'Exports - Data (Raw)'!AV17</f>
        <v>16</v>
      </c>
      <c r="AE17">
        <f>'Exports - Data (Raw)'!AY17/'Exports - Data (Raw)'!AX17</f>
        <v>10</v>
      </c>
      <c r="AF17" s="4" t="s">
        <v>5</v>
      </c>
      <c r="AG17">
        <f>'Exports - Data (Raw)'!BB17/'Exports - Data (Raw)'!BA17</f>
        <v>10</v>
      </c>
      <c r="AH17">
        <f>'Exports - Data (Raw)'!BD17/'Exports - Data (Raw)'!BC17</f>
        <v>14.705882352941176</v>
      </c>
      <c r="AI17">
        <f>'Exports - Data (Raw)'!BF17/'Exports - Data (Raw)'!BE17</f>
        <v>15</v>
      </c>
      <c r="AJ17">
        <f>'Exports - Data (Raw)'!BH17/'Exports - Data (Raw)'!BG17</f>
        <v>16.666666666666668</v>
      </c>
      <c r="AK17">
        <f>'Exports - Data (Raw)'!BJ17/'Exports - Data (Raw)'!BI17</f>
        <v>11.666666666666666</v>
      </c>
      <c r="AL17" s="4"/>
    </row>
    <row r="18" spans="1:38" x14ac:dyDescent="0.3">
      <c r="A18" s="40" t="s">
        <v>189</v>
      </c>
      <c r="B18" s="40" t="s">
        <v>130</v>
      </c>
      <c r="D18">
        <f>'Exports - Data (Raw)'!F18/'Exports - Data (Raw)'!E18</f>
        <v>5.454545454545455</v>
      </c>
      <c r="E18" s="2" t="s">
        <v>9</v>
      </c>
      <c r="F18">
        <f>'Exports - Data (Raw)'!I18/'Exports - Data (Raw)'!H18</f>
        <v>2.1</v>
      </c>
      <c r="G18" s="4" t="s">
        <v>9</v>
      </c>
      <c r="H18">
        <f>'Exports - Data (Raw)'!L18/'Exports - Data (Raw)'!K18</f>
        <v>1.52821795941062</v>
      </c>
      <c r="I18">
        <f>'Exports - Data (Raw)'!N18/'Exports - Data (Raw)'!M18</f>
        <v>1.8353413654618473</v>
      </c>
      <c r="J18">
        <f>'Exports - Data (Raw)'!P18/'Exports - Data (Raw)'!O18</f>
        <v>4.1318681318681323</v>
      </c>
      <c r="K18">
        <f>'Exports - Data (Raw)'!R18/'Exports - Data (Raw)'!Q18</f>
        <v>1.4587864911276474</v>
      </c>
      <c r="L18">
        <f>'Exports - Data (Raw)'!T18/'Exports - Data (Raw)'!S18</f>
        <v>0.98875338753387532</v>
      </c>
      <c r="M18" s="2" t="s">
        <v>2</v>
      </c>
      <c r="N18">
        <f>'Exports - Data (Raw)'!W18/'Exports - Data (Raw)'!V18</f>
        <v>2.032</v>
      </c>
      <c r="O18">
        <f>'Exports - Data (Raw)'!Y18/'Exports - Data (Raw)'!X18</f>
        <v>2.16</v>
      </c>
      <c r="P18">
        <f>'Exports - Data (Raw)'!AA18/'Exports - Data (Raw)'!Z18</f>
        <v>1.0902777777777777</v>
      </c>
      <c r="Q18" s="4" t="s">
        <v>2</v>
      </c>
      <c r="R18">
        <f>'Exports - Data (Raw)'!AD18/'Exports - Data (Raw)'!AC18</f>
        <v>1.48</v>
      </c>
      <c r="S18">
        <f>'Exports - Data (Raw)'!AF18/'Exports - Data (Raw)'!AE18</f>
        <v>0.64</v>
      </c>
      <c r="T18" t="s">
        <v>2</v>
      </c>
      <c r="U18">
        <f>'Exports - Data (Raw)'!AI18/'Exports - Data (Raw)'!AH18</f>
        <v>16.289592760180994</v>
      </c>
      <c r="V18" s="2" t="s">
        <v>5</v>
      </c>
      <c r="W18">
        <f>'Exports - Data (Raw)'!AL18/'Exports - Data (Raw)'!AK18</f>
        <v>38.834951456310677</v>
      </c>
      <c r="X18">
        <f>'Exports - Data (Raw)'!AN18/'Exports - Data (Raw)'!AM18</f>
        <v>33.42</v>
      </c>
      <c r="Y18" s="4" t="s">
        <v>5</v>
      </c>
      <c r="Z18">
        <f>'Exports - Data (Raw)'!AQ18/'Exports - Data (Raw)'!AP18</f>
        <v>26</v>
      </c>
      <c r="AA18" s="4" t="s">
        <v>5</v>
      </c>
      <c r="AB18">
        <f>'Exports - Data (Raw)'!AT18/'Exports - Data (Raw)'!AS18</f>
        <v>20</v>
      </c>
      <c r="AC18" s="4" t="s">
        <v>5</v>
      </c>
      <c r="AD18">
        <f>'Exports - Data (Raw)'!AW18/'Exports - Data (Raw)'!AV18</f>
        <v>25</v>
      </c>
      <c r="AE18">
        <f>'Exports - Data (Raw)'!AY18/'Exports - Data (Raw)'!AX18</f>
        <v>25</v>
      </c>
      <c r="AF18" s="4" t="s">
        <v>5</v>
      </c>
      <c r="AG18">
        <f>'Exports - Data (Raw)'!BB18/'Exports - Data (Raw)'!BA18</f>
        <v>26.666666666666668</v>
      </c>
      <c r="AH18">
        <f>'Exports - Data (Raw)'!BD18/'Exports - Data (Raw)'!BC18</f>
        <v>28.571428571428573</v>
      </c>
      <c r="AI18">
        <f>'Exports - Data (Raw)'!BF18/'Exports - Data (Raw)'!BE18</f>
        <v>28.571428571428573</v>
      </c>
      <c r="AJ18">
        <f>'Exports - Data (Raw)'!BH18/'Exports - Data (Raw)'!BG18</f>
        <v>33.913043478260867</v>
      </c>
      <c r="AK18">
        <f>'Exports - Data (Raw)'!BJ18/'Exports - Data (Raw)'!BI18</f>
        <v>27.5</v>
      </c>
      <c r="AL18" s="4"/>
    </row>
    <row r="19" spans="1:38" x14ac:dyDescent="0.3">
      <c r="A19" s="40" t="s">
        <v>138</v>
      </c>
      <c r="B19" s="40" t="s">
        <v>130</v>
      </c>
      <c r="C19">
        <f>'Exports - Data (Raw)'!D19/'Exports - Data (Raw)'!C19</f>
        <v>10</v>
      </c>
      <c r="D19">
        <f>'Exports - Data (Raw)'!F19/'Exports - Data (Raw)'!E19</f>
        <v>4.5454545454545459</v>
      </c>
      <c r="E19" s="2" t="s">
        <v>9</v>
      </c>
      <c r="F19">
        <f>'Exports - Data (Raw)'!I19/'Exports - Data (Raw)'!H19</f>
        <v>1.4134228187919462</v>
      </c>
      <c r="G19" s="4" t="s">
        <v>9</v>
      </c>
      <c r="H19">
        <f>'Exports - Data (Raw)'!L19/'Exports - Data (Raw)'!K19</f>
        <v>1.8170083523158693</v>
      </c>
      <c r="I19">
        <f>'Exports - Data (Raw)'!N19/'Exports - Data (Raw)'!M19</f>
        <v>2.2964519140989728</v>
      </c>
      <c r="J19">
        <f>'Exports - Data (Raw)'!P19/'Exports - Data (Raw)'!O19</f>
        <v>1.2630597014925373</v>
      </c>
      <c r="K19">
        <f>'Exports - Data (Raw)'!R19/'Exports - Data (Raw)'!Q19</f>
        <v>1.5506329113924051</v>
      </c>
      <c r="L19">
        <f>'Exports - Data (Raw)'!T19/'Exports - Data (Raw)'!S19</f>
        <v>0.91009681881051174</v>
      </c>
      <c r="M19" s="2" t="s">
        <v>2</v>
      </c>
      <c r="N19">
        <f>'Exports - Data (Raw)'!W19/'Exports - Data (Raw)'!V19</f>
        <v>0.78933333333333333</v>
      </c>
      <c r="O19">
        <f>'Exports - Data (Raw)'!Y19/'Exports - Data (Raw)'!X19</f>
        <v>0.8</v>
      </c>
      <c r="P19">
        <f>'Exports - Data (Raw)'!AA19/'Exports - Data (Raw)'!Z19</f>
        <v>0.57599999999999996</v>
      </c>
      <c r="Q19" s="4" t="s">
        <v>2</v>
      </c>
      <c r="R19">
        <f>'Exports - Data (Raw)'!AD19/'Exports - Data (Raw)'!AC19</f>
        <v>0.35699999999999998</v>
      </c>
      <c r="S19">
        <f>'Exports - Data (Raw)'!AF19/'Exports - Data (Raw)'!AE19</f>
        <v>0.26666666666666666</v>
      </c>
      <c r="T19" t="s">
        <v>2</v>
      </c>
      <c r="V19" s="2" t="s">
        <v>5</v>
      </c>
      <c r="W19">
        <f>'Exports - Data (Raw)'!AL19/'Exports - Data (Raw)'!AK19</f>
        <v>11.152416356877323</v>
      </c>
      <c r="X19">
        <f>'Exports - Data (Raw)'!AN19/'Exports - Data (Raw)'!AM19</f>
        <v>11.160142348754448</v>
      </c>
      <c r="Y19" s="4" t="s">
        <v>5</v>
      </c>
      <c r="Z19">
        <f>'Exports - Data (Raw)'!AQ19/'Exports - Data (Raw)'!AP19</f>
        <v>11.428571428571429</v>
      </c>
      <c r="AA19" s="4" t="s">
        <v>5</v>
      </c>
      <c r="AB19">
        <f>'Exports - Data (Raw)'!AT19/'Exports - Data (Raw)'!AS19</f>
        <v>3.75</v>
      </c>
      <c r="AC19" s="4" t="s">
        <v>5</v>
      </c>
      <c r="AD19">
        <f>'Exports - Data (Raw)'!AW19/'Exports - Data (Raw)'!AV19</f>
        <v>14.166666666666666</v>
      </c>
      <c r="AE19">
        <f>'Exports - Data (Raw)'!AY19/'Exports - Data (Raw)'!AX19</f>
        <v>20</v>
      </c>
      <c r="AF19" s="4" t="s">
        <v>5</v>
      </c>
      <c r="AH19">
        <f>'Exports - Data (Raw)'!BD19/'Exports - Data (Raw)'!BC19</f>
        <v>26.315789473684209</v>
      </c>
      <c r="AI19">
        <f>'Exports - Data (Raw)'!BF19/'Exports - Data (Raw)'!BE19</f>
        <v>22.857142857142858</v>
      </c>
      <c r="AJ19">
        <f>'Exports - Data (Raw)'!BH19/'Exports - Data (Raw)'!BG19</f>
        <v>24</v>
      </c>
      <c r="AK19">
        <f>'Exports - Data (Raw)'!BJ19/'Exports - Data (Raw)'!BI19</f>
        <v>21.818181818181817</v>
      </c>
      <c r="AL19" s="4"/>
    </row>
    <row r="20" spans="1:38" x14ac:dyDescent="0.3">
      <c r="A20" s="40" t="s">
        <v>190</v>
      </c>
      <c r="B20" s="40" t="s">
        <v>130</v>
      </c>
      <c r="D20">
        <f>'Exports - Data (Raw)'!F20/'Exports - Data (Raw)'!E20</f>
        <v>90.909090909090907</v>
      </c>
      <c r="E20" s="2" t="s">
        <v>9</v>
      </c>
      <c r="F20">
        <f>'Exports - Data (Raw)'!I20/'Exports - Data (Raw)'!H20</f>
        <v>0.59155289013653178</v>
      </c>
      <c r="G20" s="2" t="s">
        <v>1</v>
      </c>
      <c r="H20">
        <f>'Exports - Data (Raw)'!L20/'Exports - Data (Raw)'!K20</f>
        <v>1.6331975560081466</v>
      </c>
      <c r="I20">
        <f>'Exports - Data (Raw)'!N20/'Exports - Data (Raw)'!M20</f>
        <v>3.3557634278817141</v>
      </c>
      <c r="J20">
        <f>'Exports - Data (Raw)'!P20/'Exports - Data (Raw)'!O20</f>
        <v>3.5839920948616601</v>
      </c>
      <c r="K20">
        <f>'Exports - Data (Raw)'!R20/'Exports - Data (Raw)'!Q20</f>
        <v>2.9583949313621964</v>
      </c>
      <c r="L20">
        <f>'Exports - Data (Raw)'!T20/'Exports - Data (Raw)'!S20</f>
        <v>1.72662394407224</v>
      </c>
      <c r="M20" s="2" t="s">
        <v>2</v>
      </c>
      <c r="N20">
        <f>'Exports - Data (Raw)'!W20/'Exports - Data (Raw)'!V20</f>
        <v>1.0071884984025559</v>
      </c>
      <c r="O20">
        <f>'Exports - Data (Raw)'!Y20/'Exports - Data (Raw)'!X20</f>
        <v>1.3485714285714285</v>
      </c>
      <c r="P20">
        <f>'Exports - Data (Raw)'!AA20/'Exports - Data (Raw)'!Z20</f>
        <v>0.8</v>
      </c>
      <c r="Q20" s="4" t="s">
        <v>2</v>
      </c>
      <c r="R20">
        <f>'Exports - Data (Raw)'!AD20/'Exports - Data (Raw)'!AC20</f>
        <v>1.1379310344827587</v>
      </c>
      <c r="S20">
        <f>'Exports - Data (Raw)'!AF20/'Exports - Data (Raw)'!AE20</f>
        <v>0.93333333333333335</v>
      </c>
      <c r="T20" t="s">
        <v>2</v>
      </c>
      <c r="U20">
        <f>'Exports - Data (Raw)'!AI20/'Exports - Data (Raw)'!AH20</f>
        <v>1.52</v>
      </c>
      <c r="V20" s="2" t="s">
        <v>5</v>
      </c>
      <c r="W20">
        <f>'Exports - Data (Raw)'!AL20/'Exports - Data (Raw)'!AK20</f>
        <v>18.120045300113251</v>
      </c>
      <c r="X20">
        <f>'Exports - Data (Raw)'!AN20/'Exports - Data (Raw)'!AM20</f>
        <v>25.576470588235296</v>
      </c>
      <c r="Y20" s="4" t="s">
        <v>5</v>
      </c>
      <c r="Z20">
        <f>'Exports - Data (Raw)'!AQ20/'Exports - Data (Raw)'!AP20</f>
        <v>23.333333333333332</v>
      </c>
      <c r="AA20" s="4" t="s">
        <v>5</v>
      </c>
      <c r="AB20">
        <f>'Exports - Data (Raw)'!AT20/'Exports - Data (Raw)'!AS20</f>
        <v>22</v>
      </c>
      <c r="AC20" s="4" t="s">
        <v>5</v>
      </c>
      <c r="AD20">
        <f>'Exports - Data (Raw)'!AW20/'Exports - Data (Raw)'!AV20</f>
        <v>30</v>
      </c>
      <c r="AE20">
        <f>'Exports - Data (Raw)'!AY20/'Exports - Data (Raw)'!AX20</f>
        <v>35</v>
      </c>
      <c r="AF20" s="4" t="s">
        <v>5</v>
      </c>
      <c r="AG20">
        <f>'Exports - Data (Raw)'!BB20/'Exports - Data (Raw)'!BA20</f>
        <v>33.75</v>
      </c>
      <c r="AH20">
        <f>'Exports - Data (Raw)'!BD20/'Exports - Data (Raw)'!BC20</f>
        <v>33.333333333333336</v>
      </c>
      <c r="AI20">
        <f>'Exports - Data (Raw)'!BF20/'Exports - Data (Raw)'!BE20</f>
        <v>30</v>
      </c>
      <c r="AJ20">
        <f>'Exports - Data (Raw)'!BH20/'Exports - Data (Raw)'!BG20</f>
        <v>24</v>
      </c>
      <c r="AK20">
        <f>'Exports - Data (Raw)'!BJ20/'Exports - Data (Raw)'!BI20</f>
        <v>23.333333333333332</v>
      </c>
      <c r="AL20" s="4"/>
    </row>
    <row r="21" spans="1:38" x14ac:dyDescent="0.3">
      <c r="A21" s="40" t="s">
        <v>139</v>
      </c>
      <c r="B21" s="40" t="s">
        <v>118</v>
      </c>
      <c r="C21" s="4"/>
      <c r="E21" s="4" t="s">
        <v>3</v>
      </c>
      <c r="G21" s="4" t="s">
        <v>3</v>
      </c>
      <c r="M21" s="4" t="s">
        <v>3</v>
      </c>
      <c r="N21">
        <f>'Exports - Data (Raw)'!W21/'Exports - Data (Raw)'!V21</f>
        <v>11.4</v>
      </c>
      <c r="O21">
        <f>'Exports - Data (Raw)'!Y21/'Exports - Data (Raw)'!X21</f>
        <v>11.428571428571429</v>
      </c>
      <c r="P21">
        <f>'Exports - Data (Raw)'!AA21/'Exports - Data (Raw)'!Z21</f>
        <v>11.25</v>
      </c>
      <c r="Q21" s="4" t="s">
        <v>3</v>
      </c>
      <c r="T21" s="4" t="s">
        <v>3</v>
      </c>
      <c r="V21" s="4" t="s">
        <v>3</v>
      </c>
      <c r="Y21" s="4" t="s">
        <v>3</v>
      </c>
      <c r="AA21" s="4" t="s">
        <v>3</v>
      </c>
      <c r="AC21" s="4" t="s">
        <v>3</v>
      </c>
      <c r="AF21" s="4" t="s">
        <v>3</v>
      </c>
    </row>
    <row r="22" spans="1:38" x14ac:dyDescent="0.3">
      <c r="A22" s="40" t="s">
        <v>140</v>
      </c>
      <c r="B22" s="40" t="s">
        <v>126</v>
      </c>
      <c r="C22" s="4"/>
      <c r="E22" s="4" t="s">
        <v>9</v>
      </c>
      <c r="G22" s="4" t="s">
        <v>9</v>
      </c>
      <c r="I22">
        <f>'Exports - Data (Raw)'!N22/'Exports - Data (Raw)'!M22</f>
        <v>15.209016393442623</v>
      </c>
      <c r="J22">
        <f>'Exports - Data (Raw)'!P22/'Exports - Data (Raw)'!O22</f>
        <v>18.039344262295081</v>
      </c>
      <c r="K22">
        <f>'Exports - Data (Raw)'!R22/'Exports - Data (Raw)'!Q22</f>
        <v>16.243010752688171</v>
      </c>
      <c r="M22" s="4" t="s">
        <v>9</v>
      </c>
      <c r="N22">
        <f>'Exports - Data (Raw)'!W22/'Exports - Data (Raw)'!V22</f>
        <v>30.416666666666668</v>
      </c>
      <c r="O22">
        <f>'Exports - Data (Raw)'!Y22/'Exports - Data (Raw)'!X22</f>
        <v>29.866666666666667</v>
      </c>
      <c r="P22">
        <f>'Exports - Data (Raw)'!AA22/'Exports - Data (Raw)'!Z22</f>
        <v>27.659574468085108</v>
      </c>
      <c r="Q22" s="4" t="s">
        <v>9</v>
      </c>
      <c r="T22" s="4" t="s">
        <v>9</v>
      </c>
      <c r="V22" s="4" t="s">
        <v>9</v>
      </c>
      <c r="Y22" s="4" t="s">
        <v>9</v>
      </c>
      <c r="AA22" s="4" t="s">
        <v>9</v>
      </c>
      <c r="AC22" s="4" t="s">
        <v>9</v>
      </c>
      <c r="AF22" s="4" t="s">
        <v>9</v>
      </c>
    </row>
    <row r="23" spans="1:38" x14ac:dyDescent="0.3">
      <c r="A23" s="40" t="s">
        <v>141</v>
      </c>
      <c r="B23" s="40" t="s">
        <v>130</v>
      </c>
      <c r="D23">
        <f>'Exports - Data (Raw)'!F23/'Exports - Data (Raw)'!E23</f>
        <v>9.0909090909090899</v>
      </c>
      <c r="E23" s="2" t="s">
        <v>9</v>
      </c>
      <c r="F23">
        <f>'Exports - Data (Raw)'!I23/'Exports - Data (Raw)'!H23</f>
        <v>2.4736842105263159</v>
      </c>
      <c r="G23" s="2" t="s">
        <v>1</v>
      </c>
      <c r="H23">
        <f>'Exports - Data (Raw)'!L23/'Exports - Data (Raw)'!K23</f>
        <v>2.7482758620689656</v>
      </c>
      <c r="I23">
        <f>'Exports - Data (Raw)'!N23/'Exports - Data (Raw)'!M23</f>
        <v>1.5609220636663008</v>
      </c>
      <c r="J23">
        <f>'Exports - Data (Raw)'!P23/'Exports - Data (Raw)'!O23</f>
        <v>2.6040061633281972</v>
      </c>
      <c r="K23">
        <f>'Exports - Data (Raw)'!R23/'Exports - Data (Raw)'!Q23</f>
        <v>0.35879218472468916</v>
      </c>
      <c r="L23">
        <f>'Exports - Data (Raw)'!T23/'Exports - Data (Raw)'!S23</f>
        <v>0.61777535441657583</v>
      </c>
      <c r="M23" s="4" t="s">
        <v>1</v>
      </c>
      <c r="Q23" s="4" t="s">
        <v>1</v>
      </c>
      <c r="T23" t="s">
        <v>1</v>
      </c>
      <c r="V23" t="s">
        <v>1</v>
      </c>
      <c r="Y23" s="4" t="s">
        <v>1</v>
      </c>
      <c r="AA23" s="4" t="s">
        <v>1</v>
      </c>
      <c r="AC23" s="4" t="s">
        <v>1</v>
      </c>
      <c r="AF23" t="s">
        <v>1</v>
      </c>
    </row>
    <row r="24" spans="1:38" x14ac:dyDescent="0.3">
      <c r="A24" s="40" t="s">
        <v>142</v>
      </c>
      <c r="B24" s="40" t="s">
        <v>126</v>
      </c>
      <c r="E24" t="s">
        <v>9</v>
      </c>
      <c r="F24">
        <f>'Exports - Data (Raw)'!I24/'Exports - Data (Raw)'!H24</f>
        <v>0.60552268244575935</v>
      </c>
      <c r="G24" t="s">
        <v>9</v>
      </c>
      <c r="H24">
        <f>'Exports - Data (Raw)'!L24/'Exports - Data (Raw)'!K24</f>
        <v>1.8002232142857142</v>
      </c>
      <c r="I24">
        <f>'Exports - Data (Raw)'!N24/'Exports - Data (Raw)'!M24</f>
        <v>2.078846153846154</v>
      </c>
      <c r="J24">
        <f>'Exports - Data (Raw)'!P24/'Exports - Data (Raw)'!O24</f>
        <v>1.7861163227016885</v>
      </c>
      <c r="K24">
        <f>'Exports - Data (Raw)'!R24/'Exports - Data (Raw)'!Q24</f>
        <v>1.2013487475915221</v>
      </c>
      <c r="L24">
        <f>'Exports - Data (Raw)'!T24/'Exports - Data (Raw)'!S24</f>
        <v>0.71474820143884887</v>
      </c>
      <c r="M24" s="4" t="s">
        <v>9</v>
      </c>
      <c r="Q24" s="4" t="s">
        <v>9</v>
      </c>
      <c r="T24" s="2" t="s">
        <v>2</v>
      </c>
      <c r="U24">
        <f>'Exports - Data (Raw)'!AI24/'Exports - Data (Raw)'!AH24</f>
        <v>0.84</v>
      </c>
      <c r="V24" s="2" t="s">
        <v>5</v>
      </c>
      <c r="W24">
        <f>'Exports - Data (Raw)'!AL24/'Exports - Data (Raw)'!AK24</f>
        <v>18.126888217522659</v>
      </c>
      <c r="X24">
        <f>'Exports - Data (Raw)'!AN24/'Exports - Data (Raw)'!AM24</f>
        <v>13.548387096774194</v>
      </c>
      <c r="Y24" s="4" t="s">
        <v>5</v>
      </c>
      <c r="Z24">
        <f>'Exports - Data (Raw)'!AQ24/'Exports - Data (Raw)'!AP24</f>
        <v>12.859375</v>
      </c>
      <c r="AA24" s="2" t="s">
        <v>2</v>
      </c>
      <c r="AB24">
        <f>'Exports - Data (Raw)'!AT24/'Exports - Data (Raw)'!AS24</f>
        <v>0.60606060606060608</v>
      </c>
      <c r="AC24" s="2" t="s">
        <v>5</v>
      </c>
      <c r="AD24">
        <f>'Exports - Data (Raw)'!AW24/'Exports - Data (Raw)'!AV24</f>
        <v>12</v>
      </c>
      <c r="AE24">
        <f>'Exports - Data (Raw)'!AY24/'Exports - Data (Raw)'!AX24</f>
        <v>12</v>
      </c>
      <c r="AF24" s="4" t="s">
        <v>5</v>
      </c>
      <c r="AH24">
        <f>'Exports - Data (Raw)'!BD24/'Exports - Data (Raw)'!BC24</f>
        <v>13.157894736842104</v>
      </c>
      <c r="AI24">
        <f>'Exports - Data (Raw)'!BF24/'Exports - Data (Raw)'!BE24</f>
        <v>15.789473684210526</v>
      </c>
      <c r="AJ24">
        <f>'Exports - Data (Raw)'!BH24/'Exports - Data (Raw)'!BG24</f>
        <v>15.789473684210526</v>
      </c>
      <c r="AK24">
        <f>'Exports - Data (Raw)'!BJ24/'Exports - Data (Raw)'!BI24</f>
        <v>17.142857142857142</v>
      </c>
    </row>
    <row r="25" spans="1:38" x14ac:dyDescent="0.3">
      <c r="A25" s="40" t="s">
        <v>143</v>
      </c>
      <c r="B25" s="40" t="s">
        <v>126</v>
      </c>
      <c r="E25" t="s">
        <v>9</v>
      </c>
      <c r="F25">
        <f>'Exports - Data (Raw)'!I25/'Exports - Data (Raw)'!H25</f>
        <v>2.5391791044776117</v>
      </c>
      <c r="G25" s="2" t="s">
        <v>1</v>
      </c>
      <c r="H25">
        <f>'Exports - Data (Raw)'!L25/'Exports - Data (Raw)'!K25</f>
        <v>5.1487603305785123</v>
      </c>
      <c r="I25">
        <f>'Exports - Data (Raw)'!N25/'Exports - Data (Raw)'!M25</f>
        <v>3.822878228782288</v>
      </c>
      <c r="J25">
        <f>'Exports - Data (Raw)'!P25/'Exports - Data (Raw)'!O25</f>
        <v>4.0804020100502516</v>
      </c>
      <c r="K25">
        <f>'Exports - Data (Raw)'!R25/'Exports - Data (Raw)'!Q25</f>
        <v>2.6302895322939865</v>
      </c>
      <c r="M25" s="4" t="s">
        <v>1</v>
      </c>
      <c r="Q25" s="4" t="s">
        <v>1</v>
      </c>
      <c r="T25" s="2" t="s">
        <v>2</v>
      </c>
      <c r="V25" s="4" t="s">
        <v>2</v>
      </c>
      <c r="W25">
        <f>'Exports - Data (Raw)'!AL25/'Exports - Data (Raw)'!AK25</f>
        <v>0.10512820512820513</v>
      </c>
      <c r="X25">
        <f>'Exports - Data (Raw)'!AN25/'Exports - Data (Raw)'!AM25</f>
        <v>0.8928571428571429</v>
      </c>
      <c r="Y25" s="4" t="s">
        <v>2</v>
      </c>
      <c r="Z25">
        <f>'Exports - Data (Raw)'!AQ25/'Exports - Data (Raw)'!AP25</f>
        <v>1.6</v>
      </c>
      <c r="AA25" s="4" t="s">
        <v>2</v>
      </c>
      <c r="AB25">
        <f>'Exports - Data (Raw)'!AT25/'Exports - Data (Raw)'!AS25</f>
        <v>1.55</v>
      </c>
      <c r="AC25" s="2" t="s">
        <v>5</v>
      </c>
      <c r="AD25">
        <f>'Exports - Data (Raw)'!AW25/'Exports - Data (Raw)'!AV25</f>
        <v>31.818181818181817</v>
      </c>
      <c r="AE25">
        <f>'Exports - Data (Raw)'!AY25/'Exports - Data (Raw)'!AX25</f>
        <v>20</v>
      </c>
      <c r="AF25" s="4" t="s">
        <v>5</v>
      </c>
      <c r="AH25">
        <f>'Exports - Data (Raw)'!BD25/'Exports - Data (Raw)'!BC25</f>
        <v>50</v>
      </c>
      <c r="AI25">
        <f>'Exports - Data (Raw)'!BF25/'Exports - Data (Raw)'!BE25</f>
        <v>50</v>
      </c>
      <c r="AJ25">
        <f>'Exports - Data (Raw)'!BH25/'Exports - Data (Raw)'!BG25</f>
        <v>50</v>
      </c>
      <c r="AK25">
        <f>'Exports - Data (Raw)'!BJ25/'Exports - Data (Raw)'!BI25</f>
        <v>50</v>
      </c>
    </row>
    <row r="26" spans="1:38" x14ac:dyDescent="0.3">
      <c r="A26" s="40" t="s">
        <v>191</v>
      </c>
      <c r="B26" s="40" t="s">
        <v>133</v>
      </c>
      <c r="E26" t="s">
        <v>10</v>
      </c>
      <c r="G26" t="s">
        <v>10</v>
      </c>
      <c r="M26" s="4" t="s">
        <v>10</v>
      </c>
      <c r="Q26" s="4" t="s">
        <v>10</v>
      </c>
      <c r="T26" t="s">
        <v>10</v>
      </c>
      <c r="U26">
        <f>'Exports - Data (Raw)'!AI26/'Exports - Data (Raw)'!AH26</f>
        <v>0.08</v>
      </c>
      <c r="V26" s="4" t="s">
        <v>10</v>
      </c>
      <c r="Y26" s="4" t="s">
        <v>10</v>
      </c>
      <c r="AA26" s="4" t="s">
        <v>10</v>
      </c>
      <c r="AC26" s="4" t="s">
        <v>10</v>
      </c>
      <c r="AF26" t="s">
        <v>10</v>
      </c>
    </row>
    <row r="27" spans="1:38" x14ac:dyDescent="0.3">
      <c r="A27" s="40" t="s">
        <v>106</v>
      </c>
      <c r="B27" s="40" t="s">
        <v>133</v>
      </c>
      <c r="D27">
        <f>'Exports - Data (Raw)'!F27/'Exports - Data (Raw)'!E27</f>
        <v>6.363636363636363E-2</v>
      </c>
      <c r="E27" t="s">
        <v>10</v>
      </c>
      <c r="G27" t="s">
        <v>10</v>
      </c>
      <c r="M27" s="4" t="s">
        <v>10</v>
      </c>
      <c r="Q27" s="4" t="s">
        <v>10</v>
      </c>
      <c r="T27" t="s">
        <v>10</v>
      </c>
      <c r="V27" s="4" t="s">
        <v>10</v>
      </c>
      <c r="W27">
        <f>'Exports - Data (Raw)'!AL27/'Exports - Data (Raw)'!AK27</f>
        <v>6.8379690268895912E-2</v>
      </c>
      <c r="X27">
        <f>'Exports - Data (Raw)'!AN27/'Exports - Data (Raw)'!AM27</f>
        <v>9.088503546897872E-2</v>
      </c>
      <c r="Y27" s="4" t="s">
        <v>10</v>
      </c>
      <c r="Z27">
        <f>'Exports - Data (Raw)'!AQ27/'Exports - Data (Raw)'!AP27</f>
        <v>0.10558476623561176</v>
      </c>
      <c r="AA27" s="4" t="s">
        <v>10</v>
      </c>
      <c r="AB27">
        <f>'Exports - Data (Raw)'!AT27/'Exports - Data (Raw)'!AS27</f>
        <v>0.11028803545051699</v>
      </c>
      <c r="AC27" s="4" t="s">
        <v>10</v>
      </c>
      <c r="AD27">
        <f>'Exports - Data (Raw)'!AW27/'Exports - Data (Raw)'!AV27</f>
        <v>0.13693693693693693</v>
      </c>
      <c r="AE27">
        <f>'Exports - Data (Raw)'!AY27/'Exports - Data (Raw)'!AX27</f>
        <v>0.13788968824940048</v>
      </c>
      <c r="AF27" t="s">
        <v>10</v>
      </c>
      <c r="AG27">
        <f>'Exports - Data (Raw)'!BB27/'Exports - Data (Raw)'!BA27</f>
        <v>0.16666666666666666</v>
      </c>
    </row>
    <row r="28" spans="1:38" x14ac:dyDescent="0.3">
      <c r="A28" s="40" t="s">
        <v>144</v>
      </c>
      <c r="B28" s="40" t="s">
        <v>118</v>
      </c>
      <c r="E28" t="s">
        <v>3</v>
      </c>
      <c r="G28" t="s">
        <v>3</v>
      </c>
      <c r="H28">
        <f>'Exports - Data (Raw)'!L28/'Exports - Data (Raw)'!K28</f>
        <v>0.72723160434258138</v>
      </c>
      <c r="I28">
        <f>'Exports - Data (Raw)'!N28/'Exports - Data (Raw)'!M28</f>
        <v>0.64989964877069739</v>
      </c>
      <c r="J28">
        <f>'Exports - Data (Raw)'!P28/'Exports - Data (Raw)'!O28</f>
        <v>0.39481344270971158</v>
      </c>
      <c r="K28">
        <f>'Exports - Data (Raw)'!R28/'Exports - Data (Raw)'!Q28</f>
        <v>0.30282485875706217</v>
      </c>
      <c r="L28">
        <f>'Exports - Data (Raw)'!T28/'Exports - Data (Raw)'!S28</f>
        <v>0.25139442231075698</v>
      </c>
      <c r="M28" s="2" t="s">
        <v>2</v>
      </c>
      <c r="O28">
        <f>'Exports - Data (Raw)'!Y28/'Exports - Data (Raw)'!X28</f>
        <v>0.23809523809523808</v>
      </c>
      <c r="P28">
        <f>'Exports - Data (Raw)'!AA28/'Exports - Data (Raw)'!Z28</f>
        <v>0.36799999999999999</v>
      </c>
      <c r="Q28" s="4" t="s">
        <v>2</v>
      </c>
      <c r="R28">
        <f>'Exports - Data (Raw)'!AD28/'Exports - Data (Raw)'!AC28</f>
        <v>0.36538461538461536</v>
      </c>
      <c r="T28" t="s">
        <v>2</v>
      </c>
      <c r="U28">
        <f>'Exports - Data (Raw)'!AI28/'Exports - Data (Raw)'!AH28</f>
        <v>0.18397097625329814</v>
      </c>
      <c r="V28" s="2" t="s">
        <v>5</v>
      </c>
      <c r="W28">
        <f>'Exports - Data (Raw)'!AL28/'Exports - Data (Raw)'!AK28</f>
        <v>3.75</v>
      </c>
      <c r="X28">
        <f>'Exports - Data (Raw)'!AN28/'Exports - Data (Raw)'!AM28</f>
        <v>4.2454545454545451</v>
      </c>
      <c r="Y28" s="4" t="s">
        <v>5</v>
      </c>
      <c r="Z28">
        <f>'Exports - Data (Raw)'!AQ28/'Exports - Data (Raw)'!AP28</f>
        <v>4.5</v>
      </c>
      <c r="AA28" s="2" t="s">
        <v>2</v>
      </c>
      <c r="AB28">
        <f>'Exports - Data (Raw)'!AT28/'Exports - Data (Raw)'!AS28</f>
        <v>0.20749999999999999</v>
      </c>
      <c r="AC28" s="2" t="s">
        <v>5</v>
      </c>
      <c r="AD28">
        <f>'Exports - Data (Raw)'!AW28/'Exports - Data (Raw)'!AV28</f>
        <v>8.4</v>
      </c>
      <c r="AE28">
        <f>'Exports - Data (Raw)'!AY28/'Exports - Data (Raw)'!AX28</f>
        <v>8.4</v>
      </c>
      <c r="AF28" t="s">
        <v>5</v>
      </c>
      <c r="AH28">
        <f>'Exports - Data (Raw)'!BD28/'Exports - Data (Raw)'!BC28</f>
        <v>10</v>
      </c>
      <c r="AI28">
        <f>'Exports - Data (Raw)'!BF28/'Exports - Data (Raw)'!BE28</f>
        <v>10</v>
      </c>
      <c r="AJ28">
        <f>'Exports - Data (Raw)'!BH28/'Exports - Data (Raw)'!BG28</f>
        <v>10</v>
      </c>
      <c r="AK28">
        <f>'Exports - Data (Raw)'!BJ28/'Exports - Data (Raw)'!BI28</f>
        <v>10</v>
      </c>
    </row>
    <row r="29" spans="1:38" x14ac:dyDescent="0.3">
      <c r="A29" s="40" t="s">
        <v>145</v>
      </c>
      <c r="B29" s="40" t="s">
        <v>130</v>
      </c>
      <c r="D29">
        <f>'Exports - Data (Raw)'!F29/'Exports - Data (Raw)'!E29</f>
        <v>1.7272727272727271</v>
      </c>
      <c r="E29" t="s">
        <v>4</v>
      </c>
      <c r="G29" s="2" t="s">
        <v>3</v>
      </c>
      <c r="H29">
        <f>'Exports - Data (Raw)'!L29/'Exports - Data (Raw)'!K29</f>
        <v>8.5239085239085244E-2</v>
      </c>
      <c r="I29">
        <f>'Exports - Data (Raw)'!N29/'Exports - Data (Raw)'!M29</f>
        <v>0.12017640573318633</v>
      </c>
      <c r="J29">
        <f>'Exports - Data (Raw)'!P29/'Exports - Data (Raw)'!O29</f>
        <v>0.13435374149659865</v>
      </c>
      <c r="K29">
        <f>'Exports - Data (Raw)'!R29/'Exports - Data (Raw)'!Q29</f>
        <v>0.49968294229549776</v>
      </c>
      <c r="L29">
        <f>'Exports - Data (Raw)'!T29/'Exports - Data (Raw)'!S29</f>
        <v>0.34649555774925961</v>
      </c>
      <c r="M29" s="4" t="s">
        <v>3</v>
      </c>
      <c r="Q29" s="4" t="s">
        <v>3</v>
      </c>
      <c r="T29" t="s">
        <v>3</v>
      </c>
      <c r="V29" t="s">
        <v>3</v>
      </c>
      <c r="Y29" s="4" t="s">
        <v>3</v>
      </c>
      <c r="AA29" s="4" t="s">
        <v>3</v>
      </c>
      <c r="AC29" s="4" t="s">
        <v>3</v>
      </c>
      <c r="AF29" t="s">
        <v>3</v>
      </c>
    </row>
    <row r="30" spans="1:38" x14ac:dyDescent="0.3">
      <c r="A30" s="40" t="s">
        <v>146</v>
      </c>
      <c r="B30" s="40" t="s">
        <v>131</v>
      </c>
      <c r="E30" t="s">
        <v>5</v>
      </c>
      <c r="G30" t="s">
        <v>5</v>
      </c>
      <c r="M30" s="4" t="s">
        <v>5</v>
      </c>
      <c r="Q30" s="4" t="s">
        <v>5</v>
      </c>
      <c r="T30" t="s">
        <v>5</v>
      </c>
      <c r="U30">
        <f>'Exports - Data (Raw)'!AI30/'Exports - Data (Raw)'!AH30</f>
        <v>0.7994505494505495</v>
      </c>
      <c r="V30" t="s">
        <v>5</v>
      </c>
      <c r="W30">
        <f>'Exports - Data (Raw)'!AL30/'Exports - Data (Raw)'!AK30</f>
        <v>0.66666666666666663</v>
      </c>
      <c r="Y30" s="4" t="s">
        <v>5</v>
      </c>
      <c r="AA30" s="4" t="s">
        <v>5</v>
      </c>
      <c r="AC30" s="4" t="s">
        <v>5</v>
      </c>
      <c r="AF30" t="s">
        <v>5</v>
      </c>
    </row>
    <row r="31" spans="1:38" x14ac:dyDescent="0.3">
      <c r="A31" s="40" t="s">
        <v>147</v>
      </c>
      <c r="B31" s="40" t="s">
        <v>161</v>
      </c>
      <c r="E31" t="s">
        <v>8</v>
      </c>
      <c r="G31" t="s">
        <v>8</v>
      </c>
      <c r="I31">
        <f>'Exports - Data (Raw)'!N31/'Exports - Data (Raw)'!M31</f>
        <v>0.18182053382777802</v>
      </c>
      <c r="J31">
        <f>'Exports - Data (Raw)'!P31/'Exports - Data (Raw)'!O31</f>
        <v>0.18181641337386018</v>
      </c>
      <c r="K31">
        <f>'Exports - Data (Raw)'!R31/'Exports - Data (Raw)'!Q31</f>
        <v>0.18</v>
      </c>
      <c r="L31">
        <f>'Exports - Data (Raw)'!T31/'Exports - Data (Raw)'!S31</f>
        <v>0.15499727637504698</v>
      </c>
      <c r="M31" s="4" t="s">
        <v>8</v>
      </c>
      <c r="Q31" s="2" t="s">
        <v>2</v>
      </c>
      <c r="R31">
        <f>'Exports - Data (Raw)'!AD31/'Exports - Data (Raw)'!AC31</f>
        <v>0.28000000000000003</v>
      </c>
      <c r="S31">
        <f>'Exports - Data (Raw)'!AF31/'Exports - Data (Raw)'!AE31</f>
        <v>0.16</v>
      </c>
      <c r="T31" t="s">
        <v>2</v>
      </c>
      <c r="V31" t="s">
        <v>2</v>
      </c>
      <c r="Y31" s="4" t="s">
        <v>2</v>
      </c>
      <c r="AA31" s="4" t="s">
        <v>2</v>
      </c>
      <c r="AC31" s="4" t="s">
        <v>2</v>
      </c>
      <c r="AF31" t="s">
        <v>2</v>
      </c>
    </row>
    <row r="32" spans="1:38" x14ac:dyDescent="0.3">
      <c r="A32" s="40" t="s">
        <v>148</v>
      </c>
      <c r="B32" s="40" t="s">
        <v>129</v>
      </c>
      <c r="C32" s="4"/>
      <c r="E32" s="4" t="s">
        <v>2</v>
      </c>
      <c r="G32" s="4" t="s">
        <v>2</v>
      </c>
      <c r="M32" s="4" t="s">
        <v>2</v>
      </c>
      <c r="N32">
        <f>'Exports - Data (Raw)'!W32/'Exports - Data (Raw)'!V32</f>
        <v>0.64</v>
      </c>
      <c r="O32">
        <f>'Exports - Data (Raw)'!Y32/'Exports - Data (Raw)'!X32</f>
        <v>0.6</v>
      </c>
      <c r="P32">
        <f>'Exports - Data (Raw)'!AA32/'Exports - Data (Raw)'!Z32</f>
        <v>0.64</v>
      </c>
      <c r="Q32" s="4" t="s">
        <v>2</v>
      </c>
      <c r="R32">
        <f>'Exports - Data (Raw)'!AD32/'Exports - Data (Raw)'!AC32</f>
        <v>0.52</v>
      </c>
      <c r="S32">
        <f>'Exports - Data (Raw)'!AF32/'Exports - Data (Raw)'!AE32</f>
        <v>0.56000000000000005</v>
      </c>
      <c r="T32" s="4" t="s">
        <v>2</v>
      </c>
      <c r="V32" s="4" t="s">
        <v>2</v>
      </c>
      <c r="Y32" s="4" t="s">
        <v>2</v>
      </c>
      <c r="AA32" s="4" t="s">
        <v>2</v>
      </c>
      <c r="AC32" s="4" t="s">
        <v>2</v>
      </c>
      <c r="AF32" s="4" t="s">
        <v>2</v>
      </c>
    </row>
    <row r="33" spans="1:37" x14ac:dyDescent="0.3">
      <c r="A33" s="40" t="s">
        <v>149</v>
      </c>
      <c r="B33" s="40" t="s">
        <v>129</v>
      </c>
      <c r="C33" s="4"/>
      <c r="E33" s="4" t="s">
        <v>2</v>
      </c>
      <c r="G33" s="4" t="s">
        <v>2</v>
      </c>
      <c r="M33" s="4" t="s">
        <v>2</v>
      </c>
      <c r="N33">
        <f>'Exports - Data (Raw)'!W33/'Exports - Data (Raw)'!V33</f>
        <v>0.6</v>
      </c>
      <c r="O33">
        <f>'Exports - Data (Raw)'!Y33/'Exports - Data (Raw)'!X33</f>
        <v>0.6</v>
      </c>
      <c r="P33">
        <f>'Exports - Data (Raw)'!AA33/'Exports - Data (Raw)'!Z33</f>
        <v>0.64</v>
      </c>
      <c r="Q33" s="4" t="s">
        <v>2</v>
      </c>
      <c r="R33">
        <f>'Exports - Data (Raw)'!AD33/'Exports - Data (Raw)'!AC33</f>
        <v>0.68</v>
      </c>
      <c r="S33">
        <f>'Exports - Data (Raw)'!AF33/'Exports - Data (Raw)'!AE33</f>
        <v>0.5</v>
      </c>
      <c r="T33" s="4" t="s">
        <v>2</v>
      </c>
      <c r="V33" s="4" t="s">
        <v>2</v>
      </c>
      <c r="Y33" s="4" t="s">
        <v>2</v>
      </c>
      <c r="AA33" s="4" t="s">
        <v>2</v>
      </c>
      <c r="AC33" s="4" t="s">
        <v>2</v>
      </c>
      <c r="AF33" s="4" t="s">
        <v>2</v>
      </c>
    </row>
    <row r="34" spans="1:37" x14ac:dyDescent="0.3">
      <c r="A34" s="40" t="s">
        <v>150</v>
      </c>
      <c r="B34" s="40" t="s">
        <v>119</v>
      </c>
      <c r="C34" s="4"/>
      <c r="D34">
        <f>'Exports - Data (Raw)'!F34/'Exports - Data (Raw)'!E34</f>
        <v>1.0861244019138756E-2</v>
      </c>
      <c r="E34" s="4" t="s">
        <v>11</v>
      </c>
      <c r="G34" s="4" t="s">
        <v>11</v>
      </c>
      <c r="M34" s="2" t="s">
        <v>9</v>
      </c>
      <c r="O34">
        <f>'Exports - Data (Raw)'!Y34/'Exports - Data (Raw)'!X34</f>
        <v>8.5</v>
      </c>
      <c r="P34">
        <f>'Exports - Data (Raw)'!AA34/'Exports - Data (Raw)'!Z34</f>
        <v>9.454545454545455</v>
      </c>
      <c r="Q34" s="4" t="s">
        <v>9</v>
      </c>
      <c r="R34">
        <f>'Exports - Data (Raw)'!AD34/'Exports - Data (Raw)'!AC34</f>
        <v>16</v>
      </c>
      <c r="S34">
        <f>'Exports - Data (Raw)'!AF34/'Exports - Data (Raw)'!AE34</f>
        <v>14.5</v>
      </c>
      <c r="T34" s="4" t="s">
        <v>9</v>
      </c>
      <c r="V34" s="2" t="s">
        <v>12</v>
      </c>
      <c r="W34">
        <f>'Exports - Data (Raw)'!AL34/'Exports - Data (Raw)'!AK34</f>
        <v>7.9427246522120569E-3</v>
      </c>
      <c r="X34">
        <f>'Exports - Data (Raw)'!AN34/'Exports - Data (Raw)'!AM34</f>
        <v>1.1301733286169085E-2</v>
      </c>
      <c r="Y34" s="4" t="s">
        <v>12</v>
      </c>
      <c r="Z34">
        <f>'Exports - Data (Raw)'!AQ34/'Exports - Data (Raw)'!AP34</f>
        <v>1.6667950031689242E-2</v>
      </c>
      <c r="AA34" s="4" t="s">
        <v>12</v>
      </c>
      <c r="AC34" s="4" t="s">
        <v>12</v>
      </c>
      <c r="AE34">
        <f>'Exports - Data (Raw)'!AY34/'Exports - Data (Raw)'!AX34</f>
        <v>1.8749999999999999E-2</v>
      </c>
      <c r="AF34" s="4" t="s">
        <v>12</v>
      </c>
    </row>
    <row r="35" spans="1:37" x14ac:dyDescent="0.3">
      <c r="A35" s="40" t="s">
        <v>151</v>
      </c>
      <c r="B35" s="40" t="s">
        <v>118</v>
      </c>
      <c r="E35" t="s">
        <v>3</v>
      </c>
      <c r="F35">
        <f>'Exports - Data (Raw)'!I35/'Exports - Data (Raw)'!H35</f>
        <v>3.4375</v>
      </c>
      <c r="G35" t="s">
        <v>3</v>
      </c>
      <c r="H35">
        <f>'Exports - Data (Raw)'!L35/'Exports - Data (Raw)'!K35</f>
        <v>5.4508474576271189</v>
      </c>
      <c r="I35">
        <f>'Exports - Data (Raw)'!N35/'Exports - Data (Raw)'!M35</f>
        <v>4.1139471285323612</v>
      </c>
      <c r="J35">
        <f>'Exports - Data (Raw)'!P35/'Exports - Data (Raw)'!O35</f>
        <v>4.5047021943573666</v>
      </c>
      <c r="K35">
        <f>'Exports - Data (Raw)'!R35/'Exports - Data (Raw)'!Q35</f>
        <v>5.5759999999999996</v>
      </c>
      <c r="M35" s="2" t="s">
        <v>2</v>
      </c>
      <c r="O35">
        <f>'Exports - Data (Raw)'!Y35/'Exports - Data (Raw)'!X35</f>
        <v>1.28</v>
      </c>
      <c r="P35">
        <f>'Exports - Data (Raw)'!AA35/'Exports - Data (Raw)'!Z35</f>
        <v>1.3511111111111112</v>
      </c>
      <c r="Q35" s="4" t="s">
        <v>2</v>
      </c>
      <c r="R35">
        <f>'Exports - Data (Raw)'!AD35/'Exports - Data (Raw)'!AC35</f>
        <v>1.28</v>
      </c>
      <c r="S35">
        <f>'Exports - Data (Raw)'!AF35/'Exports - Data (Raw)'!AE35</f>
        <v>1.3333333333333333</v>
      </c>
      <c r="T35" t="s">
        <v>2</v>
      </c>
      <c r="U35">
        <f>'Exports - Data (Raw)'!AI35/'Exports - Data (Raw)'!AH35</f>
        <v>1.28</v>
      </c>
      <c r="V35" s="4" t="s">
        <v>2</v>
      </c>
      <c r="Y35" s="4" t="s">
        <v>2</v>
      </c>
      <c r="AA35" s="4" t="s">
        <v>2</v>
      </c>
      <c r="AC35" s="4" t="s">
        <v>2</v>
      </c>
      <c r="AF35" t="s">
        <v>2</v>
      </c>
    </row>
    <row r="36" spans="1:37" x14ac:dyDescent="0.3">
      <c r="A36" s="40" t="s">
        <v>152</v>
      </c>
      <c r="B36" s="40" t="s">
        <v>130</v>
      </c>
      <c r="D36">
        <f>'Exports - Data (Raw)'!F36/'Exports - Data (Raw)'!E36</f>
        <v>10.90909090909091</v>
      </c>
      <c r="E36" t="s">
        <v>4</v>
      </c>
      <c r="G36" t="s">
        <v>4</v>
      </c>
      <c r="M36" t="s">
        <v>4</v>
      </c>
      <c r="Q36" s="4" t="s">
        <v>4</v>
      </c>
      <c r="T36" s="2" t="s">
        <v>2</v>
      </c>
      <c r="V36" s="4" t="s">
        <v>2</v>
      </c>
      <c r="W36">
        <f>'Exports - Data (Raw)'!AL36/'Exports - Data (Raw)'!AK36</f>
        <v>1.3937282229965158</v>
      </c>
      <c r="Y36" s="4" t="s">
        <v>2</v>
      </c>
      <c r="AA36" s="4" t="s">
        <v>2</v>
      </c>
      <c r="AC36" s="4" t="s">
        <v>2</v>
      </c>
      <c r="AF36" t="s">
        <v>2</v>
      </c>
    </row>
    <row r="37" spans="1:37" x14ac:dyDescent="0.3">
      <c r="A37" s="40" t="s">
        <v>153</v>
      </c>
      <c r="B37" s="40" t="s">
        <v>131</v>
      </c>
      <c r="E37" t="s">
        <v>5</v>
      </c>
      <c r="G37" t="s">
        <v>5</v>
      </c>
      <c r="M37" t="s">
        <v>5</v>
      </c>
      <c r="Q37" s="4" t="s">
        <v>5</v>
      </c>
      <c r="T37" t="s">
        <v>5</v>
      </c>
      <c r="V37" s="4" t="s">
        <v>5</v>
      </c>
      <c r="X37">
        <f>'Exports - Data (Raw)'!AN37/'Exports - Data (Raw)'!AM37</f>
        <v>30</v>
      </c>
      <c r="Y37" s="4" t="s">
        <v>5</v>
      </c>
      <c r="Z37">
        <f>'Exports - Data (Raw)'!AQ37/'Exports - Data (Raw)'!AP37</f>
        <v>30</v>
      </c>
      <c r="AA37" s="2" t="s">
        <v>2</v>
      </c>
      <c r="AB37">
        <f>'Exports - Data (Raw)'!AT37/'Exports - Data (Raw)'!AS37</f>
        <v>1.7142857142857142</v>
      </c>
      <c r="AC37" s="2" t="s">
        <v>5</v>
      </c>
      <c r="AD37">
        <f>'Exports - Data (Raw)'!AW37/'Exports - Data (Raw)'!AV37</f>
        <v>26.666666666666668</v>
      </c>
      <c r="AF37" t="s">
        <v>5</v>
      </c>
    </row>
    <row r="38" spans="1:37" x14ac:dyDescent="0.3">
      <c r="A38" s="40" t="s">
        <v>154</v>
      </c>
      <c r="B38" s="40" t="s">
        <v>126</v>
      </c>
      <c r="E38" t="s">
        <v>9</v>
      </c>
      <c r="F38">
        <f>'Exports - Data (Raw)'!I38/'Exports - Data (Raw)'!H38</f>
        <v>13.511543134872419</v>
      </c>
      <c r="G38" t="s">
        <v>9</v>
      </c>
      <c r="H38">
        <f>'Exports - Data (Raw)'!L38/'Exports - Data (Raw)'!K38</f>
        <v>4.0903342366756998</v>
      </c>
      <c r="I38">
        <f>'Exports - Data (Raw)'!N38/'Exports - Data (Raw)'!M38</f>
        <v>2.628500823723229</v>
      </c>
      <c r="M38" t="s">
        <v>9</v>
      </c>
      <c r="Q38" s="4" t="s">
        <v>9</v>
      </c>
      <c r="T38" t="s">
        <v>9</v>
      </c>
      <c r="V38" s="4" t="s">
        <v>9</v>
      </c>
      <c r="Y38" s="4" t="s">
        <v>9</v>
      </c>
      <c r="AA38" s="4" t="s">
        <v>9</v>
      </c>
      <c r="AC38" s="4" t="s">
        <v>9</v>
      </c>
      <c r="AF38" t="s">
        <v>9</v>
      </c>
    </row>
    <row r="39" spans="1:37" x14ac:dyDescent="0.3">
      <c r="A39" s="40" t="s">
        <v>192</v>
      </c>
      <c r="B39" s="40" t="s">
        <v>162</v>
      </c>
      <c r="E39" t="s">
        <v>13</v>
      </c>
      <c r="F39">
        <f>'Exports - Data (Raw)'!I39/'Exports - Data (Raw)'!H39</f>
        <v>0.20452500000000001</v>
      </c>
      <c r="G39" t="s">
        <v>13</v>
      </c>
      <c r="M39" t="s">
        <v>13</v>
      </c>
      <c r="Q39" s="4" t="s">
        <v>13</v>
      </c>
      <c r="T39" s="2" t="s">
        <v>8</v>
      </c>
      <c r="V39" s="4" t="s">
        <v>8</v>
      </c>
      <c r="X39">
        <f>'Exports - Data (Raw)'!AN39/'Exports - Data (Raw)'!AM39</f>
        <v>0.1493142857142857</v>
      </c>
      <c r="Y39" s="4" t="s">
        <v>8</v>
      </c>
      <c r="Z39">
        <f>'Exports - Data (Raw)'!AQ39/'Exports - Data (Raw)'!AP39</f>
        <v>0.15</v>
      </c>
      <c r="AA39" s="4" t="s">
        <v>8</v>
      </c>
      <c r="AB39">
        <f>'Exports - Data (Raw)'!AT39/'Exports - Data (Raw)'!AS39</f>
        <v>0.16250000000000001</v>
      </c>
      <c r="AC39" s="4" t="s">
        <v>8</v>
      </c>
      <c r="AD39">
        <f>'Exports - Data (Raw)'!AW39/'Exports - Data (Raw)'!AV39</f>
        <v>0.18333333333333332</v>
      </c>
      <c r="AE39">
        <f>'Exports - Data (Raw)'!AY39/'Exports - Data (Raw)'!AX39</f>
        <v>0.17333333333333334</v>
      </c>
      <c r="AF39" s="4" t="s">
        <v>8</v>
      </c>
      <c r="AH39">
        <f>'Exports - Data (Raw)'!BD39/'Exports - Data (Raw)'!BC39</f>
        <v>0.26666666666666666</v>
      </c>
      <c r="AI39">
        <f>'Exports - Data (Raw)'!BF39/'Exports - Data (Raw)'!BE39</f>
        <v>0.3</v>
      </c>
      <c r="AJ39">
        <f>'Exports - Data (Raw)'!BH39/'Exports - Data (Raw)'!BG39</f>
        <v>0.33555555555555555</v>
      </c>
      <c r="AK39">
        <f>'Exports - Data (Raw)'!BJ39/'Exports - Data (Raw)'!BI39</f>
        <v>0.32500000000000001</v>
      </c>
    </row>
    <row r="40" spans="1:37" x14ac:dyDescent="0.3">
      <c r="A40" s="40" t="s">
        <v>155</v>
      </c>
      <c r="B40" s="40" t="s">
        <v>161</v>
      </c>
      <c r="E40" t="s">
        <v>8</v>
      </c>
      <c r="G40" t="s">
        <v>8</v>
      </c>
      <c r="M40" t="s">
        <v>8</v>
      </c>
      <c r="Q40" s="4" t="s">
        <v>8</v>
      </c>
      <c r="T40" t="s">
        <v>8</v>
      </c>
      <c r="V40" s="4" t="s">
        <v>8</v>
      </c>
      <c r="X40">
        <f>'Exports - Data (Raw)'!AN40/'Exports - Data (Raw)'!AM40</f>
        <v>0.16122496688225668</v>
      </c>
      <c r="Y40" s="4" t="s">
        <v>8</v>
      </c>
      <c r="Z40">
        <f>'Exports - Data (Raw)'!AQ40/'Exports - Data (Raw)'!AP40</f>
        <v>0.15</v>
      </c>
      <c r="AA40" s="4" t="s">
        <v>8</v>
      </c>
      <c r="AB40">
        <f>'Exports - Data (Raw)'!AT40/'Exports - Data (Raw)'!AS40</f>
        <v>0.2</v>
      </c>
      <c r="AC40" s="4" t="s">
        <v>8</v>
      </c>
      <c r="AD40">
        <f>'Exports - Data (Raw)'!AW40/'Exports - Data (Raw)'!AV40</f>
        <v>0.22500000000000001</v>
      </c>
      <c r="AE40">
        <f>'Exports - Data (Raw)'!AY40/'Exports - Data (Raw)'!AX40</f>
        <v>0.25</v>
      </c>
      <c r="AF40" t="s">
        <v>8</v>
      </c>
      <c r="AH40">
        <f>'Exports - Data (Raw)'!BD40/'Exports - Data (Raw)'!BC40</f>
        <v>0.25</v>
      </c>
      <c r="AI40">
        <f>'Exports - Data (Raw)'!BF40/'Exports - Data (Raw)'!BE40</f>
        <v>0.32884615384615384</v>
      </c>
    </row>
    <row r="41" spans="1:37" x14ac:dyDescent="0.3">
      <c r="A41" s="40" t="s">
        <v>193</v>
      </c>
      <c r="B41" s="40" t="s">
        <v>129</v>
      </c>
      <c r="E41" t="s">
        <v>2</v>
      </c>
      <c r="G41" t="s">
        <v>2</v>
      </c>
      <c r="M41" t="s">
        <v>2</v>
      </c>
      <c r="Q41" s="4" t="s">
        <v>2</v>
      </c>
      <c r="T41" t="s">
        <v>2</v>
      </c>
      <c r="V41" s="4" t="s">
        <v>2</v>
      </c>
      <c r="X41">
        <f>'Exports - Data (Raw)'!AN41/'Exports - Data (Raw)'!AM41</f>
        <v>4</v>
      </c>
      <c r="Y41" s="2" t="s">
        <v>5</v>
      </c>
      <c r="Z41">
        <f>'Exports - Data (Raw)'!AQ41/'Exports - Data (Raw)'!AP41</f>
        <v>41.025641025641029</v>
      </c>
      <c r="AA41" s="4" t="s">
        <v>5</v>
      </c>
      <c r="AC41" s="4" t="s">
        <v>5</v>
      </c>
      <c r="AF41" t="s">
        <v>5</v>
      </c>
    </row>
    <row r="42" spans="1:37" x14ac:dyDescent="0.3">
      <c r="A42" s="40" t="s">
        <v>70</v>
      </c>
      <c r="B42" s="40" t="s">
        <v>129</v>
      </c>
      <c r="E42" t="s">
        <v>2</v>
      </c>
      <c r="G42" t="s">
        <v>2</v>
      </c>
      <c r="M42" t="s">
        <v>2</v>
      </c>
      <c r="Q42" s="4" t="s">
        <v>2</v>
      </c>
      <c r="T42" t="s">
        <v>2</v>
      </c>
      <c r="V42" s="4" t="s">
        <v>2</v>
      </c>
      <c r="Y42" s="4" t="s">
        <v>2</v>
      </c>
      <c r="AA42" s="4" t="s">
        <v>2</v>
      </c>
      <c r="AB42">
        <f>'Exports - Data (Raw)'!AT42/'Exports - Data (Raw)'!AS42</f>
        <v>4.0740740740740744</v>
      </c>
      <c r="AC42" s="4" t="s">
        <v>2</v>
      </c>
      <c r="AF42" s="2" t="s">
        <v>5</v>
      </c>
      <c r="AH42">
        <f>'Exports - Data (Raw)'!BD42/'Exports - Data (Raw)'!BC42</f>
        <v>85.714285714285708</v>
      </c>
      <c r="AI42">
        <f>'Exports - Data (Raw)'!BF42/'Exports - Data (Raw)'!BE42</f>
        <v>81.25</v>
      </c>
      <c r="AJ42">
        <f>'Exports - Data (Raw)'!BH42/'Exports - Data (Raw)'!BG42</f>
        <v>81.25</v>
      </c>
      <c r="AK42">
        <f>'Exports - Data (Raw)'!BJ42/'Exports - Data (Raw)'!BI42</f>
        <v>150</v>
      </c>
    </row>
    <row r="43" spans="1:37" x14ac:dyDescent="0.3">
      <c r="A43" s="40" t="s">
        <v>156</v>
      </c>
      <c r="B43" s="40" t="s">
        <v>129</v>
      </c>
      <c r="E43" t="s">
        <v>2</v>
      </c>
      <c r="G43" t="s">
        <v>2</v>
      </c>
      <c r="M43" t="s">
        <v>2</v>
      </c>
      <c r="Q43" s="4" t="s">
        <v>2</v>
      </c>
      <c r="T43" t="s">
        <v>2</v>
      </c>
      <c r="V43" s="4" t="s">
        <v>2</v>
      </c>
      <c r="X43">
        <f>'Exports - Data (Raw)'!AN43/'Exports - Data (Raw)'!AM43</f>
        <v>3.5714285714285716</v>
      </c>
      <c r="Y43" s="4" t="s">
        <v>2</v>
      </c>
      <c r="Z43">
        <f>'Exports - Data (Raw)'!AQ43/'Exports - Data (Raw)'!AP43</f>
        <v>3.6</v>
      </c>
      <c r="AA43" s="4" t="s">
        <v>2</v>
      </c>
      <c r="AC43" s="4" t="s">
        <v>2</v>
      </c>
      <c r="AF43" t="s">
        <v>2</v>
      </c>
    </row>
    <row r="44" spans="1:37" x14ac:dyDescent="0.3">
      <c r="A44" s="40" t="s">
        <v>157</v>
      </c>
      <c r="B44" s="40" t="s">
        <v>131</v>
      </c>
      <c r="E44" t="s">
        <v>5</v>
      </c>
      <c r="G44" t="s">
        <v>5</v>
      </c>
      <c r="M44" t="s">
        <v>5</v>
      </c>
      <c r="Q44" s="4" t="s">
        <v>5</v>
      </c>
      <c r="T44" t="s">
        <v>5</v>
      </c>
      <c r="V44" s="4" t="s">
        <v>5</v>
      </c>
      <c r="Y44" s="4" t="s">
        <v>5</v>
      </c>
      <c r="AA44" s="4" t="s">
        <v>5</v>
      </c>
      <c r="AC44" s="4" t="s">
        <v>5</v>
      </c>
      <c r="AD44">
        <f>'Exports - Data (Raw)'!AW44/'Exports - Data (Raw)'!AV44</f>
        <v>61.111111111111114</v>
      </c>
      <c r="AF44" t="s">
        <v>5</v>
      </c>
    </row>
    <row r="45" spans="1:37" x14ac:dyDescent="0.3">
      <c r="A45" s="40" t="s">
        <v>158</v>
      </c>
      <c r="B45" s="40" t="s">
        <v>162</v>
      </c>
      <c r="D45">
        <f>'Exports - Data (Raw)'!F45/'Exports - Data (Raw)'!E45</f>
        <v>0.53454545454545455</v>
      </c>
      <c r="E45" t="s">
        <v>13</v>
      </c>
      <c r="G45" t="s">
        <v>13</v>
      </c>
      <c r="M45" t="s">
        <v>13</v>
      </c>
      <c r="Q45" s="4" t="s">
        <v>13</v>
      </c>
      <c r="T45" t="s">
        <v>13</v>
      </c>
      <c r="V45" s="4" t="s">
        <v>13</v>
      </c>
      <c r="Y45" s="4" t="s">
        <v>13</v>
      </c>
      <c r="AA45" s="4" t="s">
        <v>13</v>
      </c>
      <c r="AC45" s="4" t="s">
        <v>13</v>
      </c>
      <c r="AF45" t="s">
        <v>13</v>
      </c>
    </row>
    <row r="46" spans="1:37" x14ac:dyDescent="0.3">
      <c r="A46" s="40" t="s">
        <v>159</v>
      </c>
      <c r="B46" s="40" t="s">
        <v>130</v>
      </c>
      <c r="D46">
        <f>'Exports - Data (Raw)'!F46/'Exports - Data (Raw)'!E46</f>
        <v>12.727272727272727</v>
      </c>
      <c r="E46" t="s">
        <v>4</v>
      </c>
      <c r="G46" t="s">
        <v>4</v>
      </c>
      <c r="M46" t="s">
        <v>4</v>
      </c>
      <c r="Q46" s="4" t="s">
        <v>4</v>
      </c>
      <c r="T46" t="s">
        <v>4</v>
      </c>
      <c r="V46" s="4" t="s">
        <v>4</v>
      </c>
      <c r="Y46" s="4" t="s">
        <v>4</v>
      </c>
      <c r="AA46" s="4" t="s">
        <v>4</v>
      </c>
      <c r="AC46" s="4" t="s">
        <v>4</v>
      </c>
      <c r="AF46" t="s">
        <v>4</v>
      </c>
    </row>
    <row r="47" spans="1:37" x14ac:dyDescent="0.3">
      <c r="A47" s="40" t="s">
        <v>116</v>
      </c>
      <c r="B47" s="40" t="s">
        <v>116</v>
      </c>
    </row>
    <row r="48" spans="1:37" x14ac:dyDescent="0.3">
      <c r="A48" s="42"/>
      <c r="B48" s="40" t="s">
        <v>116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X167"/>
  <sheetViews>
    <sheetView zoomScale="70" zoomScaleNormal="70" workbookViewId="0">
      <pane xSplit="3" ySplit="2" topLeftCell="D38" activePane="bottomRight" state="frozen"/>
      <selection activeCell="B45" sqref="B45"/>
      <selection pane="topRight" activeCell="B45" sqref="B45"/>
      <selection pane="bottomLeft" activeCell="B45" sqref="B45"/>
      <selection pane="bottomRight" activeCell="F124" sqref="F124"/>
    </sheetView>
  </sheetViews>
  <sheetFormatPr defaultRowHeight="14.4" x14ac:dyDescent="0.3"/>
  <cols>
    <col min="1" max="1" width="28" style="46" customWidth="1"/>
    <col min="2" max="2" width="16.5546875" customWidth="1"/>
    <col min="3" max="3" width="11.44140625" style="39" customWidth="1"/>
    <col min="4" max="5" width="16.77734375" bestFit="1" customWidth="1"/>
    <col min="6" max="6" width="9.21875" customWidth="1"/>
    <col min="7" max="7" width="16.77734375" bestFit="1" customWidth="1"/>
    <col min="8" max="8" width="9.21875" customWidth="1"/>
    <col min="9" max="13" width="16.77734375" bestFit="1" customWidth="1"/>
    <col min="14" max="14" width="9" customWidth="1"/>
    <col min="15" max="15" width="16.77734375" bestFit="1" customWidth="1"/>
    <col min="16" max="16" width="16.44140625" bestFit="1" customWidth="1"/>
    <col min="17" max="17" width="16.77734375" bestFit="1" customWidth="1"/>
    <col min="18" max="18" width="9" customWidth="1"/>
    <col min="19" max="20" width="16.77734375" bestFit="1" customWidth="1"/>
    <col min="21" max="21" width="9" customWidth="1"/>
    <col min="22" max="22" width="16.77734375" bestFit="1" customWidth="1"/>
    <col min="23" max="23" width="9" customWidth="1"/>
    <col min="24" max="24" width="16.44140625" bestFit="1" customWidth="1"/>
    <col min="25" max="25" width="16.77734375" bestFit="1" customWidth="1"/>
    <col min="26" max="26" width="9" customWidth="1"/>
    <col min="27" max="27" width="16.77734375" bestFit="1" customWidth="1"/>
    <col min="28" max="28" width="9" customWidth="1"/>
    <col min="29" max="29" width="16.77734375" bestFit="1" customWidth="1"/>
    <col min="30" max="30" width="9" customWidth="1"/>
    <col min="31" max="32" width="16.77734375" bestFit="1" customWidth="1"/>
    <col min="33" max="33" width="9" customWidth="1"/>
    <col min="34" max="36" width="16.77734375" bestFit="1" customWidth="1"/>
    <col min="37" max="37" width="16.44140625" bestFit="1" customWidth="1"/>
    <col min="38" max="38" width="16" bestFit="1" customWidth="1"/>
  </cols>
  <sheetData>
    <row r="1" spans="1:38" s="43" customFormat="1" x14ac:dyDescent="0.3">
      <c r="A1" s="73"/>
      <c r="D1" s="43" t="s">
        <v>195</v>
      </c>
      <c r="E1" s="43" t="s">
        <v>196</v>
      </c>
      <c r="G1" s="43" t="s">
        <v>197</v>
      </c>
      <c r="I1" s="43" t="s">
        <v>198</v>
      </c>
      <c r="J1" s="43" t="s">
        <v>199</v>
      </c>
      <c r="K1" s="43" t="s">
        <v>200</v>
      </c>
      <c r="L1" s="43" t="s">
        <v>201</v>
      </c>
      <c r="M1" s="43" t="s">
        <v>202</v>
      </c>
      <c r="O1" s="43" t="s">
        <v>203</v>
      </c>
      <c r="P1" s="43" t="s">
        <v>204</v>
      </c>
      <c r="Q1" s="43" t="s">
        <v>205</v>
      </c>
      <c r="S1" s="43" t="s">
        <v>206</v>
      </c>
      <c r="T1" s="43" t="s">
        <v>207</v>
      </c>
      <c r="V1" s="43" t="s">
        <v>208</v>
      </c>
      <c r="X1" s="43" t="s">
        <v>209</v>
      </c>
      <c r="Y1" s="43" t="s">
        <v>210</v>
      </c>
      <c r="AA1" s="43" t="s">
        <v>211</v>
      </c>
      <c r="AC1" s="43" t="s">
        <v>212</v>
      </c>
      <c r="AE1" s="43" t="s">
        <v>213</v>
      </c>
      <c r="AF1" s="43" t="s">
        <v>214</v>
      </c>
      <c r="AH1" s="43" t="s">
        <v>215</v>
      </c>
      <c r="AI1" s="43" t="s">
        <v>216</v>
      </c>
      <c r="AJ1" s="43" t="s">
        <v>217</v>
      </c>
      <c r="AK1" s="43" t="s">
        <v>218</v>
      </c>
      <c r="AL1" s="43" t="s">
        <v>219</v>
      </c>
    </row>
    <row r="2" spans="1:38" s="43" customFormat="1" x14ac:dyDescent="0.3">
      <c r="A2" s="73" t="s">
        <v>194</v>
      </c>
      <c r="B2" s="43" t="s">
        <v>223</v>
      </c>
      <c r="C2" s="43" t="s">
        <v>0</v>
      </c>
      <c r="D2" s="43" t="s">
        <v>222</v>
      </c>
      <c r="E2" s="43" t="s">
        <v>222</v>
      </c>
      <c r="F2" s="43" t="s">
        <v>0</v>
      </c>
      <c r="G2" s="43" t="s">
        <v>222</v>
      </c>
      <c r="H2" s="43" t="s">
        <v>0</v>
      </c>
      <c r="I2" s="43" t="s">
        <v>222</v>
      </c>
      <c r="J2" s="43" t="s">
        <v>222</v>
      </c>
      <c r="K2" s="43" t="s">
        <v>222</v>
      </c>
      <c r="L2" s="43" t="s">
        <v>222</v>
      </c>
      <c r="M2" s="43" t="s">
        <v>222</v>
      </c>
      <c r="N2" s="43" t="s">
        <v>0</v>
      </c>
      <c r="O2" s="43" t="s">
        <v>222</v>
      </c>
      <c r="P2" s="43" t="s">
        <v>222</v>
      </c>
      <c r="Q2" s="43" t="s">
        <v>222</v>
      </c>
      <c r="R2" s="43" t="s">
        <v>0</v>
      </c>
      <c r="S2" s="43" t="s">
        <v>222</v>
      </c>
      <c r="T2" s="43" t="s">
        <v>222</v>
      </c>
      <c r="U2" s="43" t="s">
        <v>0</v>
      </c>
      <c r="V2" s="43" t="s">
        <v>222</v>
      </c>
      <c r="W2" s="43" t="s">
        <v>0</v>
      </c>
      <c r="X2" s="43" t="s">
        <v>222</v>
      </c>
      <c r="Y2" s="43" t="s">
        <v>222</v>
      </c>
      <c r="Z2" s="43" t="s">
        <v>0</v>
      </c>
      <c r="AA2" s="43" t="s">
        <v>222</v>
      </c>
      <c r="AB2" s="43" t="s">
        <v>0</v>
      </c>
      <c r="AC2" s="43" t="s">
        <v>222</v>
      </c>
      <c r="AD2" s="43" t="s">
        <v>0</v>
      </c>
      <c r="AE2" s="43" t="s">
        <v>222</v>
      </c>
      <c r="AF2" s="43" t="s">
        <v>222</v>
      </c>
      <c r="AG2" s="43" t="s">
        <v>0</v>
      </c>
      <c r="AH2" s="43" t="s">
        <v>222</v>
      </c>
      <c r="AI2" s="43" t="s">
        <v>222</v>
      </c>
      <c r="AJ2" s="43" t="s">
        <v>222</v>
      </c>
      <c r="AK2" s="43" t="s">
        <v>222</v>
      </c>
      <c r="AL2" s="43" t="s">
        <v>222</v>
      </c>
    </row>
    <row r="3" spans="1:38" x14ac:dyDescent="0.3">
      <c r="A3" s="4" t="s">
        <v>69</v>
      </c>
      <c r="B3" s="4" t="s">
        <v>236</v>
      </c>
      <c r="C3" s="40" t="s">
        <v>131</v>
      </c>
      <c r="F3" t="s">
        <v>5</v>
      </c>
      <c r="G3">
        <f>'Exports - Data (Adjusted) - 1'!F3/280*2240</f>
        <v>7.5720067214162308</v>
      </c>
      <c r="H3" s="4" t="s">
        <v>5</v>
      </c>
      <c r="I3">
        <f>'Exports - Data (Adjusted) - 1'!H3/280*2240</f>
        <v>10.914065788682423</v>
      </c>
      <c r="J3">
        <f>'Exports - Data (Adjusted) - 1'!I3/280*2240</f>
        <v>8.795908879590888</v>
      </c>
      <c r="K3">
        <f>'Exports - Data (Adjusted) - 1'!J3/280*2240</f>
        <v>8.7999012989759766</v>
      </c>
      <c r="L3">
        <f>'Exports - Data (Adjusted) - 1'!K3/280*2240</f>
        <v>8.182845071662241</v>
      </c>
      <c r="M3">
        <f>'Exports - Data (Adjusted) - 1'!L3/280*2240</f>
        <v>6.4749016186185653</v>
      </c>
      <c r="N3" s="4" t="s">
        <v>5</v>
      </c>
      <c r="O3">
        <f>'Exports - Data (Adjusted) - 1'!N3*20</f>
        <v>7.5958776820408858</v>
      </c>
      <c r="P3">
        <f>'Exports - Data (Adjusted) - 1'!O3*20</f>
        <v>8.6335999999999995</v>
      </c>
      <c r="Q3">
        <f>'Exports - Data (Adjusted) - 1'!P3*20</f>
        <v>7.4666666666666668</v>
      </c>
      <c r="R3" t="s">
        <v>5</v>
      </c>
      <c r="S3">
        <f>'Exports - Data (Adjusted) - 1'!R3*20</f>
        <v>5.76</v>
      </c>
      <c r="T3">
        <f>'Exports - Data (Adjusted) - 1'!S3*20</f>
        <v>4.8</v>
      </c>
      <c r="W3" s="4"/>
      <c r="Z3" s="4"/>
      <c r="AB3" s="4"/>
      <c r="AD3" s="4"/>
    </row>
    <row r="4" spans="1:38" x14ac:dyDescent="0.3">
      <c r="A4" s="74" t="s">
        <v>179</v>
      </c>
      <c r="B4" s="4" t="s">
        <v>231</v>
      </c>
      <c r="C4" s="40" t="s">
        <v>118</v>
      </c>
      <c r="F4" t="s">
        <v>3</v>
      </c>
      <c r="G4">
        <f>'Exports - Data (Raw)'!I4/'Exports - Data (Raw)'!H4</f>
        <v>24.644549763033176</v>
      </c>
      <c r="H4" s="4" t="s">
        <v>3</v>
      </c>
      <c r="I4">
        <f>'Exports - Data (Raw)'!L4/'Exports - Data (Raw)'!K4</f>
        <v>36.411678115799802</v>
      </c>
      <c r="J4">
        <f>'Exports - Data (Raw)'!N4/'Exports - Data (Raw)'!M4</f>
        <v>25.105945462673223</v>
      </c>
      <c r="K4">
        <f>'Exports - Data (Raw)'!P4/'Exports - Data (Raw)'!O4</f>
        <v>50</v>
      </c>
      <c r="L4">
        <f>'Exports - Data (Raw)'!R4/'Exports - Data (Raw)'!Q4</f>
        <v>50.018644067796608</v>
      </c>
      <c r="M4">
        <f>'Exports - Data (Raw)'!T4/'Exports - Data (Raw)'!S4</f>
        <v>47.142857142857146</v>
      </c>
      <c r="N4" s="4" t="s">
        <v>3</v>
      </c>
      <c r="R4" s="4" t="s">
        <v>3</v>
      </c>
      <c r="U4" t="s">
        <v>3</v>
      </c>
      <c r="W4" s="4" t="s">
        <v>3</v>
      </c>
      <c r="Z4" s="4" t="s">
        <v>3</v>
      </c>
      <c r="AB4" s="4" t="s">
        <v>3</v>
      </c>
      <c r="AD4" s="4" t="s">
        <v>3</v>
      </c>
      <c r="AG4" t="s">
        <v>3</v>
      </c>
    </row>
    <row r="5" spans="1:38" x14ac:dyDescent="0.3">
      <c r="A5" s="4" t="s">
        <v>180</v>
      </c>
      <c r="B5" s="4" t="s">
        <v>236</v>
      </c>
      <c r="C5" s="40" t="s">
        <v>131</v>
      </c>
      <c r="F5" t="s">
        <v>5</v>
      </c>
      <c r="G5">
        <f>'Exports - Data (Adjusted) - 1'!F5/336*2240</f>
        <v>56.354273944387231</v>
      </c>
      <c r="H5" t="s">
        <v>5</v>
      </c>
      <c r="I5">
        <f>'Exports - Data (Adjusted) - 1'!H5/336*2240</f>
        <v>46.650793650793645</v>
      </c>
      <c r="J5">
        <f>'Exports - Data (Adjusted) - 1'!I5/336*2240</f>
        <v>34.476987447698747</v>
      </c>
      <c r="K5">
        <f>'Exports - Data (Adjusted) - 1'!J5/336*2240</f>
        <v>40.585585585585591</v>
      </c>
      <c r="L5">
        <f>'Exports - Data (Adjusted) - 1'!K5/336*2240</f>
        <v>34.764150943396231</v>
      </c>
      <c r="M5">
        <f>'Exports - Data (Adjusted) - 1'!L5/336*2240</f>
        <v>35.964912280701746</v>
      </c>
      <c r="N5" s="4"/>
      <c r="R5" s="4"/>
      <c r="W5" s="4"/>
      <c r="Z5" s="4"/>
      <c r="AB5" s="4"/>
      <c r="AD5" s="4"/>
    </row>
    <row r="6" spans="1:38" x14ac:dyDescent="0.3">
      <c r="A6" s="4" t="s">
        <v>181</v>
      </c>
      <c r="B6" s="4" t="s">
        <v>236</v>
      </c>
      <c r="C6" s="40" t="s">
        <v>131</v>
      </c>
      <c r="F6" t="s">
        <v>5</v>
      </c>
      <c r="G6">
        <f>'Exports - Data (Adjusted) - 1'!F6/336*2240</f>
        <v>40.249128051818637</v>
      </c>
      <c r="H6" t="s">
        <v>5</v>
      </c>
      <c r="I6">
        <f>'Exports - Data (Adjusted) - 1'!H6/336*2240</f>
        <v>43.633366303989455</v>
      </c>
      <c r="J6">
        <f>'Exports - Data (Adjusted) - 1'!I6/336*2240</f>
        <v>59.054758800521512</v>
      </c>
      <c r="K6">
        <f>'Exports - Data (Adjusted) - 1'!J6/336*2240</f>
        <v>30.408967315909219</v>
      </c>
      <c r="L6">
        <f>'Exports - Data (Adjusted) - 1'!K6/336*2240</f>
        <v>33.478369592398096</v>
      </c>
      <c r="M6">
        <f>'Exports - Data (Adjusted) - 1'!L6/336*2240</f>
        <v>23.586206896551722</v>
      </c>
      <c r="N6" s="4"/>
      <c r="R6" s="4"/>
      <c r="W6" s="4"/>
      <c r="Z6" s="4"/>
      <c r="AB6" s="4"/>
      <c r="AD6" s="4"/>
    </row>
    <row r="7" spans="1:38" x14ac:dyDescent="0.3">
      <c r="A7" s="4" t="s">
        <v>182</v>
      </c>
      <c r="B7" s="4" t="s">
        <v>236</v>
      </c>
      <c r="C7" s="40" t="s">
        <v>131</v>
      </c>
      <c r="D7" s="4"/>
      <c r="E7">
        <f>'Exports - Data (Adjusted) - 1'!D7/5*20</f>
        <v>58.181818181818187</v>
      </c>
      <c r="F7" s="4"/>
      <c r="H7" s="4"/>
      <c r="N7" s="4" t="s">
        <v>5</v>
      </c>
      <c r="O7">
        <f>'Exports - Data (Adjusted) - 1'!N7/336*2240</f>
        <v>51.862068965517238</v>
      </c>
      <c r="P7">
        <f>'Exports - Data (Adjusted) - 1'!O7/336*2240</f>
        <v>41.29032258064516</v>
      </c>
      <c r="Q7">
        <f>'Exports - Data (Adjusted) - 1'!P7/336*2240</f>
        <v>42.209523809523816</v>
      </c>
      <c r="R7" s="4" t="s">
        <v>5</v>
      </c>
      <c r="S7">
        <f>'Exports - Data (Raw)'!AD7/'Exports - Data (Raw)'!AC7</f>
        <v>30.715151515151515</v>
      </c>
      <c r="T7">
        <f>'Exports - Data (Raw)'!AF7/'Exports - Data (Raw)'!AE7</f>
        <v>25.716049382716051</v>
      </c>
      <c r="U7" s="4" t="s">
        <v>5</v>
      </c>
      <c r="V7">
        <f>'Exports - Data (Raw)'!AI7/'Exports - Data (Raw)'!AH7</f>
        <v>50</v>
      </c>
      <c r="W7" s="4" t="s">
        <v>5</v>
      </c>
      <c r="X7">
        <f>'Exports - Data (Raw)'!AL7/'Exports - Data (Raw)'!AK7</f>
        <v>26.666666666666668</v>
      </c>
      <c r="Y7">
        <f>'Exports - Data (Raw)'!AN7/'Exports - Data (Raw)'!AM7</f>
        <v>23.469387755102041</v>
      </c>
      <c r="Z7" s="4"/>
      <c r="AB7" s="4"/>
      <c r="AD7" s="4"/>
      <c r="AG7" s="4"/>
    </row>
    <row r="8" spans="1:38" x14ac:dyDescent="0.3">
      <c r="A8" s="4" t="s">
        <v>182</v>
      </c>
      <c r="B8" s="4" t="s">
        <v>236</v>
      </c>
      <c r="C8" s="40" t="s">
        <v>131</v>
      </c>
      <c r="D8" s="4"/>
      <c r="F8" s="4"/>
      <c r="H8" s="4"/>
      <c r="N8" s="4"/>
      <c r="R8" s="4"/>
      <c r="U8" s="4"/>
      <c r="W8" s="4"/>
      <c r="Z8" s="4" t="s">
        <v>5</v>
      </c>
      <c r="AA8">
        <f>'Exports - Data (Raw)'!AQ8/'Exports - Data (Raw)'!AP8</f>
        <v>34.307692307692307</v>
      </c>
      <c r="AB8" s="4" t="s">
        <v>5</v>
      </c>
      <c r="AC8">
        <f>'Exports - Data (Adjusted) - 1'!AB8*20</f>
        <v>40</v>
      </c>
      <c r="AD8" s="4" t="s">
        <v>5</v>
      </c>
      <c r="AE8">
        <f>'Exports - Data (Raw)'!AW8/'Exports - Data (Raw)'!AV8</f>
        <v>42.2</v>
      </c>
      <c r="AF8">
        <f>'Exports - Data (Raw)'!AY8/'Exports - Data (Raw)'!AX8</f>
        <v>50</v>
      </c>
      <c r="AG8" s="4" t="s">
        <v>5</v>
      </c>
      <c r="AI8">
        <f>'Exports - Data (Raw)'!BD8/'Exports - Data (Raw)'!BC8</f>
        <v>50</v>
      </c>
      <c r="AJ8">
        <f>'Exports - Data (Raw)'!BF8/'Exports - Data (Raw)'!BE8</f>
        <v>48</v>
      </c>
      <c r="AK8">
        <f>'Exports - Data (Raw)'!BH8/'Exports - Data (Raw)'!BG8</f>
        <v>48</v>
      </c>
      <c r="AL8">
        <f>'Exports - Data (Raw)'!BJ8/'Exports - Data (Raw)'!BI8</f>
        <v>60.952380952380949</v>
      </c>
    </row>
    <row r="9" spans="1:38" x14ac:dyDescent="0.3">
      <c r="A9" s="74" t="s">
        <v>183</v>
      </c>
      <c r="B9" s="4" t="s">
        <v>226</v>
      </c>
      <c r="C9" s="40" t="s">
        <v>129</v>
      </c>
      <c r="D9" s="4"/>
      <c r="F9" s="4"/>
      <c r="H9" s="4"/>
      <c r="N9" s="4" t="s">
        <v>2</v>
      </c>
      <c r="O9">
        <f>'Exports - Data (Raw)'!W9/'Exports - Data (Raw)'!V9*D83</f>
        <v>27.819176470588236</v>
      </c>
      <c r="P9">
        <f>'Exports - Data (Raw)'!Y9/'Exports - Data (Raw)'!X9*D83</f>
        <v>26.488888888888891</v>
      </c>
      <c r="R9" s="4" t="s">
        <v>2</v>
      </c>
      <c r="U9" s="4" t="s">
        <v>2</v>
      </c>
      <c r="W9" s="4" t="s">
        <v>2</v>
      </c>
      <c r="Y9">
        <f>'Exports - Data (Raw)'!AN9/'Exports - Data (Raw)'!AM9</f>
        <v>96.871972318339104</v>
      </c>
      <c r="Z9" s="4" t="s">
        <v>2</v>
      </c>
      <c r="AB9" s="4" t="s">
        <v>2</v>
      </c>
      <c r="AD9" s="4" t="s">
        <v>2</v>
      </c>
      <c r="AG9" s="4" t="s">
        <v>2</v>
      </c>
    </row>
    <row r="10" spans="1:38" x14ac:dyDescent="0.3">
      <c r="A10" s="74" t="s">
        <v>184</v>
      </c>
      <c r="B10" s="4" t="s">
        <v>226</v>
      </c>
      <c r="C10" s="40" t="s">
        <v>129</v>
      </c>
      <c r="D10" s="4"/>
      <c r="E10">
        <f>'Exports - Data (Raw)'!F10/'Exports - Data (Raw)'!E10/F105</f>
        <v>47.332832456799402</v>
      </c>
      <c r="F10" s="4" t="s">
        <v>3</v>
      </c>
      <c r="H10" s="4" t="s">
        <v>3</v>
      </c>
      <c r="N10" s="4" t="s">
        <v>3</v>
      </c>
      <c r="R10" s="4" t="s">
        <v>3</v>
      </c>
      <c r="U10" s="4" t="s">
        <v>3</v>
      </c>
      <c r="W10" s="4" t="s">
        <v>3</v>
      </c>
      <c r="Z10" s="4" t="s">
        <v>3</v>
      </c>
      <c r="AB10" s="4" t="s">
        <v>3</v>
      </c>
      <c r="AD10" s="4" t="s">
        <v>3</v>
      </c>
      <c r="AG10" s="4" t="s">
        <v>3</v>
      </c>
    </row>
    <row r="11" spans="1:38" x14ac:dyDescent="0.3">
      <c r="A11" s="74" t="s">
        <v>185</v>
      </c>
      <c r="B11" s="4" t="s">
        <v>233</v>
      </c>
      <c r="C11" s="40" t="s">
        <v>122</v>
      </c>
      <c r="D11" s="4"/>
      <c r="E11">
        <f>'Exports - Data (Raw)'!F11/'Exports - Data (Raw)'!E11</f>
        <v>5.4545454545454543E-2</v>
      </c>
      <c r="F11" s="4" t="s">
        <v>6</v>
      </c>
      <c r="H11" s="4" t="s">
        <v>6</v>
      </c>
      <c r="N11" s="4" t="s">
        <v>6</v>
      </c>
      <c r="R11" s="4" t="s">
        <v>6</v>
      </c>
      <c r="U11" s="4" t="s">
        <v>6</v>
      </c>
      <c r="W11" s="4" t="s">
        <v>6</v>
      </c>
      <c r="Z11" s="4" t="s">
        <v>6</v>
      </c>
      <c r="AB11" s="4" t="s">
        <v>6</v>
      </c>
      <c r="AD11" s="4" t="s">
        <v>6</v>
      </c>
      <c r="AG11" s="4" t="s">
        <v>6</v>
      </c>
    </row>
    <row r="12" spans="1:38" x14ac:dyDescent="0.3">
      <c r="A12" s="74" t="s">
        <v>186</v>
      </c>
      <c r="B12" s="4" t="s">
        <v>233</v>
      </c>
      <c r="C12" s="40" t="s">
        <v>122</v>
      </c>
      <c r="D12" s="4"/>
      <c r="E12">
        <f>'Exports - Data (Raw)'!F12/'Exports - Data (Raw)'!E12</f>
        <v>6.3636363636363644E-2</v>
      </c>
      <c r="F12" s="4" t="s">
        <v>6</v>
      </c>
      <c r="H12" s="4" t="s">
        <v>6</v>
      </c>
      <c r="N12" s="4" t="s">
        <v>6</v>
      </c>
      <c r="R12" s="4" t="s">
        <v>6</v>
      </c>
      <c r="U12" s="4" t="s">
        <v>6</v>
      </c>
      <c r="W12" s="4" t="s">
        <v>6</v>
      </c>
      <c r="Z12" s="4" t="s">
        <v>6</v>
      </c>
      <c r="AB12" s="4" t="s">
        <v>6</v>
      </c>
      <c r="AD12" s="4" t="s">
        <v>6</v>
      </c>
      <c r="AG12" s="4" t="s">
        <v>6</v>
      </c>
    </row>
    <row r="13" spans="1:38" x14ac:dyDescent="0.3">
      <c r="A13" s="74" t="s">
        <v>136</v>
      </c>
      <c r="B13" s="4" t="s">
        <v>233</v>
      </c>
      <c r="C13" s="40" t="s">
        <v>122</v>
      </c>
      <c r="D13" s="4"/>
      <c r="E13">
        <f>'Exports - Data (Raw)'!F13/'Exports - Data (Raw)'!E13</f>
        <v>7.2727272727272724E-2</v>
      </c>
      <c r="F13" s="4" t="s">
        <v>6</v>
      </c>
      <c r="H13" s="4" t="s">
        <v>6</v>
      </c>
      <c r="N13" s="4" t="s">
        <v>6</v>
      </c>
      <c r="R13" s="4" t="s">
        <v>6</v>
      </c>
      <c r="U13" s="4" t="s">
        <v>6</v>
      </c>
      <c r="W13" s="4" t="s">
        <v>6</v>
      </c>
      <c r="Z13" s="4" t="s">
        <v>6</v>
      </c>
      <c r="AB13" s="4" t="s">
        <v>6</v>
      </c>
      <c r="AD13" s="4" t="s">
        <v>6</v>
      </c>
      <c r="AG13" s="4" t="s">
        <v>6</v>
      </c>
    </row>
    <row r="14" spans="1:38" x14ac:dyDescent="0.3">
      <c r="A14" s="74" t="s">
        <v>187</v>
      </c>
      <c r="B14" s="4" t="s">
        <v>233</v>
      </c>
      <c r="C14" s="40" t="s">
        <v>122</v>
      </c>
      <c r="D14" s="4"/>
      <c r="F14" s="4" t="s">
        <v>6</v>
      </c>
      <c r="H14" s="4" t="s">
        <v>6</v>
      </c>
      <c r="N14" s="4" t="s">
        <v>6</v>
      </c>
      <c r="R14" s="4" t="s">
        <v>6</v>
      </c>
      <c r="U14" s="4" t="s">
        <v>6</v>
      </c>
      <c r="W14" s="4" t="s">
        <v>6</v>
      </c>
      <c r="Y14">
        <f>'Exports - Data (Raw)'!AN14/'Exports - Data (Raw)'!AM14</f>
        <v>0.1</v>
      </c>
      <c r="Z14" s="4" t="s">
        <v>6</v>
      </c>
      <c r="AA14">
        <f>'Exports - Data (Raw)'!AQ14/'Exports - Data (Raw)'!AP14</f>
        <v>0.10596546310832025</v>
      </c>
      <c r="AB14" s="4" t="s">
        <v>6</v>
      </c>
      <c r="AD14" s="4" t="s">
        <v>6</v>
      </c>
      <c r="AG14" s="4" t="s">
        <v>6</v>
      </c>
    </row>
    <row r="15" spans="1:38" x14ac:dyDescent="0.3">
      <c r="A15" s="74" t="s">
        <v>137</v>
      </c>
      <c r="B15" s="4" t="s">
        <v>236</v>
      </c>
      <c r="C15" s="40" t="s">
        <v>131</v>
      </c>
      <c r="D15" s="4"/>
      <c r="F15" s="4" t="s">
        <v>5</v>
      </c>
      <c r="H15" s="4" t="s">
        <v>5</v>
      </c>
      <c r="N15" s="4" t="s">
        <v>5</v>
      </c>
      <c r="R15" s="4" t="s">
        <v>5</v>
      </c>
      <c r="U15" s="4" t="s">
        <v>5</v>
      </c>
      <c r="W15" s="4" t="s">
        <v>5</v>
      </c>
      <c r="X15">
        <f>'Exports - Data (Raw)'!AL15/'Exports - Data (Raw)'!AK15</f>
        <v>8.3333333333333339</v>
      </c>
      <c r="Y15">
        <f>'Exports - Data (Raw)'!AN15/'Exports - Data (Raw)'!AM15</f>
        <v>8.3333333333333339</v>
      </c>
      <c r="Z15" s="4" t="s">
        <v>5</v>
      </c>
      <c r="AA15">
        <f>'Exports - Data (Raw)'!AQ15/'Exports - Data (Raw)'!AP15</f>
        <v>7.7777777777777777</v>
      </c>
      <c r="AB15" s="4" t="s">
        <v>5</v>
      </c>
      <c r="AC15">
        <f>'Exports - Data (Raw)'!AT15/'Exports - Data (Raw)'!AS15</f>
        <v>12.76595744680851</v>
      </c>
      <c r="AD15" s="4" t="s">
        <v>5</v>
      </c>
      <c r="AE15">
        <f>'Exports - Data (Raw)'!AW15/'Exports - Data (Raw)'!AV15</f>
        <v>10</v>
      </c>
      <c r="AF15">
        <f>'Exports - Data (Raw)'!AY15/'Exports - Data (Raw)'!AX15</f>
        <v>15</v>
      </c>
      <c r="AG15" s="4" t="s">
        <v>5</v>
      </c>
      <c r="AK15">
        <f>'Exports - Data (Raw)'!BH15/'Exports - Data (Raw)'!BG15</f>
        <v>6</v>
      </c>
      <c r="AL15">
        <f>'Exports - Data (Raw)'!BJ15/'Exports - Data (Raw)'!BI15</f>
        <v>5</v>
      </c>
    </row>
    <row r="16" spans="1:38" x14ac:dyDescent="0.3">
      <c r="A16" s="4" t="s">
        <v>61</v>
      </c>
      <c r="B16" s="4" t="s">
        <v>236</v>
      </c>
      <c r="C16" s="40" t="s">
        <v>131</v>
      </c>
      <c r="D16" s="4"/>
      <c r="F16" s="4"/>
      <c r="H16" s="4"/>
      <c r="N16" s="4"/>
      <c r="R16" s="4" t="s">
        <v>5</v>
      </c>
      <c r="U16" s="4" t="s">
        <v>5</v>
      </c>
      <c r="V16">
        <f>'Exports - Data (Adjusted) - 1'!U16/400*2240</f>
        <v>6.2326099053978847</v>
      </c>
      <c r="W16" s="4" t="s">
        <v>5</v>
      </c>
      <c r="X16">
        <f>'Exports - Data (Adjusted) - 1'!W16/50*2240</f>
        <v>2.3347533536193374</v>
      </c>
      <c r="Y16">
        <f>'Exports - Data (Adjusted) - 1'!X16/50*2240</f>
        <v>2.9380197171024429</v>
      </c>
      <c r="Z16" t="s">
        <v>5</v>
      </c>
      <c r="AA16">
        <f>'Exports - Data (Adjusted) - 1'!Z16/50*2240</f>
        <v>4.4800000000000004</v>
      </c>
      <c r="AB16" t="s">
        <v>5</v>
      </c>
      <c r="AC16">
        <f>'Exports - Data (Adjusted) - 1'!AB16/50*2240</f>
        <v>3.6518787878787879</v>
      </c>
      <c r="AD16" t="s">
        <v>5</v>
      </c>
      <c r="AE16">
        <f>'Exports - Data (Adjusted) - 1'!AD16/50*2240</f>
        <v>4.1353846153846154</v>
      </c>
      <c r="AF16">
        <f>'Exports - Data (Adjusted) - 1'!AE16/50*2240</f>
        <v>4.2560000000000002</v>
      </c>
      <c r="AG16" t="s">
        <v>5</v>
      </c>
      <c r="AI16">
        <f>'Exports - Data (Adjusted) - 1'!AH16/50*2240</f>
        <v>6.4</v>
      </c>
      <c r="AJ16">
        <f>'Exports - Data (Adjusted) - 1'!AI16/50*2240</f>
        <v>6.72</v>
      </c>
      <c r="AK16">
        <f>'Exports - Data (Adjusted) - 1'!AJ16/50*2240</f>
        <v>6.8292682926829267</v>
      </c>
      <c r="AL16">
        <f>'Exports - Data (Adjusted) - 1'!AK16/50*2240</f>
        <v>6.8029629629629627</v>
      </c>
    </row>
    <row r="17" spans="1:39" x14ac:dyDescent="0.3">
      <c r="A17" s="4" t="s">
        <v>188</v>
      </c>
      <c r="B17" s="4" t="s">
        <v>236</v>
      </c>
      <c r="C17" s="40" t="s">
        <v>131</v>
      </c>
      <c r="E17">
        <f>'Exports - Data (Adjusted) - 1'!D17/5*20</f>
        <v>12.72727272727273</v>
      </c>
      <c r="F17" s="4"/>
      <c r="G17" s="4"/>
      <c r="H17" s="4"/>
      <c r="I17" s="4"/>
      <c r="J17" s="4"/>
      <c r="K17" s="4"/>
      <c r="L17" s="4"/>
      <c r="M17" s="4"/>
      <c r="N17" s="4" t="s">
        <v>5</v>
      </c>
      <c r="O17">
        <f>'Exports - Data (Adjusted) - 1'!N17*20</f>
        <v>14.356681569796324</v>
      </c>
      <c r="P17">
        <f>'Exports - Data (Adjusted) - 1'!O17*20</f>
        <v>11.636363636363637</v>
      </c>
      <c r="Q17">
        <f>'Exports - Data (Adjusted) - 1'!P17*20</f>
        <v>8</v>
      </c>
      <c r="R17" s="4" t="s">
        <v>5</v>
      </c>
      <c r="S17">
        <f>'Exports - Data (Adjusted) - 1'!R17*20</f>
        <v>8.8888888888888893</v>
      </c>
      <c r="T17">
        <f>'Exports - Data (Adjusted) - 1'!S17*20</f>
        <v>6.4</v>
      </c>
      <c r="U17" s="4" t="s">
        <v>5</v>
      </c>
      <c r="V17">
        <f>'Exports - Data (Adjusted) - 1'!U17*20</f>
        <v>16</v>
      </c>
      <c r="W17" s="4" t="s">
        <v>5</v>
      </c>
      <c r="X17">
        <f>'Exports - Data (Raw)'!AL17/'Exports - Data (Raw)'!AK17</f>
        <v>19.512195121951219</v>
      </c>
      <c r="Y17">
        <f>'Exports - Data (Raw)'!AN17/'Exports - Data (Raw)'!AM17</f>
        <v>6.0804455445544559</v>
      </c>
      <c r="Z17" s="4" t="s">
        <v>5</v>
      </c>
      <c r="AA17">
        <f>'Exports - Data (Raw)'!AQ17/'Exports - Data (Raw)'!AP17</f>
        <v>6</v>
      </c>
      <c r="AB17" s="4" t="s">
        <v>5</v>
      </c>
      <c r="AC17">
        <f>'Exports - Data (Raw)'!AT17/'Exports - Data (Raw)'!AS17</f>
        <v>10</v>
      </c>
      <c r="AD17" s="4" t="s">
        <v>5</v>
      </c>
      <c r="AE17">
        <f>'Exports - Data (Raw)'!AW17/'Exports - Data (Raw)'!AV17</f>
        <v>16</v>
      </c>
      <c r="AF17">
        <f>'Exports - Data (Raw)'!AY17/'Exports - Data (Raw)'!AX17</f>
        <v>10</v>
      </c>
      <c r="AG17" s="4" t="s">
        <v>5</v>
      </c>
      <c r="AH17">
        <f>'Exports - Data (Raw)'!BB17/'Exports - Data (Raw)'!BA17</f>
        <v>10</v>
      </c>
      <c r="AI17">
        <f>'Exports - Data (Raw)'!BD17/'Exports - Data (Raw)'!BC17</f>
        <v>14.705882352941176</v>
      </c>
      <c r="AJ17">
        <f>'Exports - Data (Raw)'!BF17/'Exports - Data (Raw)'!BE17</f>
        <v>15</v>
      </c>
      <c r="AK17">
        <f>'Exports - Data (Raw)'!BH17/'Exports - Data (Raw)'!BG17</f>
        <v>16.666666666666668</v>
      </c>
      <c r="AL17">
        <f>'Exports - Data (Raw)'!BJ17/'Exports - Data (Raw)'!BI17</f>
        <v>11.666666666666666</v>
      </c>
      <c r="AM17" s="4"/>
    </row>
    <row r="18" spans="1:39" x14ac:dyDescent="0.3">
      <c r="A18" s="4" t="s">
        <v>189</v>
      </c>
      <c r="B18" s="4" t="s">
        <v>236</v>
      </c>
      <c r="C18" s="40" t="s">
        <v>131</v>
      </c>
      <c r="E18">
        <f>'Exports - Data (Adjusted) - 1'!D18/5*20</f>
        <v>21.81818181818182</v>
      </c>
      <c r="F18" s="4"/>
      <c r="G18" s="4"/>
      <c r="H18" s="4"/>
      <c r="I18" s="4"/>
      <c r="J18" s="4"/>
      <c r="K18" s="4"/>
      <c r="L18" s="4"/>
      <c r="M18" s="4"/>
      <c r="N18" s="4" t="s">
        <v>5</v>
      </c>
      <c r="O18">
        <f>'Exports - Data (Adjusted) - 1'!N18*20</f>
        <v>40.64</v>
      </c>
      <c r="P18">
        <f>'Exports - Data (Adjusted) - 1'!O18*20</f>
        <v>43.2</v>
      </c>
      <c r="Q18">
        <f>'Exports - Data (Adjusted) - 1'!P18*20</f>
        <v>21.805555555555554</v>
      </c>
      <c r="R18" s="4" t="s">
        <v>5</v>
      </c>
      <c r="S18">
        <f>'Exports - Data (Adjusted) - 1'!R18*20</f>
        <v>29.6</v>
      </c>
      <c r="T18">
        <f>'Exports - Data (Adjusted) - 1'!S18*20</f>
        <v>12.8</v>
      </c>
      <c r="U18" s="4" t="s">
        <v>5</v>
      </c>
      <c r="V18">
        <f>'Exports - Data (Adjusted) - 1'!U18*20</f>
        <v>325.79185520361989</v>
      </c>
      <c r="W18" s="4" t="s">
        <v>5</v>
      </c>
      <c r="X18">
        <f>'Exports - Data (Raw)'!AL18/'Exports - Data (Raw)'!AK18</f>
        <v>38.834951456310677</v>
      </c>
      <c r="Y18">
        <f>'Exports - Data (Raw)'!AN18/'Exports - Data (Raw)'!AM18</f>
        <v>33.42</v>
      </c>
      <c r="Z18" s="4" t="s">
        <v>5</v>
      </c>
      <c r="AA18">
        <f>'Exports - Data (Raw)'!AQ18/'Exports - Data (Raw)'!AP18</f>
        <v>26</v>
      </c>
      <c r="AB18" s="4" t="s">
        <v>5</v>
      </c>
      <c r="AC18">
        <f>'Exports - Data (Raw)'!AT18/'Exports - Data (Raw)'!AS18</f>
        <v>20</v>
      </c>
      <c r="AD18" s="4" t="s">
        <v>5</v>
      </c>
      <c r="AE18">
        <f>'Exports - Data (Raw)'!AW18/'Exports - Data (Raw)'!AV18</f>
        <v>25</v>
      </c>
      <c r="AF18">
        <f>'Exports - Data (Raw)'!AY18/'Exports - Data (Raw)'!AX18</f>
        <v>25</v>
      </c>
      <c r="AG18" s="4" t="s">
        <v>5</v>
      </c>
      <c r="AH18">
        <f>'Exports - Data (Raw)'!BB18/'Exports - Data (Raw)'!BA18</f>
        <v>26.666666666666668</v>
      </c>
      <c r="AI18">
        <f>'Exports - Data (Raw)'!BD18/'Exports - Data (Raw)'!BC18</f>
        <v>28.571428571428573</v>
      </c>
      <c r="AJ18">
        <f>'Exports - Data (Raw)'!BF18/'Exports - Data (Raw)'!BE18</f>
        <v>28.571428571428573</v>
      </c>
      <c r="AK18">
        <f>'Exports - Data (Raw)'!BH18/'Exports - Data (Raw)'!BG18</f>
        <v>33.913043478260867</v>
      </c>
      <c r="AL18">
        <f>'Exports - Data (Raw)'!BJ18/'Exports - Data (Raw)'!BI18</f>
        <v>27.5</v>
      </c>
      <c r="AM18" s="4"/>
    </row>
    <row r="19" spans="1:39" x14ac:dyDescent="0.3">
      <c r="A19" s="4" t="s">
        <v>138</v>
      </c>
      <c r="B19" s="4" t="s">
        <v>236</v>
      </c>
      <c r="C19" s="40" t="s">
        <v>131</v>
      </c>
      <c r="D19">
        <f>'Exports - Data (Adjusted) - 1'!C19/5*20</f>
        <v>40</v>
      </c>
      <c r="E19">
        <f>'Exports - Data (Adjusted) - 1'!D19/5*20</f>
        <v>18.181818181818183</v>
      </c>
      <c r="F19" s="4"/>
      <c r="G19" s="4"/>
      <c r="H19" s="4"/>
      <c r="I19" s="4"/>
      <c r="J19" s="4"/>
      <c r="K19" s="4"/>
      <c r="L19" s="4"/>
      <c r="M19" s="4"/>
      <c r="N19" s="4" t="s">
        <v>5</v>
      </c>
      <c r="O19">
        <f>'Exports - Data (Adjusted) - 1'!N19*20</f>
        <v>15.786666666666667</v>
      </c>
      <c r="P19">
        <f>'Exports - Data (Adjusted) - 1'!O19*20</f>
        <v>16</v>
      </c>
      <c r="Q19">
        <f>'Exports - Data (Adjusted) - 1'!P19*20</f>
        <v>11.52</v>
      </c>
      <c r="R19" s="4" t="s">
        <v>5</v>
      </c>
      <c r="S19">
        <f>'Exports - Data (Adjusted) - 1'!R19*20</f>
        <v>7.14</v>
      </c>
      <c r="T19">
        <f>'Exports - Data (Adjusted) - 1'!S19*20</f>
        <v>5.333333333333333</v>
      </c>
      <c r="U19" s="4" t="s">
        <v>5</v>
      </c>
      <c r="W19" s="4" t="s">
        <v>5</v>
      </c>
      <c r="X19">
        <f>'Exports - Data (Raw)'!AL19/'Exports - Data (Raw)'!AK19</f>
        <v>11.152416356877323</v>
      </c>
      <c r="Y19">
        <f>'Exports - Data (Raw)'!AN19/'Exports - Data (Raw)'!AM19</f>
        <v>11.160142348754448</v>
      </c>
      <c r="Z19" s="4" t="s">
        <v>5</v>
      </c>
      <c r="AA19">
        <f>'Exports - Data (Raw)'!AQ19/'Exports - Data (Raw)'!AP19</f>
        <v>11.428571428571429</v>
      </c>
      <c r="AB19" s="4" t="s">
        <v>5</v>
      </c>
      <c r="AC19">
        <f>'Exports - Data (Raw)'!AT19/'Exports - Data (Raw)'!AS19</f>
        <v>3.75</v>
      </c>
      <c r="AD19" s="4" t="s">
        <v>5</v>
      </c>
      <c r="AE19">
        <f>'Exports - Data (Raw)'!AW19/'Exports - Data (Raw)'!AV19</f>
        <v>14.166666666666666</v>
      </c>
      <c r="AF19">
        <f>'Exports - Data (Raw)'!AY19/'Exports - Data (Raw)'!AX19</f>
        <v>20</v>
      </c>
      <c r="AG19" s="4" t="s">
        <v>5</v>
      </c>
      <c r="AI19">
        <f>'Exports - Data (Raw)'!BD19/'Exports - Data (Raw)'!BC19</f>
        <v>26.315789473684209</v>
      </c>
      <c r="AJ19">
        <f>'Exports - Data (Raw)'!BF19/'Exports - Data (Raw)'!BE19</f>
        <v>22.857142857142858</v>
      </c>
      <c r="AK19">
        <f>'Exports - Data (Raw)'!BH19/'Exports - Data (Raw)'!BG19</f>
        <v>24</v>
      </c>
      <c r="AL19">
        <f>'Exports - Data (Raw)'!BJ19/'Exports - Data (Raw)'!BI19</f>
        <v>21.818181818181817</v>
      </c>
      <c r="AM19" s="4"/>
    </row>
    <row r="20" spans="1:39" x14ac:dyDescent="0.3">
      <c r="A20" s="4" t="s">
        <v>190</v>
      </c>
      <c r="B20" s="4" t="s">
        <v>236</v>
      </c>
      <c r="C20" s="40" t="s">
        <v>131</v>
      </c>
      <c r="E20">
        <f>'Exports - Data (Adjusted) - 1'!D20/5*20</f>
        <v>363.63636363636363</v>
      </c>
      <c r="F20" s="4"/>
      <c r="G20" s="4"/>
      <c r="H20" s="4" t="s">
        <v>5</v>
      </c>
      <c r="I20" s="4">
        <f>'Exports - Data (Adjusted) - 1'!H20/175*2240</f>
        <v>20.904928716904276</v>
      </c>
      <c r="J20" s="4">
        <f>'Exports - Data (Adjusted) - 1'!I20/175*2240</f>
        <v>42.953771876885938</v>
      </c>
      <c r="K20" s="4">
        <f>'Exports - Data (Adjusted) - 1'!J20/175*2240</f>
        <v>45.875098814229247</v>
      </c>
      <c r="L20" s="4">
        <f>'Exports - Data (Adjusted) - 1'!K20/175*2240</f>
        <v>37.867455121436109</v>
      </c>
      <c r="M20" s="4">
        <f>'Exports - Data (Adjusted) - 1'!L20/175*2240</f>
        <v>22.100786484124672</v>
      </c>
      <c r="N20" s="4" t="s">
        <v>5</v>
      </c>
      <c r="O20">
        <f>'Exports - Data (Adjusted) - 1'!N20*20</f>
        <v>20.143769968051117</v>
      </c>
      <c r="P20">
        <f>'Exports - Data (Adjusted) - 1'!O20*20</f>
        <v>26.971428571428572</v>
      </c>
      <c r="Q20">
        <f>'Exports - Data (Adjusted) - 1'!P20*20</f>
        <v>16</v>
      </c>
      <c r="R20" s="4" t="s">
        <v>5</v>
      </c>
      <c r="S20">
        <f>'Exports - Data (Adjusted) - 1'!R20*20</f>
        <v>22.758620689655174</v>
      </c>
      <c r="T20">
        <f>'Exports - Data (Adjusted) - 1'!S20*20</f>
        <v>18.666666666666668</v>
      </c>
      <c r="U20" s="4" t="s">
        <v>5</v>
      </c>
      <c r="V20">
        <f>'Exports - Data (Adjusted) - 1'!U20*20</f>
        <v>30.4</v>
      </c>
      <c r="W20" s="4" t="s">
        <v>5</v>
      </c>
      <c r="X20">
        <f>'Exports - Data (Raw)'!AL20/'Exports - Data (Raw)'!AK20</f>
        <v>18.120045300113251</v>
      </c>
      <c r="Y20">
        <f>'Exports - Data (Raw)'!AN20/'Exports - Data (Raw)'!AM20</f>
        <v>25.576470588235296</v>
      </c>
      <c r="Z20" s="4" t="s">
        <v>5</v>
      </c>
      <c r="AA20">
        <f>'Exports - Data (Raw)'!AQ20/'Exports - Data (Raw)'!AP20</f>
        <v>23.333333333333332</v>
      </c>
      <c r="AB20" s="4" t="s">
        <v>5</v>
      </c>
      <c r="AC20">
        <f>'Exports - Data (Raw)'!AT20/'Exports - Data (Raw)'!AS20</f>
        <v>22</v>
      </c>
      <c r="AD20" s="4" t="s">
        <v>5</v>
      </c>
      <c r="AE20">
        <f>'Exports - Data (Raw)'!AW20/'Exports - Data (Raw)'!AV20</f>
        <v>30</v>
      </c>
      <c r="AF20">
        <f>'Exports - Data (Raw)'!AY20/'Exports - Data (Raw)'!AX20</f>
        <v>35</v>
      </c>
      <c r="AG20" s="4" t="s">
        <v>5</v>
      </c>
      <c r="AH20">
        <f>'Exports - Data (Raw)'!BB20/'Exports - Data (Raw)'!BA20</f>
        <v>33.75</v>
      </c>
      <c r="AI20">
        <f>'Exports - Data (Raw)'!BD20/'Exports - Data (Raw)'!BC20</f>
        <v>33.333333333333336</v>
      </c>
      <c r="AJ20">
        <f>'Exports - Data (Raw)'!BF20/'Exports - Data (Raw)'!BE20</f>
        <v>30</v>
      </c>
      <c r="AK20">
        <f>'Exports - Data (Raw)'!BH20/'Exports - Data (Raw)'!BG20</f>
        <v>24</v>
      </c>
      <c r="AL20">
        <f>'Exports - Data (Raw)'!BJ20/'Exports - Data (Raw)'!BI20</f>
        <v>23.333333333333332</v>
      </c>
      <c r="AM20" s="4"/>
    </row>
    <row r="21" spans="1:39" x14ac:dyDescent="0.3">
      <c r="A21" s="74" t="s">
        <v>139</v>
      </c>
      <c r="B21" s="4" t="s">
        <v>231</v>
      </c>
      <c r="C21" s="40" t="s">
        <v>118</v>
      </c>
      <c r="D21" s="4"/>
      <c r="F21" s="4" t="s">
        <v>3</v>
      </c>
      <c r="H21" s="4" t="s">
        <v>3</v>
      </c>
      <c r="N21" s="4" t="s">
        <v>3</v>
      </c>
      <c r="O21">
        <f>'Exports - Data (Raw)'!W21/'Exports - Data (Raw)'!V21</f>
        <v>11.4</v>
      </c>
      <c r="P21">
        <f>'Exports - Data (Raw)'!Y21/'Exports - Data (Raw)'!X21</f>
        <v>11.428571428571429</v>
      </c>
      <c r="Q21">
        <f>'Exports - Data (Raw)'!AA21/'Exports - Data (Raw)'!Z21</f>
        <v>11.25</v>
      </c>
      <c r="R21" s="4" t="s">
        <v>3</v>
      </c>
      <c r="U21" s="4" t="s">
        <v>3</v>
      </c>
      <c r="W21" s="4" t="s">
        <v>3</v>
      </c>
      <c r="Z21" s="4" t="s">
        <v>3</v>
      </c>
      <c r="AB21" s="4" t="s">
        <v>3</v>
      </c>
      <c r="AD21" s="4" t="s">
        <v>3</v>
      </c>
      <c r="AG21" s="4" t="s">
        <v>3</v>
      </c>
    </row>
    <row r="22" spans="1:39" x14ac:dyDescent="0.3">
      <c r="A22" s="74" t="s">
        <v>140</v>
      </c>
      <c r="B22" s="4" t="s">
        <v>235</v>
      </c>
      <c r="C22" s="40" t="s">
        <v>126</v>
      </c>
      <c r="D22" s="4"/>
      <c r="F22" s="4" t="s">
        <v>9</v>
      </c>
      <c r="H22" s="4" t="s">
        <v>9</v>
      </c>
      <c r="J22">
        <f>'Exports - Data (Raw)'!N22/'Exports - Data (Raw)'!M22</f>
        <v>15.209016393442623</v>
      </c>
      <c r="K22">
        <f>'Exports - Data (Raw)'!P22/'Exports - Data (Raw)'!O22</f>
        <v>18.039344262295081</v>
      </c>
      <c r="L22">
        <f>'Exports - Data (Raw)'!R22/'Exports - Data (Raw)'!Q22</f>
        <v>16.243010752688171</v>
      </c>
      <c r="N22" s="4" t="s">
        <v>9</v>
      </c>
      <c r="O22">
        <f>'Exports - Data (Raw)'!W22/'Exports - Data (Raw)'!V22</f>
        <v>30.416666666666668</v>
      </c>
      <c r="P22">
        <f>'Exports - Data (Raw)'!Y22/'Exports - Data (Raw)'!X22</f>
        <v>29.866666666666667</v>
      </c>
      <c r="Q22">
        <f>'Exports - Data (Raw)'!AA22/'Exports - Data (Raw)'!Z22</f>
        <v>27.659574468085108</v>
      </c>
      <c r="R22" s="4" t="s">
        <v>9</v>
      </c>
      <c r="U22" s="4" t="s">
        <v>9</v>
      </c>
      <c r="W22" s="4" t="s">
        <v>9</v>
      </c>
      <c r="Z22" s="4" t="s">
        <v>9</v>
      </c>
      <c r="AB22" s="4" t="s">
        <v>9</v>
      </c>
      <c r="AD22" s="4" t="s">
        <v>9</v>
      </c>
      <c r="AG22" s="4" t="s">
        <v>9</v>
      </c>
    </row>
    <row r="23" spans="1:39" x14ac:dyDescent="0.3">
      <c r="A23" s="74" t="s">
        <v>141</v>
      </c>
      <c r="B23" s="4" t="s">
        <v>239</v>
      </c>
      <c r="C23" s="40" t="s">
        <v>130</v>
      </c>
      <c r="E23">
        <f>'Exports - Data (Raw)'!F23/'Exports - Data (Raw)'!E23</f>
        <v>9.0909090909090899</v>
      </c>
      <c r="F23" s="2" t="s">
        <v>9</v>
      </c>
      <c r="G23">
        <f>'Exports - Data (Raw)'!I23/'Exports - Data (Raw)'!H23</f>
        <v>2.4736842105263159</v>
      </c>
      <c r="H23" s="2" t="s">
        <v>1</v>
      </c>
      <c r="I23">
        <f>'Exports - Data (Raw)'!L23/'Exports - Data (Raw)'!K23</f>
        <v>2.7482758620689656</v>
      </c>
      <c r="J23">
        <f>'Exports - Data (Raw)'!N23/'Exports - Data (Raw)'!M23</f>
        <v>1.5609220636663008</v>
      </c>
      <c r="K23">
        <f>'Exports - Data (Raw)'!P23/'Exports - Data (Raw)'!O23</f>
        <v>2.6040061633281972</v>
      </c>
      <c r="L23">
        <f>'Exports - Data (Raw)'!R23/'Exports - Data (Raw)'!Q23</f>
        <v>0.35879218472468916</v>
      </c>
      <c r="M23">
        <f>'Exports - Data (Raw)'!T23/'Exports - Data (Raw)'!S23</f>
        <v>0.61777535441657583</v>
      </c>
      <c r="N23" s="4" t="s">
        <v>1</v>
      </c>
      <c r="R23" s="4" t="s">
        <v>1</v>
      </c>
      <c r="U23" t="s">
        <v>1</v>
      </c>
      <c r="W23" t="s">
        <v>1</v>
      </c>
      <c r="Z23" s="4" t="s">
        <v>1</v>
      </c>
      <c r="AB23" s="4" t="s">
        <v>1</v>
      </c>
      <c r="AD23" s="4" t="s">
        <v>1</v>
      </c>
      <c r="AG23" t="s">
        <v>1</v>
      </c>
    </row>
    <row r="24" spans="1:39" x14ac:dyDescent="0.3">
      <c r="A24" s="74" t="s">
        <v>142</v>
      </c>
      <c r="B24" s="4" t="s">
        <v>235</v>
      </c>
      <c r="C24" s="40" t="s">
        <v>126</v>
      </c>
      <c r="F24" t="s">
        <v>9</v>
      </c>
      <c r="G24">
        <f>'Exports - Data (Raw)'!I24/'Exports - Data (Raw)'!H24</f>
        <v>0.60552268244575935</v>
      </c>
      <c r="H24" t="s">
        <v>9</v>
      </c>
      <c r="I24">
        <f>'Exports - Data (Raw)'!L24/'Exports - Data (Raw)'!K24</f>
        <v>1.8002232142857142</v>
      </c>
      <c r="J24">
        <f>'Exports - Data (Raw)'!N24/'Exports - Data (Raw)'!M24</f>
        <v>2.078846153846154</v>
      </c>
      <c r="K24">
        <f>'Exports - Data (Raw)'!P24/'Exports - Data (Raw)'!O24</f>
        <v>1.7861163227016885</v>
      </c>
      <c r="L24">
        <f>'Exports - Data (Raw)'!R24/'Exports - Data (Raw)'!Q24</f>
        <v>1.2013487475915221</v>
      </c>
      <c r="M24">
        <f>'Exports - Data (Raw)'!T24/'Exports - Data (Raw)'!S24</f>
        <v>0.71474820143884887</v>
      </c>
      <c r="N24" s="4" t="s">
        <v>9</v>
      </c>
      <c r="R24" s="4" t="s">
        <v>9</v>
      </c>
      <c r="U24" t="s">
        <v>5</v>
      </c>
      <c r="V24">
        <f>'Exports - Data (Raw)'!AI24/'Exports - Data (Raw)'!AH24*D59</f>
        <v>16.8</v>
      </c>
      <c r="W24" s="4" t="s">
        <v>5</v>
      </c>
      <c r="X24">
        <f>'Exports - Data (Raw)'!AL24/'Exports - Data (Raw)'!AK24</f>
        <v>18.126888217522659</v>
      </c>
      <c r="Y24">
        <f>'Exports - Data (Raw)'!AN24/'Exports - Data (Raw)'!AM24</f>
        <v>13.548387096774194</v>
      </c>
      <c r="Z24" s="4" t="s">
        <v>5</v>
      </c>
      <c r="AA24">
        <f>'Exports - Data (Raw)'!AQ24/'Exports - Data (Raw)'!AP24</f>
        <v>12.859375</v>
      </c>
      <c r="AB24" s="4" t="s">
        <v>5</v>
      </c>
      <c r="AC24">
        <f>'Exports - Data (Raw)'!AT24/'Exports - Data (Raw)'!AS24*D59</f>
        <v>12.121212121212121</v>
      </c>
      <c r="AD24" s="4" t="s">
        <v>5</v>
      </c>
      <c r="AE24">
        <f>'Exports - Data (Raw)'!AW24/'Exports - Data (Raw)'!AV24</f>
        <v>12</v>
      </c>
      <c r="AF24">
        <f>'Exports - Data (Raw)'!AY24/'Exports - Data (Raw)'!AX24</f>
        <v>12</v>
      </c>
      <c r="AG24" s="4" t="s">
        <v>5</v>
      </c>
      <c r="AI24">
        <f>'Exports - Data (Raw)'!BD24/'Exports - Data (Raw)'!BC24</f>
        <v>13.157894736842104</v>
      </c>
      <c r="AJ24">
        <f>'Exports - Data (Raw)'!BF24/'Exports - Data (Raw)'!BE24</f>
        <v>15.789473684210526</v>
      </c>
      <c r="AK24">
        <f>'Exports - Data (Raw)'!BH24/'Exports - Data (Raw)'!BG24</f>
        <v>15.789473684210526</v>
      </c>
      <c r="AL24">
        <f>'Exports - Data (Raw)'!BJ24/'Exports - Data (Raw)'!BI24</f>
        <v>17.142857142857142</v>
      </c>
    </row>
    <row r="25" spans="1:39" x14ac:dyDescent="0.3">
      <c r="A25" s="74" t="s">
        <v>143</v>
      </c>
      <c r="B25" s="4" t="s">
        <v>236</v>
      </c>
      <c r="C25" s="40" t="s">
        <v>131</v>
      </c>
      <c r="F25" t="s">
        <v>9</v>
      </c>
      <c r="G25">
        <f>'Exports - Data (Raw)'!I25/'Exports - Data (Raw)'!H25</f>
        <v>2.5391791044776117</v>
      </c>
      <c r="H25" s="2" t="s">
        <v>1</v>
      </c>
      <c r="I25">
        <f>'Exports - Data (Raw)'!L25/'Exports - Data (Raw)'!K25</f>
        <v>5.1487603305785123</v>
      </c>
      <c r="J25">
        <f>'Exports - Data (Raw)'!N25/'Exports - Data (Raw)'!M25</f>
        <v>3.822878228782288</v>
      </c>
      <c r="K25">
        <f>'Exports - Data (Raw)'!P25/'Exports - Data (Raw)'!O25</f>
        <v>4.0804020100502516</v>
      </c>
      <c r="L25">
        <f>'Exports - Data (Raw)'!R25/'Exports - Data (Raw)'!Q25</f>
        <v>2.6302895322939865</v>
      </c>
      <c r="N25" s="4" t="s">
        <v>1</v>
      </c>
      <c r="R25" s="4" t="s">
        <v>1</v>
      </c>
      <c r="U25" s="4" t="s">
        <v>5</v>
      </c>
      <c r="W25" s="4" t="s">
        <v>5</v>
      </c>
      <c r="X25">
        <f>'Exports - Data (Raw)'!AL25/'Exports - Data (Raw)'!AK25*D59</f>
        <v>2.1025641025641026</v>
      </c>
      <c r="Y25">
        <f>'Exports - Data (Raw)'!AN25/'Exports - Data (Raw)'!AM25*D59</f>
        <v>17.857142857142858</v>
      </c>
      <c r="Z25" s="4" t="s">
        <v>5</v>
      </c>
      <c r="AA25">
        <f>'Exports - Data (Raw)'!AQ25/'Exports - Data (Raw)'!AP25*D59</f>
        <v>32</v>
      </c>
      <c r="AB25" s="4" t="s">
        <v>5</v>
      </c>
      <c r="AC25">
        <f>'Exports - Data (Raw)'!AT25/'Exports - Data (Raw)'!AS25*D59</f>
        <v>31</v>
      </c>
      <c r="AD25" s="4" t="s">
        <v>5</v>
      </c>
      <c r="AE25">
        <f>'Exports - Data (Raw)'!AW25/'Exports - Data (Raw)'!AV25</f>
        <v>31.818181818181817</v>
      </c>
      <c r="AF25">
        <f>'Exports - Data (Raw)'!AY25/'Exports - Data (Raw)'!AX25</f>
        <v>20</v>
      </c>
      <c r="AG25" s="4" t="s">
        <v>5</v>
      </c>
      <c r="AI25">
        <f>'Exports - Data (Raw)'!BD25/'Exports - Data (Raw)'!BC25</f>
        <v>50</v>
      </c>
      <c r="AJ25">
        <f>'Exports - Data (Raw)'!BF25/'Exports - Data (Raw)'!BE25</f>
        <v>50</v>
      </c>
      <c r="AK25">
        <f>'Exports - Data (Raw)'!BH25/'Exports - Data (Raw)'!BG25</f>
        <v>50</v>
      </c>
      <c r="AL25">
        <f>'Exports - Data (Raw)'!BJ25/'Exports - Data (Raw)'!BI25</f>
        <v>50</v>
      </c>
    </row>
    <row r="26" spans="1:39" x14ac:dyDescent="0.3">
      <c r="A26" s="74" t="s">
        <v>191</v>
      </c>
      <c r="B26" s="4" t="s">
        <v>225</v>
      </c>
      <c r="C26" s="40" t="s">
        <v>133</v>
      </c>
      <c r="F26" t="s">
        <v>10</v>
      </c>
      <c r="H26" t="s">
        <v>10</v>
      </c>
      <c r="N26" s="4" t="s">
        <v>10</v>
      </c>
      <c r="R26" s="4" t="s">
        <v>10</v>
      </c>
      <c r="U26" t="s">
        <v>10</v>
      </c>
      <c r="V26">
        <f>'Exports - Data (Raw)'!AI26/'Exports - Data (Raw)'!AH26</f>
        <v>0.08</v>
      </c>
      <c r="W26" s="4" t="s">
        <v>10</v>
      </c>
      <c r="Z26" s="4" t="s">
        <v>10</v>
      </c>
      <c r="AB26" s="4" t="s">
        <v>10</v>
      </c>
      <c r="AD26" s="4" t="s">
        <v>10</v>
      </c>
      <c r="AG26" t="s">
        <v>10</v>
      </c>
    </row>
    <row r="27" spans="1:39" x14ac:dyDescent="0.3">
      <c r="A27" s="74" t="s">
        <v>106</v>
      </c>
      <c r="B27" s="4" t="s">
        <v>225</v>
      </c>
      <c r="C27" s="40" t="s">
        <v>133</v>
      </c>
      <c r="E27">
        <f>'Exports - Data (Raw)'!F27/'Exports - Data (Raw)'!E27</f>
        <v>6.363636363636363E-2</v>
      </c>
      <c r="F27" t="s">
        <v>10</v>
      </c>
      <c r="H27" t="s">
        <v>10</v>
      </c>
      <c r="N27" s="4" t="s">
        <v>10</v>
      </c>
      <c r="R27" s="4" t="s">
        <v>10</v>
      </c>
      <c r="U27" t="s">
        <v>10</v>
      </c>
      <c r="W27" s="4" t="s">
        <v>10</v>
      </c>
      <c r="X27">
        <f>'Exports - Data (Raw)'!AL27/'Exports - Data (Raw)'!AK27</f>
        <v>6.8379690268895912E-2</v>
      </c>
      <c r="Y27">
        <f>'Exports - Data (Raw)'!AN27/'Exports - Data (Raw)'!AM27</f>
        <v>9.088503546897872E-2</v>
      </c>
      <c r="Z27" s="4" t="s">
        <v>10</v>
      </c>
      <c r="AA27">
        <f>'Exports - Data (Raw)'!AQ27/'Exports - Data (Raw)'!AP27</f>
        <v>0.10558476623561176</v>
      </c>
      <c r="AB27" s="4" t="s">
        <v>10</v>
      </c>
      <c r="AC27">
        <f>'Exports - Data (Raw)'!AT27/'Exports - Data (Raw)'!AS27</f>
        <v>0.11028803545051699</v>
      </c>
      <c r="AD27" s="4" t="s">
        <v>10</v>
      </c>
      <c r="AE27">
        <f>'Exports - Data (Raw)'!AW27/'Exports - Data (Raw)'!AV27</f>
        <v>0.13693693693693693</v>
      </c>
      <c r="AF27">
        <f>'Exports - Data (Raw)'!AY27/'Exports - Data (Raw)'!AX27</f>
        <v>0.13788968824940048</v>
      </c>
      <c r="AG27" t="s">
        <v>10</v>
      </c>
      <c r="AH27">
        <f>'Exports - Data (Raw)'!BB27/'Exports - Data (Raw)'!BA27</f>
        <v>0.16666666666666666</v>
      </c>
    </row>
    <row r="28" spans="1:39" x14ac:dyDescent="0.3">
      <c r="A28" s="74" t="s">
        <v>144</v>
      </c>
      <c r="B28" s="4" t="s">
        <v>231</v>
      </c>
      <c r="C28" s="40" t="s">
        <v>118</v>
      </c>
      <c r="F28" t="s">
        <v>3</v>
      </c>
      <c r="H28" t="s">
        <v>3</v>
      </c>
      <c r="I28">
        <f>'Exports - Data (Raw)'!L28/'Exports - Data (Raw)'!K28</f>
        <v>0.72723160434258138</v>
      </c>
      <c r="J28">
        <f>'Exports - Data (Raw)'!N28/'Exports - Data (Raw)'!M28</f>
        <v>0.64989964877069739</v>
      </c>
      <c r="K28">
        <f>'Exports - Data (Raw)'!P28/'Exports - Data (Raw)'!O28</f>
        <v>0.39481344270971158</v>
      </c>
      <c r="L28">
        <f>'Exports - Data (Raw)'!R28/'Exports - Data (Raw)'!Q28</f>
        <v>0.30282485875706217</v>
      </c>
      <c r="M28">
        <f>'Exports - Data (Raw)'!T28/'Exports - Data (Raw)'!S28</f>
        <v>0.25139442231075698</v>
      </c>
      <c r="N28" s="4" t="s">
        <v>131</v>
      </c>
      <c r="P28">
        <f>'Exports - Data (Raw)'!Y28/'Exports - Data (Raw)'!X28*D59</f>
        <v>4.7619047619047619</v>
      </c>
      <c r="Q28">
        <f>'Exports - Data (Raw)'!AA28/'Exports - Data (Raw)'!Z28*D59</f>
        <v>7.3599999999999994</v>
      </c>
      <c r="R28" s="4" t="s">
        <v>131</v>
      </c>
      <c r="S28">
        <f>'Exports - Data (Raw)'!AD28/'Exports - Data (Raw)'!AC28*D59</f>
        <v>7.3076923076923075</v>
      </c>
      <c r="U28" s="4" t="s">
        <v>131</v>
      </c>
      <c r="V28">
        <f>'Exports - Data (Raw)'!AI28/'Exports - Data (Raw)'!AH28*D59</f>
        <v>3.6794195250659629</v>
      </c>
      <c r="W28" s="4" t="s">
        <v>131</v>
      </c>
      <c r="X28">
        <f>'Exports - Data (Raw)'!AL28/'Exports - Data (Raw)'!AK28</f>
        <v>3.75</v>
      </c>
      <c r="Y28">
        <f>'Exports - Data (Raw)'!AN28/'Exports - Data (Raw)'!AM28</f>
        <v>4.2454545454545451</v>
      </c>
      <c r="Z28" s="4" t="s">
        <v>5</v>
      </c>
      <c r="AA28">
        <f>'Exports - Data (Raw)'!AQ28/'Exports - Data (Raw)'!AP28</f>
        <v>4.5</v>
      </c>
      <c r="AB28" s="4" t="s">
        <v>5</v>
      </c>
      <c r="AC28">
        <f>'Exports - Data (Raw)'!AT28/'Exports - Data (Raw)'!AS28*D59</f>
        <v>4.1499999999999995</v>
      </c>
      <c r="AD28" s="4" t="s">
        <v>5</v>
      </c>
      <c r="AE28">
        <f>'Exports - Data (Raw)'!AW28/'Exports - Data (Raw)'!AV28</f>
        <v>8.4</v>
      </c>
      <c r="AF28">
        <f>'Exports - Data (Raw)'!AY28/'Exports - Data (Raw)'!AX28</f>
        <v>8.4</v>
      </c>
      <c r="AG28" t="s">
        <v>5</v>
      </c>
      <c r="AI28">
        <f>'Exports - Data (Raw)'!BD28/'Exports - Data (Raw)'!BC28</f>
        <v>10</v>
      </c>
      <c r="AJ28">
        <f>'Exports - Data (Raw)'!BF28/'Exports - Data (Raw)'!BE28</f>
        <v>10</v>
      </c>
      <c r="AK28">
        <f>'Exports - Data (Raw)'!BH28/'Exports - Data (Raw)'!BG28</f>
        <v>10</v>
      </c>
      <c r="AL28">
        <f>'Exports - Data (Raw)'!BJ28/'Exports - Data (Raw)'!BI28</f>
        <v>10</v>
      </c>
    </row>
    <row r="29" spans="1:39" x14ac:dyDescent="0.3">
      <c r="A29" s="74" t="s">
        <v>145</v>
      </c>
      <c r="B29" s="4" t="s">
        <v>226</v>
      </c>
      <c r="C29" s="40" t="s">
        <v>129</v>
      </c>
      <c r="E29">
        <f>'Exports - Data (Raw)'!F29/'Exports - Data (Raw)'!E29</f>
        <v>1.7272727272727271</v>
      </c>
      <c r="F29" t="s">
        <v>4</v>
      </c>
      <c r="H29" s="2" t="s">
        <v>3</v>
      </c>
      <c r="I29">
        <f>'Exports - Data (Raw)'!L29/'Exports - Data (Raw)'!K29/F133</f>
        <v>2.9465362798696135E-2</v>
      </c>
      <c r="J29">
        <f>'Exports - Data (Raw)'!N29/'Exports - Data (Raw)'!M29/F133</f>
        <v>4.1542461241101447E-2</v>
      </c>
      <c r="K29">
        <f>'Exports - Data (Raw)'!P29/'Exports - Data (Raw)'!O29/F133</f>
        <v>4.6443268665490894E-2</v>
      </c>
      <c r="L29">
        <f>'Exports - Data (Raw)'!R29/'Exports - Data (Raw)'!Q29/F133</f>
        <v>0.17272990597869059</v>
      </c>
      <c r="M29">
        <f>'Exports - Data (Raw)'!T29/'Exports - Data (Raw)'!S29/F133</f>
        <v>0.11977624218492924</v>
      </c>
      <c r="N29" s="4" t="s">
        <v>3</v>
      </c>
      <c r="R29" s="4" t="s">
        <v>3</v>
      </c>
      <c r="U29" t="s">
        <v>3</v>
      </c>
      <c r="W29" t="s">
        <v>3</v>
      </c>
      <c r="Z29" s="4" t="s">
        <v>3</v>
      </c>
      <c r="AB29" s="4" t="s">
        <v>3</v>
      </c>
      <c r="AD29" s="4" t="s">
        <v>3</v>
      </c>
      <c r="AG29" t="s">
        <v>3</v>
      </c>
    </row>
    <row r="30" spans="1:39" x14ac:dyDescent="0.3">
      <c r="A30" s="74" t="s">
        <v>146</v>
      </c>
      <c r="B30" s="4" t="s">
        <v>236</v>
      </c>
      <c r="C30" s="40" t="s">
        <v>131</v>
      </c>
      <c r="F30" t="s">
        <v>5</v>
      </c>
      <c r="H30" t="s">
        <v>5</v>
      </c>
      <c r="N30" s="4" t="s">
        <v>131</v>
      </c>
      <c r="R30" s="4" t="s">
        <v>5</v>
      </c>
      <c r="U30" t="s">
        <v>5</v>
      </c>
      <c r="V30">
        <f>'Exports - Data (Raw)'!AI30/'Exports - Data (Raw)'!AH30</f>
        <v>0.7994505494505495</v>
      </c>
      <c r="W30" t="s">
        <v>5</v>
      </c>
      <c r="X30">
        <f>'Exports - Data (Raw)'!AL30/'Exports - Data (Raw)'!AK30</f>
        <v>0.66666666666666663</v>
      </c>
      <c r="Z30" s="4" t="s">
        <v>5</v>
      </c>
      <c r="AB30" s="4" t="s">
        <v>5</v>
      </c>
      <c r="AD30" s="4" t="s">
        <v>5</v>
      </c>
      <c r="AG30" t="s">
        <v>5</v>
      </c>
    </row>
    <row r="31" spans="1:39" x14ac:dyDescent="0.3">
      <c r="A31" s="74" t="s">
        <v>147</v>
      </c>
      <c r="B31" s="4" t="s">
        <v>243</v>
      </c>
      <c r="C31" s="40" t="s">
        <v>161</v>
      </c>
      <c r="F31" t="s">
        <v>8</v>
      </c>
      <c r="H31" t="s">
        <v>8</v>
      </c>
      <c r="J31">
        <f>'Exports - Data (Raw)'!N31/'Exports - Data (Raw)'!M31</f>
        <v>0.18182053382777802</v>
      </c>
      <c r="K31">
        <f>'Exports - Data (Raw)'!P31/'Exports - Data (Raw)'!O31</f>
        <v>0.18181641337386018</v>
      </c>
      <c r="L31">
        <f>'Exports - Data (Raw)'!R31/'Exports - Data (Raw)'!Q31</f>
        <v>0.18</v>
      </c>
      <c r="M31">
        <f>'Exports - Data (Raw)'!T31/'Exports - Data (Raw)'!S31</f>
        <v>0.15499727637504698</v>
      </c>
      <c r="N31" s="4" t="s">
        <v>8</v>
      </c>
      <c r="R31" s="2" t="s">
        <v>2</v>
      </c>
      <c r="S31">
        <f>'Exports - Data (Raw)'!AD31/'Exports - Data (Raw)'!AC31</f>
        <v>0.28000000000000003</v>
      </c>
      <c r="T31">
        <f>'Exports - Data (Raw)'!AF31/'Exports - Data (Raw)'!AE31</f>
        <v>0.16</v>
      </c>
      <c r="U31" t="s">
        <v>2</v>
      </c>
      <c r="W31" t="s">
        <v>2</v>
      </c>
      <c r="Z31" s="4" t="s">
        <v>2</v>
      </c>
      <c r="AB31" s="4" t="s">
        <v>2</v>
      </c>
      <c r="AD31" s="4" t="s">
        <v>2</v>
      </c>
      <c r="AG31" t="s">
        <v>2</v>
      </c>
    </row>
    <row r="32" spans="1:39" x14ac:dyDescent="0.3">
      <c r="A32" s="74" t="s">
        <v>148</v>
      </c>
      <c r="B32" s="4" t="s">
        <v>226</v>
      </c>
      <c r="C32" s="40" t="s">
        <v>129</v>
      </c>
      <c r="D32" s="4"/>
      <c r="F32" s="4" t="s">
        <v>2</v>
      </c>
      <c r="H32" s="4" t="s">
        <v>2</v>
      </c>
      <c r="N32" s="4" t="s">
        <v>2</v>
      </c>
      <c r="O32">
        <f>'Exports - Data (Raw)'!W32/'Exports - Data (Raw)'!V32</f>
        <v>0.64</v>
      </c>
      <c r="P32">
        <f>'Exports - Data (Raw)'!Y32/'Exports - Data (Raw)'!X32</f>
        <v>0.6</v>
      </c>
      <c r="Q32">
        <f>'Exports - Data (Raw)'!AA32/'Exports - Data (Raw)'!Z32</f>
        <v>0.64</v>
      </c>
      <c r="R32" s="4" t="s">
        <v>2</v>
      </c>
      <c r="S32">
        <f>'Exports - Data (Raw)'!AD32/'Exports - Data (Raw)'!AC32</f>
        <v>0.52</v>
      </c>
      <c r="T32">
        <f>'Exports - Data (Raw)'!AF32/'Exports - Data (Raw)'!AE32</f>
        <v>0.56000000000000005</v>
      </c>
      <c r="U32" s="4" t="s">
        <v>2</v>
      </c>
      <c r="W32" s="4" t="s">
        <v>2</v>
      </c>
      <c r="Z32" s="4" t="s">
        <v>2</v>
      </c>
      <c r="AB32" s="4" t="s">
        <v>2</v>
      </c>
      <c r="AD32" s="4" t="s">
        <v>2</v>
      </c>
      <c r="AG32" s="4" t="s">
        <v>2</v>
      </c>
    </row>
    <row r="33" spans="1:38" x14ac:dyDescent="0.3">
      <c r="A33" s="74" t="s">
        <v>149</v>
      </c>
      <c r="B33" s="4" t="s">
        <v>226</v>
      </c>
      <c r="C33" s="40" t="s">
        <v>129</v>
      </c>
      <c r="D33" s="4"/>
      <c r="F33" s="4" t="s">
        <v>2</v>
      </c>
      <c r="H33" s="4" t="s">
        <v>2</v>
      </c>
      <c r="N33" s="4" t="s">
        <v>2</v>
      </c>
      <c r="O33">
        <f>'Exports - Data (Raw)'!W33/'Exports - Data (Raw)'!V33</f>
        <v>0.6</v>
      </c>
      <c r="P33">
        <f>'Exports - Data (Raw)'!Y33/'Exports - Data (Raw)'!X33</f>
        <v>0.6</v>
      </c>
      <c r="Q33">
        <f>'Exports - Data (Raw)'!AA33/'Exports - Data (Raw)'!Z33</f>
        <v>0.64</v>
      </c>
      <c r="R33" s="4" t="s">
        <v>2</v>
      </c>
      <c r="S33">
        <f>'Exports - Data (Raw)'!AD33/'Exports - Data (Raw)'!AC33</f>
        <v>0.68</v>
      </c>
      <c r="T33">
        <f>'Exports - Data (Raw)'!AF33/'Exports - Data (Raw)'!AE33</f>
        <v>0.5</v>
      </c>
      <c r="U33" s="4" t="s">
        <v>2</v>
      </c>
      <c r="W33" s="4" t="s">
        <v>2</v>
      </c>
      <c r="Z33" s="4" t="s">
        <v>2</v>
      </c>
      <c r="AB33" s="4" t="s">
        <v>2</v>
      </c>
      <c r="AD33" s="4" t="s">
        <v>2</v>
      </c>
      <c r="AG33" s="4" t="s">
        <v>2</v>
      </c>
    </row>
    <row r="34" spans="1:38" x14ac:dyDescent="0.3">
      <c r="A34" s="74" t="s">
        <v>150</v>
      </c>
      <c r="B34" s="4" t="s">
        <v>232</v>
      </c>
      <c r="C34" s="40" t="s">
        <v>119</v>
      </c>
      <c r="D34" s="4"/>
      <c r="E34">
        <f>'Exports - Data (Raw)'!F34/'Exports - Data (Raw)'!E34</f>
        <v>1.0861244019138756E-2</v>
      </c>
      <c r="F34" s="4" t="s">
        <v>11</v>
      </c>
      <c r="H34" s="4" t="s">
        <v>11</v>
      </c>
      <c r="N34" s="2" t="s">
        <v>9</v>
      </c>
      <c r="P34">
        <f>'Exports - Data (Raw)'!Y34/'Exports - Data (Raw)'!X34</f>
        <v>8.5</v>
      </c>
      <c r="Q34">
        <f>'Exports - Data (Raw)'!AA34/'Exports - Data (Raw)'!Z34</f>
        <v>9.454545454545455</v>
      </c>
      <c r="R34" s="4" t="s">
        <v>9</v>
      </c>
      <c r="S34">
        <f>'Exports - Data (Raw)'!AD34/'Exports - Data (Raw)'!AC34</f>
        <v>16</v>
      </c>
      <c r="T34">
        <f>'Exports - Data (Raw)'!AF34/'Exports - Data (Raw)'!AE34</f>
        <v>14.5</v>
      </c>
      <c r="U34" s="4" t="s">
        <v>9</v>
      </c>
      <c r="W34" s="2" t="s">
        <v>12</v>
      </c>
      <c r="X34">
        <f>'Exports - Data (Raw)'!AL34/'Exports - Data (Raw)'!AK34</f>
        <v>7.9427246522120569E-3</v>
      </c>
      <c r="Y34">
        <f>'Exports - Data (Raw)'!AN34/'Exports - Data (Raw)'!AM34</f>
        <v>1.1301733286169085E-2</v>
      </c>
      <c r="Z34" s="4" t="s">
        <v>12</v>
      </c>
      <c r="AA34">
        <f>'Exports - Data (Raw)'!AQ34/'Exports - Data (Raw)'!AP34</f>
        <v>1.6667950031689242E-2</v>
      </c>
      <c r="AB34" s="4" t="s">
        <v>12</v>
      </c>
      <c r="AD34" s="4" t="s">
        <v>12</v>
      </c>
      <c r="AF34">
        <f>'Exports - Data (Raw)'!AY34/'Exports - Data (Raw)'!AX34</f>
        <v>1.8749999999999999E-2</v>
      </c>
      <c r="AG34" s="4" t="s">
        <v>12</v>
      </c>
    </row>
    <row r="35" spans="1:38" x14ac:dyDescent="0.3">
      <c r="A35" s="74" t="s">
        <v>151</v>
      </c>
      <c r="B35" s="4" t="s">
        <v>231</v>
      </c>
      <c r="C35" s="40" t="s">
        <v>118</v>
      </c>
      <c r="F35" t="s">
        <v>3</v>
      </c>
      <c r="G35">
        <f>'Exports - Data (Raw)'!I35/'Exports - Data (Raw)'!H35</f>
        <v>3.4375</v>
      </c>
      <c r="H35" t="s">
        <v>3</v>
      </c>
      <c r="I35">
        <f>'Exports - Data (Raw)'!L35/'Exports - Data (Raw)'!K35</f>
        <v>5.4508474576271189</v>
      </c>
      <c r="J35">
        <f>'Exports - Data (Raw)'!N35/'Exports - Data (Raw)'!M35</f>
        <v>4.1139471285323612</v>
      </c>
      <c r="K35">
        <f>'Exports - Data (Raw)'!P35/'Exports - Data (Raw)'!O35</f>
        <v>4.5047021943573666</v>
      </c>
      <c r="L35">
        <f>'Exports - Data (Raw)'!R35/'Exports - Data (Raw)'!Q35</f>
        <v>5.5759999999999996</v>
      </c>
      <c r="N35" s="2" t="s">
        <v>2</v>
      </c>
      <c r="P35">
        <f>'Exports - Data (Raw)'!Y35/'Exports - Data (Raw)'!X35</f>
        <v>1.28</v>
      </c>
      <c r="Q35">
        <f>'Exports - Data (Raw)'!AA35/'Exports - Data (Raw)'!Z35</f>
        <v>1.3511111111111112</v>
      </c>
      <c r="R35" s="4" t="s">
        <v>2</v>
      </c>
      <c r="S35">
        <f>'Exports - Data (Raw)'!AD35/'Exports - Data (Raw)'!AC35</f>
        <v>1.28</v>
      </c>
      <c r="T35">
        <f>'Exports - Data (Raw)'!AF35/'Exports - Data (Raw)'!AE35</f>
        <v>1.3333333333333333</v>
      </c>
      <c r="U35" t="s">
        <v>2</v>
      </c>
      <c r="V35">
        <f>'Exports - Data (Raw)'!AI35/'Exports - Data (Raw)'!AH35</f>
        <v>1.28</v>
      </c>
      <c r="W35" s="4" t="s">
        <v>2</v>
      </c>
      <c r="Z35" s="4" t="s">
        <v>2</v>
      </c>
      <c r="AB35" s="4" t="s">
        <v>2</v>
      </c>
      <c r="AD35" s="4" t="s">
        <v>2</v>
      </c>
      <c r="AG35" t="s">
        <v>2</v>
      </c>
    </row>
    <row r="36" spans="1:38" x14ac:dyDescent="0.3">
      <c r="A36" s="74" t="s">
        <v>152</v>
      </c>
      <c r="B36" s="4" t="s">
        <v>226</v>
      </c>
      <c r="C36" s="4" t="s">
        <v>129</v>
      </c>
      <c r="E36">
        <f>'Exports - Data (Raw)'!F36/'Exports - Data (Raw)'!E36/F62</f>
        <v>2.290909090909091</v>
      </c>
      <c r="F36" t="s">
        <v>4</v>
      </c>
      <c r="H36" t="s">
        <v>4</v>
      </c>
      <c r="N36" t="s">
        <v>4</v>
      </c>
      <c r="R36" s="4" t="s">
        <v>4</v>
      </c>
      <c r="U36" s="2" t="s">
        <v>2</v>
      </c>
      <c r="W36" s="4" t="s">
        <v>2</v>
      </c>
      <c r="X36">
        <f>'Exports - Data (Raw)'!AL36/'Exports - Data (Raw)'!AK36</f>
        <v>1.3937282229965158</v>
      </c>
      <c r="Z36" s="4" t="s">
        <v>2</v>
      </c>
      <c r="AB36" s="4" t="s">
        <v>2</v>
      </c>
      <c r="AD36" s="4" t="s">
        <v>2</v>
      </c>
      <c r="AG36" t="s">
        <v>2</v>
      </c>
    </row>
    <row r="37" spans="1:38" x14ac:dyDescent="0.3">
      <c r="A37" s="74" t="s">
        <v>153</v>
      </c>
      <c r="B37" s="4" t="s">
        <v>236</v>
      </c>
      <c r="C37" s="40" t="s">
        <v>131</v>
      </c>
      <c r="F37" t="s">
        <v>5</v>
      </c>
      <c r="H37" t="s">
        <v>5</v>
      </c>
      <c r="N37" t="s">
        <v>5</v>
      </c>
      <c r="R37" s="4" t="s">
        <v>5</v>
      </c>
      <c r="U37" t="s">
        <v>5</v>
      </c>
      <c r="W37" s="4" t="s">
        <v>5</v>
      </c>
      <c r="Y37">
        <f>'Exports - Data (Raw)'!AN37/'Exports - Data (Raw)'!AM37</f>
        <v>30</v>
      </c>
      <c r="Z37" s="4" t="s">
        <v>5</v>
      </c>
      <c r="AA37">
        <f>'Exports - Data (Raw)'!AQ37/'Exports - Data (Raw)'!AP37</f>
        <v>30</v>
      </c>
      <c r="AB37" s="4" t="s">
        <v>5</v>
      </c>
      <c r="AC37">
        <f>'Exports - Data (Raw)'!AT37/'Exports - Data (Raw)'!AS37*D59</f>
        <v>34.285714285714285</v>
      </c>
      <c r="AD37" s="4" t="s">
        <v>5</v>
      </c>
      <c r="AE37">
        <f>'Exports - Data (Raw)'!AW37/'Exports - Data (Raw)'!AV37</f>
        <v>26.666666666666668</v>
      </c>
      <c r="AG37" t="s">
        <v>5</v>
      </c>
    </row>
    <row r="38" spans="1:38" x14ac:dyDescent="0.3">
      <c r="A38" s="74" t="s">
        <v>154</v>
      </c>
      <c r="B38" s="4" t="s">
        <v>235</v>
      </c>
      <c r="C38" s="40" t="s">
        <v>126</v>
      </c>
      <c r="F38" t="s">
        <v>9</v>
      </c>
      <c r="G38">
        <f>'Exports - Data (Raw)'!I38/'Exports - Data (Raw)'!H38</f>
        <v>13.511543134872419</v>
      </c>
      <c r="H38" t="s">
        <v>9</v>
      </c>
      <c r="I38">
        <f>'Exports - Data (Raw)'!L38/'Exports - Data (Raw)'!K38</f>
        <v>4.0903342366756998</v>
      </c>
      <c r="J38">
        <f>'Exports - Data (Raw)'!N38/'Exports - Data (Raw)'!M38</f>
        <v>2.628500823723229</v>
      </c>
      <c r="N38" t="s">
        <v>9</v>
      </c>
      <c r="R38" s="4" t="s">
        <v>9</v>
      </c>
      <c r="U38" t="s">
        <v>9</v>
      </c>
      <c r="W38" s="4" t="s">
        <v>9</v>
      </c>
      <c r="Z38" s="4" t="s">
        <v>9</v>
      </c>
      <c r="AB38" s="4" t="s">
        <v>9</v>
      </c>
      <c r="AD38" s="4" t="s">
        <v>9</v>
      </c>
      <c r="AG38" t="s">
        <v>9</v>
      </c>
    </row>
    <row r="39" spans="1:38" x14ac:dyDescent="0.3">
      <c r="A39" s="4" t="s">
        <v>192</v>
      </c>
      <c r="B39" s="4" t="s">
        <v>236</v>
      </c>
      <c r="C39" s="40" t="s">
        <v>131</v>
      </c>
      <c r="F39" t="s">
        <v>5</v>
      </c>
      <c r="G39">
        <f>'Exports - Data (Adjusted) - 1'!F39/25*1016.05</f>
        <v>8.3123050500000009</v>
      </c>
      <c r="R39" s="4"/>
      <c r="U39" s="4"/>
      <c r="W39" s="4" t="s">
        <v>5</v>
      </c>
      <c r="Y39">
        <f>'Exports - Data (Adjusted) - 1'!X39/60*2240</f>
        <v>5.5743999999999998</v>
      </c>
      <c r="Z39" t="s">
        <v>5</v>
      </c>
      <c r="AA39">
        <f>'Exports - Data (Adjusted) - 1'!Z39/60*2240</f>
        <v>5.6000000000000005</v>
      </c>
      <c r="AB39" t="s">
        <v>5</v>
      </c>
      <c r="AC39">
        <f>'Exports - Data (Adjusted) - 1'!AB39/60*2240</f>
        <v>6.0666666666666664</v>
      </c>
      <c r="AD39" t="s">
        <v>5</v>
      </c>
      <c r="AE39">
        <f>'Exports - Data (Adjusted) - 1'!AD39/60*2240</f>
        <v>6.8444444444444441</v>
      </c>
      <c r="AF39">
        <f>'Exports - Data (Adjusted) - 1'!AE39/60*2240</f>
        <v>6.4711111111111119</v>
      </c>
      <c r="AG39" t="s">
        <v>5</v>
      </c>
      <c r="AI39">
        <f>'Exports - Data (Adjusted) - 1'!AH39/60*2240</f>
        <v>9.9555555555555557</v>
      </c>
      <c r="AJ39">
        <f>'Exports - Data (Adjusted) - 1'!AI39/60*2240</f>
        <v>11.200000000000001</v>
      </c>
      <c r="AK39">
        <f>'Exports - Data (Adjusted) - 1'!AJ39/60*2240</f>
        <v>12.527407407407408</v>
      </c>
      <c r="AL39">
        <f>'Exports - Data (Adjusted) - 1'!AK39/60*2240</f>
        <v>12.133333333333333</v>
      </c>
    </row>
    <row r="40" spans="1:38" x14ac:dyDescent="0.3">
      <c r="A40" s="4" t="s">
        <v>155</v>
      </c>
      <c r="B40" s="4" t="s">
        <v>236</v>
      </c>
      <c r="C40" s="40" t="s">
        <v>131</v>
      </c>
      <c r="F40" t="s">
        <v>8</v>
      </c>
      <c r="H40" t="s">
        <v>8</v>
      </c>
      <c r="N40" t="s">
        <v>8</v>
      </c>
      <c r="R40" s="4" t="s">
        <v>8</v>
      </c>
      <c r="U40" t="s">
        <v>8</v>
      </c>
      <c r="W40" s="4" t="s">
        <v>8</v>
      </c>
      <c r="Y40">
        <f>'Exports - Data (Raw)'!AN40/'Exports - Data (Raw)'!AM40</f>
        <v>0.16122496688225668</v>
      </c>
      <c r="Z40" s="4" t="s">
        <v>8</v>
      </c>
      <c r="AA40">
        <f>'Exports - Data (Raw)'!AQ40/'Exports - Data (Raw)'!AP40</f>
        <v>0.15</v>
      </c>
      <c r="AB40" s="4" t="s">
        <v>8</v>
      </c>
      <c r="AC40">
        <f>'Exports - Data (Raw)'!AT40/'Exports - Data (Raw)'!AS40</f>
        <v>0.2</v>
      </c>
      <c r="AD40" s="4" t="s">
        <v>8</v>
      </c>
      <c r="AE40">
        <f>'Exports - Data (Raw)'!AW40/'Exports - Data (Raw)'!AV40</f>
        <v>0.22500000000000001</v>
      </c>
      <c r="AF40">
        <f>'Exports - Data (Raw)'!AY40/'Exports - Data (Raw)'!AX40</f>
        <v>0.25</v>
      </c>
      <c r="AG40" t="s">
        <v>8</v>
      </c>
      <c r="AI40">
        <f>'Exports - Data (Raw)'!BD40/'Exports - Data (Raw)'!BC40</f>
        <v>0.25</v>
      </c>
      <c r="AJ40">
        <f>'Exports - Data (Raw)'!BF40/'Exports - Data (Raw)'!BE40</f>
        <v>0.32884615384615384</v>
      </c>
    </row>
    <row r="41" spans="1:38" x14ac:dyDescent="0.3">
      <c r="A41" s="4" t="s">
        <v>193</v>
      </c>
      <c r="B41" s="4" t="s">
        <v>236</v>
      </c>
      <c r="C41" s="40" t="s">
        <v>131</v>
      </c>
      <c r="F41" t="s">
        <v>2</v>
      </c>
      <c r="H41" t="s">
        <v>2</v>
      </c>
      <c r="N41" t="s">
        <v>2</v>
      </c>
      <c r="R41" s="4" t="s">
        <v>2</v>
      </c>
      <c r="U41" t="s">
        <v>2</v>
      </c>
      <c r="W41" s="4" t="s">
        <v>5</v>
      </c>
      <c r="Y41">
        <f>'Exports - Data (Raw)'!AN41/'Exports - Data (Raw)'!AM41*D59</f>
        <v>80</v>
      </c>
      <c r="Z41" s="4" t="s">
        <v>5</v>
      </c>
      <c r="AA41">
        <f>'Exports - Data (Raw)'!AQ41/'Exports - Data (Raw)'!AP41</f>
        <v>41.025641025641029</v>
      </c>
      <c r="AB41" s="4" t="s">
        <v>5</v>
      </c>
      <c r="AD41" s="4" t="s">
        <v>5</v>
      </c>
      <c r="AG41" t="s">
        <v>5</v>
      </c>
    </row>
    <row r="42" spans="1:38" x14ac:dyDescent="0.3">
      <c r="A42" s="4" t="s">
        <v>70</v>
      </c>
      <c r="B42" s="4" t="s">
        <v>236</v>
      </c>
      <c r="C42" s="40" t="s">
        <v>131</v>
      </c>
      <c r="F42" t="s">
        <v>2</v>
      </c>
      <c r="H42" t="s">
        <v>2</v>
      </c>
      <c r="N42" t="s">
        <v>2</v>
      </c>
      <c r="R42" s="4" t="s">
        <v>2</v>
      </c>
      <c r="U42" t="s">
        <v>2</v>
      </c>
      <c r="W42" s="4" t="s">
        <v>2</v>
      </c>
      <c r="Z42" s="4" t="s">
        <v>2</v>
      </c>
      <c r="AB42" t="s">
        <v>5</v>
      </c>
      <c r="AC42">
        <f>'Exports - Data (Raw)'!AT42/'Exports - Data (Raw)'!AS42*D59</f>
        <v>81.481481481481495</v>
      </c>
      <c r="AD42" s="4"/>
      <c r="AG42" t="s">
        <v>5</v>
      </c>
      <c r="AI42">
        <f>'Exports - Data (Raw)'!BD42/'Exports - Data (Raw)'!BC42</f>
        <v>85.714285714285708</v>
      </c>
      <c r="AJ42">
        <f>'Exports - Data (Raw)'!BF42/'Exports - Data (Raw)'!BE42</f>
        <v>81.25</v>
      </c>
      <c r="AK42">
        <f>'Exports - Data (Raw)'!BH42/'Exports - Data (Raw)'!BG42</f>
        <v>81.25</v>
      </c>
      <c r="AL42">
        <f>'Exports - Data (Raw)'!BJ42/'Exports - Data (Raw)'!BI42</f>
        <v>150</v>
      </c>
    </row>
    <row r="43" spans="1:38" x14ac:dyDescent="0.3">
      <c r="A43" s="4" t="s">
        <v>156</v>
      </c>
      <c r="B43" s="4" t="s">
        <v>226</v>
      </c>
      <c r="C43" s="40" t="s">
        <v>129</v>
      </c>
      <c r="F43" t="s">
        <v>2</v>
      </c>
      <c r="H43" t="s">
        <v>2</v>
      </c>
      <c r="N43" t="s">
        <v>2</v>
      </c>
      <c r="R43" s="4" t="s">
        <v>2</v>
      </c>
      <c r="U43" t="s">
        <v>2</v>
      </c>
      <c r="W43" s="4" t="s">
        <v>2</v>
      </c>
      <c r="Y43">
        <f>'Exports - Data (Raw)'!AN43/'Exports - Data (Raw)'!AM43</f>
        <v>3.5714285714285716</v>
      </c>
      <c r="Z43" s="4" t="s">
        <v>2</v>
      </c>
      <c r="AA43">
        <f>'Exports - Data (Raw)'!AQ43/'Exports - Data (Raw)'!AP43</f>
        <v>3.6</v>
      </c>
      <c r="AB43" s="4" t="s">
        <v>2</v>
      </c>
      <c r="AD43" s="4" t="s">
        <v>2</v>
      </c>
      <c r="AG43" t="s">
        <v>2</v>
      </c>
    </row>
    <row r="44" spans="1:38" x14ac:dyDescent="0.3">
      <c r="A44" s="74" t="s">
        <v>157</v>
      </c>
      <c r="B44" s="4" t="s">
        <v>236</v>
      </c>
      <c r="C44" s="40" t="s">
        <v>131</v>
      </c>
      <c r="F44" t="s">
        <v>5</v>
      </c>
      <c r="H44" t="s">
        <v>5</v>
      </c>
      <c r="N44" t="s">
        <v>5</v>
      </c>
      <c r="R44" s="4" t="s">
        <v>5</v>
      </c>
      <c r="U44" t="s">
        <v>5</v>
      </c>
      <c r="W44" s="4" t="s">
        <v>5</v>
      </c>
      <c r="Z44" s="4" t="s">
        <v>5</v>
      </c>
      <c r="AB44" s="4" t="s">
        <v>5</v>
      </c>
      <c r="AD44" s="4" t="s">
        <v>5</v>
      </c>
      <c r="AE44">
        <f>'Exports - Data (Raw)'!AW44/'Exports - Data (Raw)'!AV44</f>
        <v>61.111111111111114</v>
      </c>
      <c r="AG44" t="s">
        <v>5</v>
      </c>
    </row>
    <row r="45" spans="1:38" x14ac:dyDescent="0.3">
      <c r="A45" s="74" t="s">
        <v>158</v>
      </c>
      <c r="B45" s="4" t="s">
        <v>236</v>
      </c>
      <c r="C45" s="40" t="s">
        <v>131</v>
      </c>
      <c r="E45">
        <f>'Exports - Data (Raw)'!F45/'Exports - Data (Raw)'!E45*F64</f>
        <v>21.724956104577082</v>
      </c>
      <c r="F45" t="s">
        <v>13</v>
      </c>
      <c r="H45" t="s">
        <v>13</v>
      </c>
      <c r="N45" t="s">
        <v>13</v>
      </c>
      <c r="R45" s="4" t="s">
        <v>13</v>
      </c>
      <c r="U45" t="s">
        <v>13</v>
      </c>
      <c r="W45" s="4" t="s">
        <v>13</v>
      </c>
      <c r="Z45" s="4" t="s">
        <v>13</v>
      </c>
      <c r="AB45" s="4" t="s">
        <v>13</v>
      </c>
      <c r="AD45" s="4" t="s">
        <v>13</v>
      </c>
      <c r="AG45" t="s">
        <v>13</v>
      </c>
    </row>
    <row r="46" spans="1:38" x14ac:dyDescent="0.3">
      <c r="A46" s="74" t="s">
        <v>159</v>
      </c>
      <c r="B46" s="4" t="s">
        <v>226</v>
      </c>
      <c r="C46" s="40" t="s">
        <v>129</v>
      </c>
      <c r="E46">
        <f>'Exports - Data (Raw)'!F46/'Exports - Data (Raw)'!E46/F62</f>
        <v>2.6727272727272724</v>
      </c>
      <c r="F46" t="s">
        <v>4</v>
      </c>
      <c r="H46" t="s">
        <v>4</v>
      </c>
      <c r="N46" t="s">
        <v>4</v>
      </c>
      <c r="R46" s="4" t="s">
        <v>4</v>
      </c>
      <c r="U46" t="s">
        <v>4</v>
      </c>
      <c r="W46" s="4" t="s">
        <v>4</v>
      </c>
      <c r="Z46" s="4" t="s">
        <v>4</v>
      </c>
      <c r="AB46" s="4" t="s">
        <v>4</v>
      </c>
      <c r="AD46" s="4" t="s">
        <v>4</v>
      </c>
      <c r="AG46" t="s">
        <v>4</v>
      </c>
    </row>
    <row r="47" spans="1:38" x14ac:dyDescent="0.3">
      <c r="A47" s="74" t="s">
        <v>116</v>
      </c>
      <c r="C47" s="40"/>
    </row>
    <row r="48" spans="1:38" ht="15" x14ac:dyDescent="0.3">
      <c r="A48" s="44" t="s">
        <v>245</v>
      </c>
      <c r="B48" s="4"/>
      <c r="C48"/>
      <c r="F48" s="4"/>
      <c r="K48" s="4"/>
      <c r="T48" s="4"/>
      <c r="AE48" s="45"/>
      <c r="AH48" s="4"/>
    </row>
    <row r="49" spans="1:50" s="4" customFormat="1" ht="15" x14ac:dyDescent="0.3">
      <c r="A49" s="46" t="s">
        <v>246</v>
      </c>
      <c r="B49" s="4">
        <v>1</v>
      </c>
      <c r="C49" s="38" t="s">
        <v>247</v>
      </c>
      <c r="D49" s="6">
        <v>108</v>
      </c>
      <c r="E49" s="38" t="s">
        <v>248</v>
      </c>
      <c r="H49" s="6"/>
      <c r="J49" s="47"/>
      <c r="M49" s="6"/>
      <c r="N49" s="45"/>
      <c r="O49" s="48"/>
      <c r="Q49" s="6"/>
      <c r="U49" s="6"/>
      <c r="Z49" s="6"/>
      <c r="AC49" s="6"/>
      <c r="AF49" s="6"/>
      <c r="AI49" s="6"/>
      <c r="AL49" s="6"/>
      <c r="AO49" s="6"/>
      <c r="AR49" s="6"/>
      <c r="AU49" s="6"/>
      <c r="AX49" s="6"/>
    </row>
    <row r="50" spans="1:50" s="4" customFormat="1" x14ac:dyDescent="0.3">
      <c r="A50" s="46" t="s">
        <v>246</v>
      </c>
      <c r="B50" s="4">
        <v>1</v>
      </c>
      <c r="C50" s="38" t="s">
        <v>27</v>
      </c>
      <c r="D50" s="6">
        <v>32.5</v>
      </c>
      <c r="E50" s="38" t="s">
        <v>248</v>
      </c>
      <c r="H50" s="6"/>
      <c r="L50"/>
      <c r="M50" s="6"/>
      <c r="O50" s="48"/>
      <c r="Q50" s="6"/>
      <c r="U50" s="6"/>
      <c r="Z50" s="6"/>
      <c r="AC50" s="6"/>
      <c r="AF50" s="6"/>
      <c r="AI50" s="6"/>
      <c r="AL50" s="6"/>
      <c r="AO50" s="6"/>
      <c r="AR50" s="6"/>
      <c r="AU50" s="6"/>
      <c r="AX50" s="6"/>
    </row>
    <row r="51" spans="1:50" x14ac:dyDescent="0.3">
      <c r="B51" s="4">
        <v>1</v>
      </c>
      <c r="C51" s="38" t="s">
        <v>249</v>
      </c>
      <c r="D51" s="6">
        <v>6.5</v>
      </c>
      <c r="E51" s="49" t="s">
        <v>248</v>
      </c>
      <c r="F51" s="4"/>
      <c r="G51" s="38"/>
      <c r="H51" s="6"/>
      <c r="I51" s="38"/>
      <c r="J51" s="6"/>
      <c r="K51" s="38"/>
      <c r="M51" s="6"/>
      <c r="Q51" s="6"/>
      <c r="S51" s="48"/>
      <c r="U51" s="6"/>
      <c r="Z51" s="6"/>
      <c r="AC51" s="6"/>
      <c r="AF51" s="6"/>
      <c r="AI51" s="6"/>
      <c r="AL51" s="6"/>
      <c r="AO51" s="6"/>
      <c r="AR51" s="6"/>
      <c r="AU51" s="6"/>
      <c r="AX51" s="6"/>
    </row>
    <row r="52" spans="1:50" x14ac:dyDescent="0.3">
      <c r="B52" s="4">
        <v>1</v>
      </c>
      <c r="C52" s="38" t="s">
        <v>250</v>
      </c>
      <c r="D52" s="6">
        <v>112</v>
      </c>
      <c r="E52" s="38" t="s">
        <v>15</v>
      </c>
      <c r="F52" s="4"/>
      <c r="G52" s="38"/>
      <c r="H52" s="6"/>
      <c r="I52" s="38"/>
      <c r="J52" s="6"/>
      <c r="K52" s="38"/>
      <c r="M52" s="6"/>
      <c r="Q52" s="6"/>
      <c r="S52" s="48"/>
      <c r="U52" s="6"/>
      <c r="Z52" s="6"/>
      <c r="AC52" s="6"/>
      <c r="AF52" s="6"/>
      <c r="AI52" s="6"/>
      <c r="AL52" s="6"/>
      <c r="AO52" s="6"/>
      <c r="AR52" s="6"/>
      <c r="AU52" s="6"/>
      <c r="AX52" s="6"/>
    </row>
    <row r="53" spans="1:50" x14ac:dyDescent="0.3">
      <c r="B53" s="4">
        <v>1</v>
      </c>
      <c r="C53" s="38" t="s">
        <v>250</v>
      </c>
      <c r="D53" s="6">
        <f>D52/D51</f>
        <v>17.23076923076923</v>
      </c>
      <c r="E53" s="38" t="s">
        <v>249</v>
      </c>
      <c r="F53" s="4"/>
      <c r="G53" s="6"/>
      <c r="H53" s="6"/>
      <c r="I53" s="6"/>
      <c r="K53" s="6"/>
      <c r="M53" s="6"/>
      <c r="N53" s="6"/>
      <c r="Q53" s="6"/>
      <c r="R53" s="48"/>
      <c r="S53" s="4"/>
      <c r="U53" s="6"/>
      <c r="Z53" s="6"/>
      <c r="AC53" s="6"/>
      <c r="AE53" s="48"/>
      <c r="AF53" s="6"/>
      <c r="AI53" s="6"/>
      <c r="AL53" s="6"/>
      <c r="AO53" s="6"/>
      <c r="AR53" s="6"/>
      <c r="AU53" s="6"/>
      <c r="AX53" s="6"/>
    </row>
    <row r="54" spans="1:50" s="4" customFormat="1" ht="15" customHeight="1" x14ac:dyDescent="0.3">
      <c r="A54" s="46"/>
      <c r="B54" s="80">
        <v>1</v>
      </c>
      <c r="C54" s="81" t="s">
        <v>251</v>
      </c>
      <c r="D54" s="82">
        <v>130</v>
      </c>
      <c r="E54" s="83" t="s">
        <v>248</v>
      </c>
      <c r="F54" s="50"/>
      <c r="G54" s="51"/>
      <c r="H54" s="52"/>
      <c r="I54" s="51"/>
      <c r="J54" s="51"/>
      <c r="K54" s="51"/>
      <c r="L54" s="51"/>
      <c r="M54" s="52"/>
      <c r="N54" s="51"/>
      <c r="O54" s="51"/>
      <c r="P54" s="51"/>
      <c r="Q54" s="52"/>
      <c r="R54" s="51"/>
      <c r="U54" s="52"/>
      <c r="Z54" s="52"/>
      <c r="AC54" s="52"/>
      <c r="AF54" s="52"/>
      <c r="AI54" s="52"/>
      <c r="AL54" s="52"/>
      <c r="AO54" s="52"/>
      <c r="AR54" s="52"/>
      <c r="AU54" s="52"/>
      <c r="AX54" s="52"/>
    </row>
    <row r="55" spans="1:50" s="4" customFormat="1" ht="15" customHeight="1" x14ac:dyDescent="0.3">
      <c r="B55" s="80"/>
      <c r="C55" s="81"/>
      <c r="D55" s="82"/>
      <c r="E55" s="83"/>
      <c r="H55" s="52"/>
      <c r="M55" s="52"/>
      <c r="Q55" s="52"/>
      <c r="U55" s="52"/>
      <c r="Z55" s="52"/>
      <c r="AC55" s="52"/>
      <c r="AF55" s="52"/>
      <c r="AI55" s="52"/>
      <c r="AL55" s="52"/>
      <c r="AO55" s="52"/>
      <c r="AR55" s="52"/>
      <c r="AU55" s="52"/>
      <c r="AX55" s="52"/>
    </row>
    <row r="56" spans="1:50" s="4" customFormat="1" x14ac:dyDescent="0.3">
      <c r="B56" s="53">
        <v>1</v>
      </c>
      <c r="C56" s="38" t="s">
        <v>252</v>
      </c>
      <c r="D56" s="6">
        <v>260</v>
      </c>
      <c r="E56" s="38" t="s">
        <v>248</v>
      </c>
      <c r="H56" s="6"/>
      <c r="M56" s="6"/>
      <c r="Q56" s="6"/>
      <c r="U56" s="6"/>
      <c r="Z56" s="6"/>
      <c r="AC56" s="6"/>
      <c r="AF56" s="6"/>
      <c r="AI56" s="6"/>
      <c r="AL56" s="6"/>
      <c r="AO56" s="6"/>
      <c r="AR56" s="6"/>
      <c r="AU56" s="6"/>
      <c r="AX56" s="6"/>
    </row>
    <row r="57" spans="1:50" s="4" customFormat="1" x14ac:dyDescent="0.3">
      <c r="B57" s="53">
        <v>1</v>
      </c>
      <c r="C57" s="38" t="s">
        <v>328</v>
      </c>
      <c r="D57" s="6">
        <f>D54/D52</f>
        <v>1.1607142857142858</v>
      </c>
      <c r="E57" s="38" t="s">
        <v>253</v>
      </c>
      <c r="H57" s="6"/>
      <c r="M57" s="6"/>
      <c r="Q57" s="6"/>
      <c r="U57" s="6"/>
      <c r="Z57" s="6"/>
      <c r="AC57" s="6"/>
      <c r="AF57" s="6"/>
      <c r="AI57" s="6"/>
      <c r="AL57" s="6"/>
      <c r="AO57" s="6"/>
      <c r="AR57" s="6"/>
      <c r="AU57" s="6"/>
      <c r="AX57" s="6"/>
    </row>
    <row r="58" spans="1:50" s="4" customFormat="1" x14ac:dyDescent="0.3">
      <c r="B58" s="53">
        <v>1</v>
      </c>
      <c r="C58" s="38" t="s">
        <v>252</v>
      </c>
      <c r="D58" s="6">
        <f>D56/D52</f>
        <v>2.3214285714285716</v>
      </c>
      <c r="E58" s="38" t="s">
        <v>253</v>
      </c>
      <c r="H58" s="6"/>
      <c r="M58" s="6"/>
      <c r="Q58" s="6"/>
      <c r="U58" s="6"/>
      <c r="Z58" s="6"/>
      <c r="AC58" s="6"/>
      <c r="AF58" s="6"/>
      <c r="AI58" s="6"/>
      <c r="AL58" s="6"/>
      <c r="AO58" s="6"/>
      <c r="AR58" s="6"/>
      <c r="AU58" s="6"/>
      <c r="AX58" s="6"/>
    </row>
    <row r="59" spans="1:50" x14ac:dyDescent="0.3">
      <c r="B59" s="53">
        <v>1</v>
      </c>
      <c r="C59" s="38" t="s">
        <v>254</v>
      </c>
      <c r="D59" s="6">
        <v>20</v>
      </c>
      <c r="E59" s="38" t="s">
        <v>253</v>
      </c>
      <c r="F59" s="5">
        <f>D59*D52</f>
        <v>2240</v>
      </c>
      <c r="G59" s="38" t="s">
        <v>248</v>
      </c>
      <c r="H59" s="5">
        <f>F59/D61</f>
        <v>420</v>
      </c>
      <c r="I59" s="66" t="s">
        <v>22</v>
      </c>
      <c r="J59" s="68">
        <f>F59/D60</f>
        <v>1016.048117135833</v>
      </c>
      <c r="K59" s="38" t="s">
        <v>14</v>
      </c>
      <c r="S59" s="4"/>
      <c r="V59" s="48"/>
      <c r="W59" s="48"/>
      <c r="AJ59" s="48"/>
    </row>
    <row r="60" spans="1:50" x14ac:dyDescent="0.3">
      <c r="B60" s="53">
        <v>1</v>
      </c>
      <c r="C60" s="38" t="s">
        <v>14</v>
      </c>
      <c r="D60" s="6">
        <v>2.2046199999999998</v>
      </c>
      <c r="E60" s="38" t="s">
        <v>248</v>
      </c>
      <c r="F60" s="5">
        <f>D60/D52</f>
        <v>1.9684107142857142E-2</v>
      </c>
      <c r="G60" s="66" t="s">
        <v>253</v>
      </c>
      <c r="I60" s="48"/>
      <c r="J60" s="48"/>
      <c r="S60" s="4"/>
      <c r="V60" s="48"/>
      <c r="W60" s="48"/>
      <c r="AJ60" s="48"/>
    </row>
    <row r="61" spans="1:50" x14ac:dyDescent="0.3">
      <c r="B61" s="53">
        <v>1</v>
      </c>
      <c r="C61" s="38" t="s">
        <v>297</v>
      </c>
      <c r="D61" s="6">
        <f>16/3</f>
        <v>5.333333333333333</v>
      </c>
      <c r="E61" s="38" t="s">
        <v>248</v>
      </c>
      <c r="F61" s="5">
        <f>D61/D52</f>
        <v>4.7619047619047616E-2</v>
      </c>
      <c r="G61" s="66" t="s">
        <v>253</v>
      </c>
      <c r="I61" s="48"/>
      <c r="J61" s="48"/>
      <c r="S61" s="4"/>
      <c r="V61" s="48"/>
      <c r="W61" s="48"/>
      <c r="AJ61" s="48"/>
    </row>
    <row r="62" spans="1:50" x14ac:dyDescent="0.3">
      <c r="B62" s="53">
        <v>1</v>
      </c>
      <c r="C62" s="38" t="s">
        <v>298</v>
      </c>
      <c r="D62" s="6">
        <v>100</v>
      </c>
      <c r="E62" s="38" t="s">
        <v>297</v>
      </c>
      <c r="F62" s="5">
        <f>D62*F61</f>
        <v>4.7619047619047619</v>
      </c>
      <c r="G62" s="66" t="s">
        <v>253</v>
      </c>
      <c r="I62" s="48"/>
      <c r="J62" s="48"/>
      <c r="S62" s="4"/>
      <c r="V62" s="48"/>
      <c r="W62" s="48"/>
      <c r="AJ62" s="48"/>
    </row>
    <row r="63" spans="1:50" x14ac:dyDescent="0.3">
      <c r="B63" s="53">
        <v>1</v>
      </c>
      <c r="C63" s="38" t="s">
        <v>294</v>
      </c>
      <c r="D63" s="6">
        <f>D52/D61</f>
        <v>21</v>
      </c>
      <c r="E63" s="38" t="s">
        <v>297</v>
      </c>
      <c r="F63" s="5"/>
      <c r="G63" s="66"/>
      <c r="I63" s="48"/>
      <c r="J63" s="48"/>
      <c r="S63" s="4"/>
      <c r="V63" s="48"/>
      <c r="W63" s="48"/>
      <c r="AJ63" s="48"/>
    </row>
    <row r="64" spans="1:50" x14ac:dyDescent="0.3">
      <c r="B64" s="69">
        <v>1</v>
      </c>
      <c r="C64" s="38" t="s">
        <v>305</v>
      </c>
      <c r="D64" s="6">
        <v>25</v>
      </c>
      <c r="E64" s="38" t="s">
        <v>14</v>
      </c>
      <c r="F64" s="68">
        <f>J59/D64</f>
        <v>40.641924685433317</v>
      </c>
      <c r="G64" s="48" t="s">
        <v>5</v>
      </c>
      <c r="H64" s="48"/>
      <c r="J64" s="48"/>
      <c r="K64" s="48"/>
      <c r="T64" s="4"/>
      <c r="W64" s="48"/>
      <c r="X64" s="48"/>
      <c r="AK64" s="48"/>
    </row>
    <row r="65" spans="1:26" x14ac:dyDescent="0.3">
      <c r="B65" s="46">
        <v>1</v>
      </c>
      <c r="C65" s="38" t="s">
        <v>247</v>
      </c>
      <c r="D65" s="6">
        <v>108</v>
      </c>
      <c r="E65" s="38" t="s">
        <v>248</v>
      </c>
      <c r="H65" s="38"/>
      <c r="I65" s="6"/>
      <c r="J65" s="6"/>
      <c r="K65" s="38"/>
      <c r="M65" s="54"/>
      <c r="N65" s="54"/>
      <c r="O65" s="54"/>
      <c r="P65" s="54"/>
      <c r="Q65" s="4"/>
      <c r="R65" s="4"/>
      <c r="S65" s="55"/>
      <c r="T65" s="55"/>
      <c r="U65" s="55"/>
      <c r="V65" s="48"/>
      <c r="W65" s="4"/>
      <c r="X65" s="4"/>
      <c r="Y65" s="4"/>
      <c r="Z65" s="4"/>
    </row>
    <row r="66" spans="1:26" x14ac:dyDescent="0.3">
      <c r="B66" s="46">
        <v>1</v>
      </c>
      <c r="C66" s="38" t="s">
        <v>27</v>
      </c>
      <c r="D66" s="6">
        <v>32.5</v>
      </c>
      <c r="E66" s="38" t="s">
        <v>248</v>
      </c>
      <c r="F66" s="4"/>
      <c r="G66" s="4"/>
      <c r="H66" s="38"/>
      <c r="I66" s="6"/>
      <c r="J66" s="6"/>
      <c r="K66" s="38"/>
      <c r="M66" s="54"/>
      <c r="N66" s="54"/>
      <c r="O66" s="54"/>
      <c r="P66" s="54"/>
      <c r="Q66" s="4"/>
      <c r="R66" s="4"/>
      <c r="S66" s="55"/>
      <c r="T66" s="55"/>
      <c r="U66" s="55"/>
      <c r="V66" s="48"/>
      <c r="W66" s="4"/>
      <c r="X66" s="4"/>
      <c r="Y66" s="4"/>
      <c r="Z66" s="4"/>
    </row>
    <row r="67" spans="1:26" x14ac:dyDescent="0.3">
      <c r="B67" s="46">
        <v>1</v>
      </c>
      <c r="C67" s="38" t="s">
        <v>250</v>
      </c>
      <c r="D67" s="6">
        <v>112</v>
      </c>
      <c r="E67" s="38" t="s">
        <v>15</v>
      </c>
      <c r="H67" s="38"/>
      <c r="I67" s="6"/>
      <c r="J67" s="6"/>
      <c r="K67" s="38"/>
      <c r="M67" s="54"/>
      <c r="N67" s="54"/>
      <c r="O67" s="54"/>
      <c r="P67" s="54"/>
      <c r="Q67" s="4"/>
      <c r="R67" s="4"/>
      <c r="S67" s="55"/>
      <c r="T67" s="55"/>
      <c r="U67" s="55"/>
      <c r="V67" s="48"/>
      <c r="W67" s="4"/>
      <c r="X67" s="4"/>
      <c r="Y67" s="4"/>
      <c r="Z67" s="4"/>
    </row>
    <row r="68" spans="1:26" ht="14.4" customHeight="1" x14ac:dyDescent="0.3">
      <c r="B68" s="84">
        <v>1</v>
      </c>
      <c r="C68" s="81" t="s">
        <v>251</v>
      </c>
      <c r="D68" s="82">
        <v>130</v>
      </c>
      <c r="E68" s="83" t="s">
        <v>248</v>
      </c>
      <c r="H68" s="38"/>
      <c r="I68" s="6"/>
      <c r="J68" s="6"/>
      <c r="K68" s="38"/>
      <c r="M68" s="54"/>
      <c r="N68" s="54"/>
      <c r="O68" s="54"/>
      <c r="P68" s="54"/>
      <c r="Q68" s="4"/>
      <c r="R68" s="4"/>
      <c r="S68" s="55"/>
      <c r="T68" s="55"/>
      <c r="U68" s="55"/>
      <c r="V68" s="48"/>
      <c r="W68" s="4"/>
      <c r="X68" s="4"/>
      <c r="Y68" s="4"/>
      <c r="Z68" s="4"/>
    </row>
    <row r="69" spans="1:26" ht="14.4" customHeight="1" x14ac:dyDescent="0.3">
      <c r="B69" s="84"/>
      <c r="C69" s="81"/>
      <c r="D69" s="82"/>
      <c r="E69" s="83"/>
      <c r="F69" s="4"/>
      <c r="G69" s="4"/>
      <c r="H69" s="38"/>
      <c r="I69" s="6"/>
      <c r="J69" s="6"/>
      <c r="K69" s="38"/>
      <c r="M69" s="54"/>
      <c r="N69" s="54"/>
      <c r="O69" s="54"/>
      <c r="P69" s="54"/>
      <c r="Q69" s="4"/>
      <c r="R69" s="4"/>
      <c r="S69" s="55"/>
      <c r="T69" s="55"/>
      <c r="U69" s="55"/>
      <c r="V69" s="48"/>
      <c r="W69" s="4"/>
      <c r="X69" s="4"/>
      <c r="Y69" s="4"/>
      <c r="Z69" s="4"/>
    </row>
    <row r="70" spans="1:26" x14ac:dyDescent="0.3">
      <c r="B70" s="56">
        <v>1</v>
      </c>
      <c r="C70" s="38" t="s">
        <v>252</v>
      </c>
      <c r="D70" s="6">
        <v>260</v>
      </c>
      <c r="E70" s="38" t="s">
        <v>248</v>
      </c>
      <c r="F70" s="4"/>
      <c r="G70" s="4"/>
      <c r="H70" s="38"/>
      <c r="I70" s="6"/>
      <c r="J70" s="6"/>
      <c r="K70" s="38"/>
      <c r="M70" s="54"/>
      <c r="N70" s="54"/>
      <c r="O70" s="54"/>
      <c r="P70" s="54"/>
      <c r="Q70" s="4"/>
      <c r="R70" s="4"/>
      <c r="S70" s="55"/>
      <c r="T70" s="55"/>
      <c r="U70" s="55"/>
      <c r="V70" s="48"/>
      <c r="W70" s="4"/>
      <c r="X70" s="4"/>
      <c r="Y70" s="4"/>
      <c r="Z70" s="4"/>
    </row>
    <row r="71" spans="1:26" x14ac:dyDescent="0.3">
      <c r="B71" s="56">
        <v>1</v>
      </c>
      <c r="C71" s="38" t="s">
        <v>328</v>
      </c>
      <c r="D71" s="6">
        <f>D68/D67</f>
        <v>1.1607142857142858</v>
      </c>
      <c r="E71" s="38" t="s">
        <v>253</v>
      </c>
      <c r="F71" s="4"/>
      <c r="G71" s="4"/>
      <c r="H71" s="38"/>
      <c r="I71" s="6"/>
      <c r="J71" s="6"/>
      <c r="K71" s="38"/>
      <c r="M71" s="54"/>
      <c r="N71" s="54"/>
      <c r="O71" s="54"/>
      <c r="P71" s="54"/>
      <c r="Q71" s="4"/>
      <c r="R71" s="4"/>
      <c r="S71" s="55"/>
      <c r="T71" s="55"/>
      <c r="U71" s="55"/>
      <c r="V71" s="48"/>
      <c r="W71" s="4"/>
      <c r="X71" s="4"/>
      <c r="Y71" s="4"/>
      <c r="Z71" s="4"/>
    </row>
    <row r="72" spans="1:26" x14ac:dyDescent="0.3">
      <c r="B72" s="56">
        <v>1</v>
      </c>
      <c r="C72" s="38" t="s">
        <v>252</v>
      </c>
      <c r="D72" s="6">
        <f>D70/D67</f>
        <v>2.3214285714285716</v>
      </c>
      <c r="E72" s="38" t="s">
        <v>253</v>
      </c>
      <c r="F72" s="4"/>
      <c r="G72" s="4"/>
      <c r="H72" s="38"/>
      <c r="I72" s="6"/>
      <c r="J72" s="6"/>
      <c r="K72" s="38"/>
      <c r="M72" s="54"/>
      <c r="N72" s="54"/>
      <c r="O72" s="54"/>
      <c r="P72" s="54"/>
      <c r="Q72" s="4"/>
      <c r="R72" s="4"/>
      <c r="S72" s="55"/>
      <c r="T72" s="55"/>
      <c r="U72" s="55"/>
      <c r="V72" s="48"/>
      <c r="W72" s="4"/>
      <c r="X72" s="4"/>
      <c r="Y72" s="4"/>
      <c r="Z72" s="4"/>
    </row>
    <row r="73" spans="1:26" x14ac:dyDescent="0.3">
      <c r="A73" s="4"/>
      <c r="B73" s="4"/>
      <c r="C73" s="4"/>
      <c r="D73" s="4"/>
      <c r="E73" s="4"/>
      <c r="F73" s="4"/>
      <c r="G73" s="4"/>
      <c r="H73" s="38"/>
      <c r="I73" s="6"/>
      <c r="J73" s="6"/>
      <c r="K73" s="38"/>
      <c r="M73" s="54"/>
      <c r="N73" s="54"/>
      <c r="O73" s="54"/>
      <c r="P73" s="54"/>
      <c r="Q73" s="4"/>
      <c r="R73" s="4"/>
      <c r="S73" s="55"/>
      <c r="T73" s="55"/>
      <c r="U73" s="55"/>
      <c r="V73" s="48"/>
      <c r="W73" s="4"/>
      <c r="X73" s="4"/>
      <c r="Y73" s="4"/>
      <c r="Z73" s="4"/>
    </row>
    <row r="74" spans="1:26" x14ac:dyDescent="0.3">
      <c r="A74" s="4" t="s">
        <v>255</v>
      </c>
      <c r="B74" s="4">
        <v>1</v>
      </c>
      <c r="C74" s="49" t="s">
        <v>256</v>
      </c>
      <c r="D74" s="4">
        <v>373.33</v>
      </c>
      <c r="E74" s="38" t="s">
        <v>248</v>
      </c>
      <c r="F74" s="5">
        <f>D74/D67</f>
        <v>3.3333035714285715</v>
      </c>
      <c r="G74" s="38" t="s">
        <v>253</v>
      </c>
      <c r="H74" s="38"/>
      <c r="I74" s="6"/>
      <c r="J74" s="6"/>
      <c r="K74" s="38"/>
      <c r="M74" s="54"/>
      <c r="N74" s="54"/>
      <c r="O74" s="54"/>
      <c r="P74" s="54"/>
      <c r="Q74" s="4"/>
      <c r="R74" s="4"/>
      <c r="S74" s="55"/>
      <c r="T74" s="55"/>
      <c r="U74" s="55"/>
      <c r="V74" s="48"/>
      <c r="W74" s="4"/>
      <c r="X74" s="4"/>
      <c r="Y74" s="4"/>
      <c r="Z74" s="4"/>
    </row>
    <row r="75" spans="1:26" x14ac:dyDescent="0.3">
      <c r="A75" s="4" t="s">
        <v>257</v>
      </c>
      <c r="B75" s="4">
        <v>1</v>
      </c>
      <c r="C75" s="49" t="s">
        <v>247</v>
      </c>
      <c r="D75" s="4">
        <v>0.5</v>
      </c>
      <c r="E75" s="38" t="s">
        <v>253</v>
      </c>
      <c r="F75" s="4"/>
      <c r="G75" s="4"/>
      <c r="H75" s="38"/>
      <c r="I75" s="6"/>
      <c r="J75" s="6"/>
      <c r="K75" s="38"/>
      <c r="M75" s="54"/>
      <c r="N75" s="54"/>
      <c r="O75" s="54"/>
      <c r="P75" s="54"/>
      <c r="Q75" s="4"/>
      <c r="R75" s="4"/>
      <c r="S75" s="55"/>
      <c r="T75" s="55"/>
      <c r="U75" s="55"/>
      <c r="V75" s="48"/>
      <c r="W75" s="4"/>
      <c r="X75" s="4"/>
      <c r="Y75" s="4"/>
      <c r="Z75" s="4"/>
    </row>
    <row r="76" spans="1:26" x14ac:dyDescent="0.3">
      <c r="A76" s="4" t="s">
        <v>62</v>
      </c>
      <c r="B76">
        <v>1</v>
      </c>
      <c r="C76" s="38" t="s">
        <v>258</v>
      </c>
      <c r="D76" s="6">
        <v>1.5</v>
      </c>
      <c r="E76" s="38" t="s">
        <v>253</v>
      </c>
      <c r="G76" s="38"/>
      <c r="H76" s="38"/>
      <c r="I76" s="6"/>
      <c r="J76" s="6"/>
      <c r="K76" s="38"/>
      <c r="M76" s="54"/>
      <c r="N76" s="54"/>
      <c r="O76" s="54"/>
      <c r="P76" s="54"/>
      <c r="Q76" s="4"/>
      <c r="R76" s="4"/>
      <c r="S76" s="55"/>
      <c r="T76" s="55"/>
      <c r="U76" s="55"/>
      <c r="V76" s="48"/>
      <c r="W76" s="4"/>
      <c r="X76" s="4"/>
      <c r="Y76" s="4"/>
      <c r="Z76" s="4"/>
    </row>
    <row r="77" spans="1:26" x14ac:dyDescent="0.3">
      <c r="A77" s="4" t="s">
        <v>259</v>
      </c>
      <c r="B77">
        <v>1</v>
      </c>
      <c r="C77" s="38" t="s">
        <v>258</v>
      </c>
      <c r="D77" s="6">
        <v>1.75</v>
      </c>
      <c r="E77" s="38" t="s">
        <v>253</v>
      </c>
      <c r="G77" s="38"/>
      <c r="H77" s="38"/>
      <c r="I77" s="6"/>
      <c r="J77" s="6"/>
      <c r="K77" s="38"/>
      <c r="M77" s="54"/>
      <c r="N77" s="54"/>
      <c r="O77" s="54"/>
      <c r="P77" s="54"/>
      <c r="Q77" s="4"/>
      <c r="R77" s="4"/>
      <c r="S77" s="55"/>
      <c r="T77" s="55"/>
      <c r="U77" s="55"/>
      <c r="V77" s="48"/>
      <c r="W77" s="4"/>
      <c r="X77" s="4"/>
      <c r="Y77" s="4"/>
      <c r="Z77" s="4"/>
    </row>
    <row r="78" spans="1:26" x14ac:dyDescent="0.3">
      <c r="A78" s="4" t="s">
        <v>260</v>
      </c>
      <c r="B78">
        <v>1</v>
      </c>
      <c r="C78" s="38" t="s">
        <v>258</v>
      </c>
      <c r="D78" s="6">
        <v>1.5</v>
      </c>
      <c r="E78" s="38" t="s">
        <v>253</v>
      </c>
      <c r="G78" s="38"/>
      <c r="H78" s="38"/>
      <c r="I78" s="6"/>
      <c r="J78" s="6"/>
      <c r="K78" s="38"/>
      <c r="M78" s="54"/>
      <c r="N78" s="54"/>
      <c r="O78" s="54"/>
      <c r="P78" s="54"/>
      <c r="Q78" s="4"/>
      <c r="R78" s="4"/>
      <c r="S78" s="55"/>
      <c r="T78" s="55"/>
      <c r="U78" s="55"/>
      <c r="V78" s="48"/>
      <c r="W78" s="4"/>
      <c r="X78" s="4"/>
      <c r="Y78" s="4"/>
      <c r="Z78" s="4"/>
    </row>
    <row r="79" spans="1:26" x14ac:dyDescent="0.3">
      <c r="A79" s="4" t="s">
        <v>261</v>
      </c>
      <c r="B79">
        <v>1</v>
      </c>
      <c r="C79" s="38" t="s">
        <v>256</v>
      </c>
      <c r="D79" s="6">
        <v>1.26</v>
      </c>
      <c r="E79" s="38" t="s">
        <v>253</v>
      </c>
      <c r="G79" s="38"/>
      <c r="H79" s="38"/>
      <c r="I79" s="6"/>
      <c r="J79" s="6"/>
      <c r="K79" s="38"/>
      <c r="M79" s="54"/>
      <c r="N79" s="54"/>
      <c r="O79" s="54"/>
      <c r="P79" s="54"/>
      <c r="Q79" s="4"/>
      <c r="R79" s="4"/>
      <c r="S79" s="55"/>
      <c r="T79" s="55"/>
      <c r="U79" s="55"/>
      <c r="V79" s="48"/>
      <c r="W79" s="4"/>
      <c r="X79" s="4"/>
      <c r="Y79" s="4"/>
      <c r="Z79" s="4"/>
    </row>
    <row r="80" spans="1:26" x14ac:dyDescent="0.3">
      <c r="A80" s="4" t="s">
        <v>71</v>
      </c>
      <c r="B80">
        <v>1</v>
      </c>
      <c r="C80" s="38" t="s">
        <v>262</v>
      </c>
      <c r="D80" s="6">
        <v>15.9</v>
      </c>
      <c r="E80" s="38" t="s">
        <v>253</v>
      </c>
      <c r="G80" s="38"/>
      <c r="H80" s="38"/>
      <c r="I80" s="6"/>
      <c r="J80" s="6"/>
      <c r="K80" s="38"/>
      <c r="M80" s="54"/>
      <c r="N80" s="54"/>
      <c r="O80" s="54"/>
      <c r="P80" s="54"/>
      <c r="Q80" s="4"/>
      <c r="R80" s="4"/>
      <c r="S80" s="55"/>
      <c r="T80" s="55"/>
      <c r="U80" s="55"/>
      <c r="V80" s="48"/>
      <c r="W80" s="4"/>
      <c r="X80" s="4"/>
      <c r="Y80" s="4"/>
      <c r="Z80" s="4"/>
    </row>
    <row r="81" spans="1:26" x14ac:dyDescent="0.3">
      <c r="A81" s="4" t="s">
        <v>263</v>
      </c>
      <c r="B81">
        <v>1</v>
      </c>
      <c r="C81" s="38" t="s">
        <v>264</v>
      </c>
      <c r="D81" s="6">
        <f>439.681/D67</f>
        <v>3.9257232142857141</v>
      </c>
      <c r="E81" s="38" t="s">
        <v>253</v>
      </c>
      <c r="G81" s="38"/>
      <c r="I81" s="6"/>
      <c r="J81" s="6"/>
      <c r="K81" s="38"/>
      <c r="M81" s="54"/>
      <c r="N81" s="54"/>
      <c r="O81" s="54"/>
      <c r="P81" s="54"/>
      <c r="Q81" s="4"/>
      <c r="R81" s="4"/>
      <c r="S81" s="55"/>
      <c r="T81" s="55"/>
      <c r="U81" s="55"/>
      <c r="V81" s="48"/>
      <c r="W81" s="4"/>
      <c r="X81" s="4"/>
      <c r="Y81" s="4"/>
      <c r="Z81" s="4"/>
    </row>
    <row r="82" spans="1:26" x14ac:dyDescent="0.3">
      <c r="A82" s="4" t="s">
        <v>265</v>
      </c>
      <c r="B82">
        <v>1</v>
      </c>
      <c r="C82" s="38" t="s">
        <v>264</v>
      </c>
      <c r="D82" s="6">
        <v>3</v>
      </c>
      <c r="E82" s="38" t="s">
        <v>253</v>
      </c>
      <c r="G82" s="38"/>
      <c r="M82" s="54"/>
      <c r="N82" s="54"/>
      <c r="O82" s="54"/>
      <c r="P82" s="54"/>
      <c r="Q82" s="48"/>
      <c r="R82" s="48"/>
      <c r="S82" s="55"/>
      <c r="T82" s="55"/>
      <c r="U82" s="55"/>
      <c r="V82" s="48"/>
      <c r="W82" s="4"/>
      <c r="X82" s="4"/>
      <c r="Y82" s="4"/>
      <c r="Z82" s="4"/>
    </row>
    <row r="83" spans="1:26" x14ac:dyDescent="0.3">
      <c r="A83" s="4" t="s">
        <v>82</v>
      </c>
      <c r="B83">
        <v>1</v>
      </c>
      <c r="C83" s="38" t="s">
        <v>264</v>
      </c>
      <c r="D83" s="6">
        <v>2.98</v>
      </c>
      <c r="E83" s="38" t="s">
        <v>253</v>
      </c>
      <c r="G83" s="38"/>
      <c r="M83" s="54"/>
      <c r="N83" s="54"/>
      <c r="O83" s="54"/>
      <c r="P83" s="54"/>
      <c r="Q83" s="48"/>
      <c r="R83" s="48"/>
      <c r="S83" s="55"/>
      <c r="T83" s="55"/>
      <c r="U83" s="55"/>
      <c r="V83" s="48"/>
      <c r="W83" s="4"/>
      <c r="X83" s="4"/>
      <c r="Y83" s="4"/>
      <c r="Z83" s="4"/>
    </row>
    <row r="84" spans="1:26" x14ac:dyDescent="0.3">
      <c r="A84" s="4" t="s">
        <v>70</v>
      </c>
      <c r="B84">
        <v>1</v>
      </c>
      <c r="C84" s="38" t="s">
        <v>266</v>
      </c>
      <c r="D84" s="6">
        <v>9</v>
      </c>
      <c r="E84" s="38" t="s">
        <v>267</v>
      </c>
      <c r="G84" s="38"/>
      <c r="M84" s="54"/>
      <c r="N84" s="54"/>
      <c r="O84" s="54"/>
      <c r="P84" s="54"/>
      <c r="Q84" s="48"/>
      <c r="R84" s="48"/>
      <c r="S84" s="55"/>
      <c r="T84" s="55"/>
      <c r="U84" s="55"/>
      <c r="V84" s="48"/>
      <c r="W84" s="4"/>
      <c r="X84" s="4"/>
      <c r="Y84" s="4"/>
      <c r="Z84" s="4"/>
    </row>
    <row r="85" spans="1:26" x14ac:dyDescent="0.3">
      <c r="A85" s="4" t="s">
        <v>268</v>
      </c>
      <c r="B85">
        <v>1</v>
      </c>
      <c r="C85" s="38" t="s">
        <v>269</v>
      </c>
      <c r="D85" s="6">
        <v>9</v>
      </c>
      <c r="E85" s="38" t="s">
        <v>267</v>
      </c>
      <c r="G85" s="38"/>
      <c r="M85" s="54"/>
      <c r="N85" s="54"/>
      <c r="O85" s="54"/>
      <c r="P85" s="54"/>
      <c r="Q85" s="48"/>
      <c r="R85" s="48"/>
      <c r="S85" s="55"/>
      <c r="T85" s="55"/>
      <c r="U85" s="55"/>
      <c r="V85" s="48"/>
      <c r="W85" s="4"/>
      <c r="X85" s="4"/>
      <c r="Y85" s="4"/>
      <c r="Z85" s="4"/>
    </row>
    <row r="86" spans="1:26" x14ac:dyDescent="0.3">
      <c r="A86" s="4" t="s">
        <v>73</v>
      </c>
      <c r="B86">
        <v>1</v>
      </c>
      <c r="C86" s="38" t="s">
        <v>258</v>
      </c>
      <c r="D86" s="6">
        <v>1.75</v>
      </c>
      <c r="E86" s="38" t="s">
        <v>253</v>
      </c>
      <c r="F86">
        <f>D86*D67</f>
        <v>196</v>
      </c>
      <c r="G86" s="38" t="s">
        <v>248</v>
      </c>
      <c r="M86" s="54"/>
      <c r="N86" s="54"/>
      <c r="O86" s="54"/>
      <c r="P86" s="54"/>
      <c r="Q86" s="48"/>
      <c r="R86" s="48"/>
      <c r="S86" s="55"/>
      <c r="T86" s="55"/>
      <c r="U86" s="55"/>
      <c r="V86" s="48"/>
      <c r="W86" s="4"/>
      <c r="X86" s="4"/>
      <c r="Y86" s="4"/>
      <c r="Z86" s="4"/>
    </row>
    <row r="87" spans="1:26" x14ac:dyDescent="0.3">
      <c r="A87" s="4" t="s">
        <v>73</v>
      </c>
      <c r="B87">
        <v>1</v>
      </c>
      <c r="C87" s="38" t="s">
        <v>256</v>
      </c>
      <c r="D87" s="6">
        <v>175</v>
      </c>
      <c r="E87" s="38" t="s">
        <v>248</v>
      </c>
      <c r="F87" s="6">
        <f>D87/D67</f>
        <v>1.5625</v>
      </c>
      <c r="G87" s="38" t="s">
        <v>250</v>
      </c>
      <c r="M87" s="54"/>
      <c r="N87" s="54"/>
      <c r="O87" s="54"/>
      <c r="P87" s="54"/>
      <c r="Q87" s="48"/>
      <c r="R87" s="48"/>
      <c r="S87" s="55"/>
      <c r="T87" s="55"/>
      <c r="U87" s="55"/>
      <c r="V87" s="48"/>
      <c r="W87" s="4"/>
      <c r="X87" s="4"/>
      <c r="Y87" s="4"/>
      <c r="Z87" s="4"/>
    </row>
    <row r="88" spans="1:26" x14ac:dyDescent="0.3">
      <c r="A88" s="4" t="s">
        <v>270</v>
      </c>
      <c r="B88">
        <v>1</v>
      </c>
      <c r="C88" s="38" t="s">
        <v>271</v>
      </c>
      <c r="D88" s="6">
        <v>0.15175</v>
      </c>
      <c r="E88" s="38" t="s">
        <v>253</v>
      </c>
      <c r="F88" s="6">
        <v>16.997</v>
      </c>
      <c r="G88" s="38" t="s">
        <v>248</v>
      </c>
      <c r="M88" s="54"/>
      <c r="N88" s="54"/>
      <c r="O88" s="54"/>
      <c r="P88" s="54"/>
      <c r="Q88" s="48"/>
      <c r="R88" s="48"/>
      <c r="S88" s="55"/>
      <c r="T88" s="55"/>
      <c r="U88" s="55"/>
      <c r="V88" s="48"/>
      <c r="W88" s="4"/>
      <c r="X88" s="4"/>
      <c r="Y88" s="4"/>
      <c r="Z88" s="4"/>
    </row>
    <row r="89" spans="1:26" x14ac:dyDescent="0.3">
      <c r="A89" s="4" t="s">
        <v>61</v>
      </c>
      <c r="B89">
        <v>1</v>
      </c>
      <c r="C89" s="38" t="s">
        <v>258</v>
      </c>
      <c r="D89" s="6">
        <v>1.5</v>
      </c>
      <c r="E89" s="38" t="s">
        <v>253</v>
      </c>
      <c r="G89" s="38"/>
      <c r="M89" s="54"/>
      <c r="N89" s="54"/>
      <c r="O89" s="54"/>
      <c r="P89" s="54"/>
      <c r="Q89" s="48"/>
      <c r="R89" s="48"/>
      <c r="S89" s="55"/>
      <c r="T89" s="55"/>
      <c r="U89" s="55"/>
      <c r="V89" s="48"/>
      <c r="W89" s="4"/>
      <c r="X89" s="4"/>
      <c r="Y89" s="4"/>
      <c r="Z89" s="4"/>
    </row>
    <row r="90" spans="1:26" x14ac:dyDescent="0.3">
      <c r="A90" s="4" t="s">
        <v>272</v>
      </c>
      <c r="B90">
        <v>1</v>
      </c>
      <c r="C90" s="38" t="s">
        <v>258</v>
      </c>
      <c r="D90" s="6">
        <v>1.625</v>
      </c>
      <c r="E90" s="38" t="s">
        <v>253</v>
      </c>
      <c r="G90" s="38"/>
      <c r="M90" s="54"/>
      <c r="N90" s="54"/>
      <c r="O90" s="54"/>
      <c r="P90" s="54"/>
      <c r="Q90" s="48"/>
      <c r="R90" s="48"/>
      <c r="S90" s="55"/>
      <c r="T90" s="55"/>
      <c r="U90" s="55"/>
      <c r="V90" s="48"/>
      <c r="W90" s="4"/>
      <c r="X90" s="4"/>
      <c r="Y90" s="4"/>
      <c r="Z90" s="4"/>
    </row>
    <row r="91" spans="1:26" x14ac:dyDescent="0.3">
      <c r="A91" s="4" t="s">
        <v>59</v>
      </c>
      <c r="B91">
        <v>1</v>
      </c>
      <c r="C91" s="38" t="s">
        <v>258</v>
      </c>
      <c r="D91" s="6">
        <v>1.5</v>
      </c>
      <c r="E91" s="38" t="s">
        <v>253</v>
      </c>
      <c r="G91" s="38"/>
      <c r="M91" s="54"/>
      <c r="N91" s="54"/>
      <c r="O91" s="54"/>
      <c r="P91" s="54"/>
      <c r="Q91" s="48"/>
      <c r="R91" s="48"/>
      <c r="S91" s="55"/>
      <c r="T91" s="55"/>
      <c r="U91" s="55"/>
      <c r="V91" s="48"/>
      <c r="W91" s="4"/>
      <c r="X91" s="4"/>
      <c r="Y91" s="4"/>
      <c r="Z91" s="4"/>
    </row>
    <row r="92" spans="1:26" x14ac:dyDescent="0.3">
      <c r="A92" s="4" t="s">
        <v>273</v>
      </c>
      <c r="B92">
        <v>1</v>
      </c>
      <c r="C92" s="38" t="s">
        <v>258</v>
      </c>
      <c r="D92" s="6">
        <v>1.5</v>
      </c>
      <c r="E92" s="38" t="s">
        <v>253</v>
      </c>
      <c r="G92" s="38"/>
      <c r="M92" s="54"/>
      <c r="N92" s="54"/>
      <c r="O92" s="54"/>
      <c r="P92" s="54"/>
      <c r="Q92" s="48"/>
      <c r="R92" s="48"/>
      <c r="S92" s="55"/>
      <c r="T92" s="55"/>
      <c r="U92" s="55"/>
      <c r="V92" s="48"/>
      <c r="W92" s="4"/>
      <c r="X92" s="4"/>
      <c r="Y92" s="4"/>
      <c r="Z92" s="4"/>
    </row>
    <row r="93" spans="1:26" x14ac:dyDescent="0.3">
      <c r="A93" s="79" t="s">
        <v>274</v>
      </c>
      <c r="B93">
        <v>1</v>
      </c>
      <c r="C93" s="38" t="s">
        <v>275</v>
      </c>
      <c r="D93" s="6">
        <v>18.559999999999999</v>
      </c>
      <c r="E93" s="38" t="s">
        <v>267</v>
      </c>
      <c r="G93" s="38"/>
      <c r="M93" s="54"/>
      <c r="N93" s="54"/>
      <c r="O93" s="54"/>
      <c r="P93" s="54"/>
      <c r="Q93" s="48"/>
      <c r="R93" s="48"/>
      <c r="S93" s="55"/>
      <c r="T93" s="55"/>
      <c r="U93" s="55"/>
      <c r="V93" s="48"/>
      <c r="W93" s="4"/>
      <c r="X93" s="4"/>
      <c r="Y93" s="4"/>
      <c r="Z93" s="4"/>
    </row>
    <row r="94" spans="1:26" x14ac:dyDescent="0.3">
      <c r="A94" s="79"/>
      <c r="B94">
        <v>1</v>
      </c>
      <c r="C94" s="38" t="s">
        <v>276</v>
      </c>
      <c r="D94" s="6">
        <v>164</v>
      </c>
      <c r="E94" s="38" t="s">
        <v>248</v>
      </c>
      <c r="F94" s="6">
        <f>D94/D52</f>
        <v>1.4642857142857142</v>
      </c>
      <c r="G94" s="38" t="s">
        <v>253</v>
      </c>
      <c r="M94" s="54"/>
      <c r="N94" s="54"/>
      <c r="O94" s="54"/>
      <c r="P94" s="54"/>
      <c r="Q94" s="48"/>
      <c r="R94" s="48"/>
      <c r="S94" s="55"/>
      <c r="T94" s="55"/>
      <c r="U94" s="55"/>
      <c r="V94" s="48"/>
      <c r="W94" s="4"/>
      <c r="X94" s="4"/>
      <c r="Y94" s="4"/>
      <c r="Z94" s="4"/>
    </row>
    <row r="95" spans="1:26" x14ac:dyDescent="0.3">
      <c r="A95" s="79" t="s">
        <v>277</v>
      </c>
      <c r="B95">
        <v>1</v>
      </c>
      <c r="C95" s="38" t="s">
        <v>278</v>
      </c>
      <c r="D95" s="6">
        <v>336</v>
      </c>
      <c r="E95" s="38" t="s">
        <v>248</v>
      </c>
      <c r="F95" s="6">
        <v>3</v>
      </c>
      <c r="G95" s="38" t="s">
        <v>253</v>
      </c>
      <c r="M95" s="54"/>
      <c r="N95" s="54"/>
      <c r="O95" s="54"/>
      <c r="P95" s="54"/>
      <c r="Q95" s="48"/>
      <c r="R95" s="48"/>
      <c r="S95" s="55"/>
      <c r="T95" s="55"/>
      <c r="U95" s="55"/>
      <c r="V95" s="48"/>
      <c r="W95" s="4"/>
      <c r="X95" s="4"/>
      <c r="Y95" s="4"/>
      <c r="Z95" s="4"/>
    </row>
    <row r="96" spans="1:26" x14ac:dyDescent="0.3">
      <c r="A96" s="79"/>
      <c r="B96">
        <v>1</v>
      </c>
      <c r="C96" s="38" t="s">
        <v>279</v>
      </c>
      <c r="D96" s="6">
        <v>240</v>
      </c>
      <c r="E96" s="38" t="s">
        <v>248</v>
      </c>
      <c r="F96" s="6">
        <f>D96/D67</f>
        <v>2.1428571428571428</v>
      </c>
      <c r="G96" s="38" t="s">
        <v>253</v>
      </c>
      <c r="M96" s="54"/>
      <c r="N96" s="54"/>
      <c r="O96" s="54"/>
      <c r="P96" s="54"/>
      <c r="Q96" s="48"/>
      <c r="R96" s="48"/>
      <c r="S96" s="55"/>
      <c r="T96" s="55"/>
      <c r="U96" s="55"/>
      <c r="V96" s="48"/>
      <c r="W96" s="4"/>
      <c r="X96" s="4"/>
      <c r="Y96" s="4"/>
      <c r="Z96" s="4"/>
    </row>
    <row r="97" spans="1:26" x14ac:dyDescent="0.3">
      <c r="A97" s="79" t="s">
        <v>280</v>
      </c>
      <c r="B97">
        <v>1</v>
      </c>
      <c r="C97" s="38" t="s">
        <v>281</v>
      </c>
      <c r="D97" s="6">
        <v>3.40835</v>
      </c>
      <c r="E97" s="38" t="s">
        <v>258</v>
      </c>
      <c r="F97" s="6">
        <f>D97*D98/D67</f>
        <v>5.9646125000000003</v>
      </c>
      <c r="G97" s="38" t="s">
        <v>253</v>
      </c>
      <c r="M97" s="54"/>
      <c r="N97" s="54"/>
      <c r="O97" s="54"/>
      <c r="P97" s="54"/>
      <c r="Q97" s="48"/>
      <c r="R97" s="48"/>
      <c r="S97" s="55"/>
      <c r="T97" s="55"/>
      <c r="U97" s="55"/>
      <c r="V97" s="48"/>
      <c r="W97" s="4"/>
      <c r="X97" s="4"/>
      <c r="Y97" s="4"/>
      <c r="Z97" s="4"/>
    </row>
    <row r="98" spans="1:26" x14ac:dyDescent="0.3">
      <c r="A98" s="79"/>
      <c r="B98">
        <v>1</v>
      </c>
      <c r="C98" s="38" t="s">
        <v>258</v>
      </c>
      <c r="D98" s="5">
        <v>196</v>
      </c>
      <c r="E98" s="38" t="s">
        <v>248</v>
      </c>
      <c r="F98" s="6"/>
      <c r="G98" s="4"/>
      <c r="M98" s="54"/>
      <c r="N98" s="54"/>
      <c r="O98" s="54"/>
      <c r="P98" s="54"/>
      <c r="Q98" s="48"/>
      <c r="R98" s="48"/>
      <c r="S98" s="55"/>
      <c r="T98" s="55"/>
      <c r="U98" s="55"/>
      <c r="V98" s="48"/>
      <c r="W98" s="4"/>
      <c r="X98" s="4"/>
      <c r="Y98" s="4"/>
      <c r="Z98" s="4"/>
    </row>
    <row r="99" spans="1:26" x14ac:dyDescent="0.3">
      <c r="A99" s="79" t="s">
        <v>106</v>
      </c>
      <c r="B99">
        <v>1</v>
      </c>
      <c r="C99" s="38" t="s">
        <v>282</v>
      </c>
      <c r="D99" s="5">
        <v>1</v>
      </c>
      <c r="E99" s="38" t="s">
        <v>264</v>
      </c>
      <c r="F99" s="6">
        <f>F100</f>
        <v>3.0446428571428572</v>
      </c>
      <c r="G99" s="38" t="s">
        <v>253</v>
      </c>
      <c r="M99" s="54"/>
      <c r="N99" s="54"/>
      <c r="O99" s="54"/>
      <c r="P99" s="54"/>
      <c r="Q99" s="48"/>
      <c r="R99" s="48"/>
      <c r="S99" s="55"/>
      <c r="T99" s="55"/>
      <c r="U99" s="55"/>
      <c r="V99" s="48"/>
      <c r="W99" s="4"/>
      <c r="X99" s="4"/>
      <c r="Y99" s="4"/>
      <c r="Z99" s="4"/>
    </row>
    <row r="100" spans="1:26" x14ac:dyDescent="0.3">
      <c r="A100" s="79"/>
      <c r="B100">
        <v>1</v>
      </c>
      <c r="C100" s="38" t="s">
        <v>264</v>
      </c>
      <c r="D100" s="5">
        <f>(355+327)/2</f>
        <v>341</v>
      </c>
      <c r="E100" s="38" t="s">
        <v>248</v>
      </c>
      <c r="F100" s="6">
        <f>D100/D67</f>
        <v>3.0446428571428572</v>
      </c>
      <c r="G100" s="38" t="s">
        <v>253</v>
      </c>
      <c r="M100" s="54"/>
      <c r="N100" s="54"/>
      <c r="O100" s="54"/>
      <c r="P100" s="54"/>
      <c r="Q100" s="48"/>
      <c r="R100" s="48"/>
      <c r="S100" s="55"/>
      <c r="T100" s="55"/>
      <c r="U100" s="55"/>
      <c r="V100" s="48"/>
      <c r="W100" s="4"/>
      <c r="X100" s="4"/>
      <c r="Y100" s="4"/>
      <c r="Z100" s="4"/>
    </row>
    <row r="101" spans="1:26" x14ac:dyDescent="0.3">
      <c r="A101" s="79" t="s">
        <v>261</v>
      </c>
      <c r="B101">
        <v>1</v>
      </c>
      <c r="C101" s="49" t="s">
        <v>256</v>
      </c>
      <c r="D101" s="5">
        <v>140.63</v>
      </c>
      <c r="E101" s="38" t="s">
        <v>248</v>
      </c>
      <c r="F101" s="6">
        <f>D101/D67</f>
        <v>1.255625</v>
      </c>
      <c r="G101" s="38" t="s">
        <v>253</v>
      </c>
      <c r="M101" s="54"/>
      <c r="N101" s="54"/>
      <c r="O101" s="54"/>
      <c r="P101" s="54"/>
      <c r="Q101" s="48"/>
      <c r="R101" s="48"/>
      <c r="S101" s="55"/>
      <c r="T101" s="55"/>
      <c r="U101" s="55"/>
      <c r="V101" s="48"/>
      <c r="W101" s="4"/>
      <c r="X101" s="4"/>
      <c r="Y101" s="4"/>
      <c r="Z101" s="4"/>
    </row>
    <row r="102" spans="1:26" x14ac:dyDescent="0.3">
      <c r="A102" s="79"/>
      <c r="B102">
        <v>1</v>
      </c>
      <c r="C102" s="49" t="s">
        <v>283</v>
      </c>
      <c r="D102" s="5">
        <v>0.91576999999999997</v>
      </c>
      <c r="E102" s="38" t="s">
        <v>256</v>
      </c>
      <c r="F102" s="6">
        <f>F101*D102</f>
        <v>1.1498637062499999</v>
      </c>
      <c r="G102" s="38" t="s">
        <v>253</v>
      </c>
      <c r="M102" s="54"/>
      <c r="N102" s="54"/>
      <c r="O102" s="54"/>
      <c r="P102" s="54"/>
      <c r="Q102" s="48"/>
      <c r="R102" s="48"/>
      <c r="S102" s="55"/>
      <c r="T102" s="55"/>
      <c r="U102" s="55"/>
      <c r="V102" s="48"/>
      <c r="W102" s="4"/>
      <c r="X102" s="4"/>
      <c r="Y102" s="4"/>
      <c r="Z102" s="4"/>
    </row>
    <row r="103" spans="1:26" x14ac:dyDescent="0.3">
      <c r="A103" s="79" t="s">
        <v>284</v>
      </c>
      <c r="B103" s="4">
        <v>1</v>
      </c>
      <c r="C103" s="49" t="s">
        <v>264</v>
      </c>
      <c r="D103" s="5">
        <v>2.37609</v>
      </c>
      <c r="E103" s="49" t="s">
        <v>258</v>
      </c>
      <c r="F103" s="6">
        <f>D103*D104</f>
        <v>4.1366063637000003</v>
      </c>
      <c r="G103" s="38" t="s">
        <v>253</v>
      </c>
      <c r="M103" s="54"/>
      <c r="N103" s="54"/>
      <c r="O103" s="54"/>
      <c r="P103" s="54"/>
      <c r="Q103" s="48"/>
      <c r="R103" s="48"/>
      <c r="S103" s="55"/>
      <c r="T103" s="55"/>
      <c r="U103" s="55"/>
      <c r="V103" s="48"/>
      <c r="W103" s="4"/>
      <c r="X103" s="4"/>
      <c r="Y103" s="4"/>
      <c r="Z103" s="4"/>
    </row>
    <row r="104" spans="1:26" x14ac:dyDescent="0.3">
      <c r="A104" s="79"/>
      <c r="B104">
        <v>1</v>
      </c>
      <c r="C104" s="49" t="s">
        <v>258</v>
      </c>
      <c r="D104" s="5">
        <v>1.7409300000000001</v>
      </c>
      <c r="E104" s="38" t="s">
        <v>253</v>
      </c>
      <c r="F104" s="6"/>
      <c r="G104" s="38"/>
      <c r="M104" s="54"/>
      <c r="N104" s="54"/>
      <c r="O104" s="54"/>
      <c r="P104" s="54"/>
      <c r="Q104" s="48"/>
      <c r="R104" s="48"/>
      <c r="S104" s="55"/>
      <c r="T104" s="55"/>
      <c r="U104" s="55"/>
      <c r="V104" s="48"/>
      <c r="W104" s="4"/>
      <c r="X104" s="4"/>
      <c r="Y104" s="4"/>
      <c r="Z104" s="4"/>
    </row>
    <row r="105" spans="1:26" x14ac:dyDescent="0.3">
      <c r="A105" s="4" t="s">
        <v>285</v>
      </c>
      <c r="B105">
        <v>1</v>
      </c>
      <c r="C105" s="49" t="s">
        <v>264</v>
      </c>
      <c r="D105" s="5">
        <v>242</v>
      </c>
      <c r="E105" s="38" t="s">
        <v>248</v>
      </c>
      <c r="F105" s="6">
        <f>D105/D67</f>
        <v>2.1607142857142856</v>
      </c>
      <c r="G105" s="38" t="s">
        <v>253</v>
      </c>
      <c r="M105" s="54"/>
      <c r="N105" s="54"/>
      <c r="O105" s="54"/>
      <c r="P105" s="54"/>
      <c r="Q105" s="48"/>
      <c r="R105" s="48"/>
      <c r="S105" s="55"/>
      <c r="T105" s="55"/>
      <c r="U105" s="55"/>
      <c r="V105" s="48"/>
      <c r="W105" s="4"/>
      <c r="X105" s="4"/>
      <c r="Y105" s="4"/>
      <c r="Z105" s="4"/>
    </row>
    <row r="106" spans="1:26" x14ac:dyDescent="0.3">
      <c r="A106" s="4" t="s">
        <v>286</v>
      </c>
      <c r="B106">
        <v>1</v>
      </c>
      <c r="C106" s="49" t="s">
        <v>287</v>
      </c>
      <c r="D106" s="5">
        <v>294</v>
      </c>
      <c r="E106" s="38" t="s">
        <v>248</v>
      </c>
      <c r="F106" s="6">
        <f>D106/D67</f>
        <v>2.625</v>
      </c>
      <c r="G106" s="38" t="s">
        <v>253</v>
      </c>
      <c r="M106" s="54"/>
      <c r="N106" s="54"/>
      <c r="O106" s="54"/>
      <c r="P106" s="54"/>
      <c r="Q106" s="48"/>
      <c r="R106" s="48"/>
      <c r="S106" s="55"/>
      <c r="T106" s="55"/>
      <c r="U106" s="55"/>
      <c r="V106" s="48"/>
      <c r="W106" s="4"/>
      <c r="X106" s="4"/>
      <c r="Y106" s="4"/>
      <c r="Z106" s="4"/>
    </row>
    <row r="107" spans="1:26" x14ac:dyDescent="0.3">
      <c r="A107" s="4" t="s">
        <v>74</v>
      </c>
      <c r="B107">
        <v>1</v>
      </c>
      <c r="C107" s="49" t="s">
        <v>256</v>
      </c>
      <c r="D107" s="6">
        <v>0.88400000000000001</v>
      </c>
      <c r="E107" s="38" t="s">
        <v>253</v>
      </c>
      <c r="M107" s="54"/>
      <c r="N107" s="54"/>
      <c r="O107" s="54"/>
      <c r="P107" s="54"/>
      <c r="Q107" s="48"/>
      <c r="R107" s="48"/>
      <c r="S107" s="55"/>
      <c r="T107" s="55"/>
      <c r="U107" s="55"/>
      <c r="V107" s="48"/>
      <c r="W107" s="4"/>
      <c r="X107" s="4"/>
      <c r="Y107" s="4"/>
      <c r="Z107" s="4"/>
    </row>
    <row r="108" spans="1:26" x14ac:dyDescent="0.3">
      <c r="A108" s="4" t="s">
        <v>288</v>
      </c>
      <c r="B108">
        <v>1</v>
      </c>
      <c r="C108" s="49" t="s">
        <v>258</v>
      </c>
      <c r="D108" s="5">
        <v>149</v>
      </c>
      <c r="E108" s="38" t="s">
        <v>248</v>
      </c>
      <c r="F108" s="6">
        <f>D108/D67</f>
        <v>1.3303571428571428</v>
      </c>
      <c r="G108" s="38" t="s">
        <v>253</v>
      </c>
      <c r="M108" s="54"/>
      <c r="N108" s="54"/>
      <c r="O108" s="54"/>
      <c r="P108" s="54"/>
      <c r="Q108" s="48"/>
      <c r="R108" s="48"/>
      <c r="S108" s="55"/>
      <c r="T108" s="55"/>
      <c r="U108" s="55"/>
      <c r="V108" s="48"/>
      <c r="W108" s="4"/>
      <c r="X108" s="4"/>
      <c r="Y108" s="4"/>
      <c r="Z108" s="4"/>
    </row>
    <row r="109" spans="1:26" x14ac:dyDescent="0.3">
      <c r="A109" s="4" t="s">
        <v>274</v>
      </c>
      <c r="B109">
        <v>1</v>
      </c>
      <c r="C109" s="49" t="s">
        <v>256</v>
      </c>
      <c r="D109" s="5">
        <v>164</v>
      </c>
      <c r="E109" s="38" t="s">
        <v>248</v>
      </c>
      <c r="F109" s="6">
        <f>D109/D67</f>
        <v>1.4642857142857142</v>
      </c>
      <c r="G109" s="38" t="s">
        <v>253</v>
      </c>
      <c r="M109" s="54"/>
      <c r="N109" s="54"/>
      <c r="O109" s="54"/>
      <c r="P109" s="54"/>
      <c r="Q109" s="48"/>
      <c r="R109" s="48"/>
      <c r="S109" s="55"/>
      <c r="T109" s="55"/>
      <c r="U109" s="55"/>
      <c r="V109" s="48"/>
      <c r="W109" s="4"/>
      <c r="X109" s="4"/>
      <c r="Y109" s="4"/>
      <c r="Z109" s="4"/>
    </row>
    <row r="110" spans="1:26" x14ac:dyDescent="0.3">
      <c r="A110" s="79" t="s">
        <v>135</v>
      </c>
      <c r="B110">
        <v>1</v>
      </c>
      <c r="C110" s="49" t="s">
        <v>287</v>
      </c>
      <c r="D110" s="5">
        <v>2.0271699999999999</v>
      </c>
      <c r="E110" s="38" t="s">
        <v>264</v>
      </c>
      <c r="F110" s="6">
        <f>D111*D110/D67</f>
        <v>6.0815099999999997</v>
      </c>
      <c r="G110" s="38" t="s">
        <v>253</v>
      </c>
      <c r="M110" s="54"/>
      <c r="N110" s="54"/>
      <c r="O110" s="54"/>
      <c r="P110" s="54"/>
      <c r="Q110" s="48"/>
      <c r="R110" s="48"/>
      <c r="S110" s="55"/>
      <c r="T110" s="55"/>
      <c r="U110" s="55"/>
      <c r="V110" s="48"/>
      <c r="W110" s="4"/>
      <c r="X110" s="4"/>
      <c r="Y110" s="4"/>
      <c r="Z110" s="4"/>
    </row>
    <row r="111" spans="1:26" x14ac:dyDescent="0.3">
      <c r="A111" s="79"/>
      <c r="B111">
        <v>1</v>
      </c>
      <c r="C111" s="49" t="s">
        <v>264</v>
      </c>
      <c r="D111" s="5">
        <v>336</v>
      </c>
      <c r="E111" s="38" t="s">
        <v>248</v>
      </c>
      <c r="F111" s="6">
        <f>D111/D67</f>
        <v>3</v>
      </c>
      <c r="G111" s="38" t="s">
        <v>253</v>
      </c>
      <c r="M111" s="54"/>
      <c r="N111" s="54"/>
      <c r="O111" s="54"/>
      <c r="P111" s="54"/>
      <c r="Q111" s="48"/>
      <c r="R111" s="48"/>
      <c r="S111" s="55"/>
      <c r="T111" s="55"/>
      <c r="U111" s="55"/>
      <c r="V111" s="48"/>
      <c r="W111" s="4"/>
      <c r="X111" s="4"/>
      <c r="Y111" s="4"/>
      <c r="Z111" s="4"/>
    </row>
    <row r="112" spans="1:26" x14ac:dyDescent="0.3">
      <c r="A112" s="57" t="s">
        <v>289</v>
      </c>
      <c r="B112">
        <v>1</v>
      </c>
      <c r="C112" s="49" t="s">
        <v>256</v>
      </c>
      <c r="D112" s="5">
        <v>746.66700000000003</v>
      </c>
      <c r="E112" s="38" t="s">
        <v>248</v>
      </c>
      <c r="F112" s="6">
        <f>D112/D67</f>
        <v>6.6666696428571433</v>
      </c>
      <c r="G112" s="38" t="s">
        <v>253</v>
      </c>
      <c r="M112" s="54"/>
      <c r="N112" s="54"/>
      <c r="O112" s="54"/>
      <c r="P112" s="54"/>
      <c r="Q112" s="48"/>
      <c r="R112" s="48"/>
      <c r="S112" s="55"/>
      <c r="T112" s="55"/>
      <c r="U112" s="55"/>
      <c r="V112" s="48"/>
      <c r="W112" s="4"/>
      <c r="X112" s="4"/>
      <c r="Y112" s="4"/>
      <c r="Z112" s="4"/>
    </row>
    <row r="113" spans="1:41" x14ac:dyDescent="0.3">
      <c r="A113" s="85" t="s">
        <v>60</v>
      </c>
      <c r="B113">
        <v>1</v>
      </c>
      <c r="C113" s="49" t="s">
        <v>283</v>
      </c>
      <c r="D113" s="5">
        <v>260</v>
      </c>
      <c r="E113" s="38" t="s">
        <v>248</v>
      </c>
      <c r="F113" s="6">
        <f>D113/D67</f>
        <v>2.3214285714285716</v>
      </c>
      <c r="G113" s="38" t="s">
        <v>253</v>
      </c>
      <c r="Q113" s="48"/>
      <c r="R113" s="48"/>
      <c r="S113" s="4"/>
      <c r="T113" s="4"/>
      <c r="U113" s="4"/>
      <c r="V113" s="48"/>
      <c r="W113" s="4"/>
      <c r="X113" s="4"/>
      <c r="Y113" s="4"/>
      <c r="Z113" s="4"/>
    </row>
    <row r="114" spans="1:41" x14ac:dyDescent="0.3">
      <c r="A114" s="85"/>
      <c r="B114">
        <v>1</v>
      </c>
      <c r="C114" s="49" t="s">
        <v>256</v>
      </c>
      <c r="D114" s="5">
        <v>1.5662799999999999</v>
      </c>
      <c r="E114" s="38" t="s">
        <v>253</v>
      </c>
      <c r="F114" s="6"/>
      <c r="G114" s="38"/>
      <c r="Q114" s="48"/>
      <c r="R114" s="48"/>
      <c r="S114" s="4"/>
      <c r="T114" s="4"/>
      <c r="U114" s="4"/>
      <c r="V114" s="48"/>
      <c r="W114" s="4"/>
      <c r="X114" s="4"/>
      <c r="Y114" s="4"/>
      <c r="Z114" s="4"/>
    </row>
    <row r="115" spans="1:41" x14ac:dyDescent="0.3">
      <c r="A115" s="85"/>
      <c r="B115">
        <v>1</v>
      </c>
      <c r="C115" s="49" t="s">
        <v>247</v>
      </c>
      <c r="D115" s="5">
        <v>560</v>
      </c>
      <c r="E115" s="38" t="s">
        <v>248</v>
      </c>
      <c r="F115" s="6">
        <f>D115/D67</f>
        <v>5</v>
      </c>
      <c r="G115" s="38" t="s">
        <v>253</v>
      </c>
      <c r="H115" s="48"/>
      <c r="J115" s="48"/>
      <c r="K115" s="48"/>
      <c r="T115" s="4"/>
      <c r="W115" s="48"/>
      <c r="X115" s="48"/>
      <c r="AK115" s="48"/>
    </row>
    <row r="116" spans="1:41" s="4" customFormat="1" x14ac:dyDescent="0.3">
      <c r="A116" s="85" t="s">
        <v>107</v>
      </c>
      <c r="B116">
        <v>1</v>
      </c>
      <c r="C116" s="38" t="s">
        <v>264</v>
      </c>
      <c r="D116" s="58">
        <v>80</v>
      </c>
      <c r="E116" s="38" t="s">
        <v>248</v>
      </c>
      <c r="F116" s="59">
        <f>D116/D117</f>
        <v>0.7142857142857143</v>
      </c>
      <c r="G116" s="38" t="s">
        <v>253</v>
      </c>
      <c r="H116" s="58"/>
      <c r="I116" s="58"/>
      <c r="J116" s="58"/>
      <c r="K116" s="58"/>
      <c r="L116" s="58"/>
      <c r="M116" s="58"/>
    </row>
    <row r="117" spans="1:41" s="4" customFormat="1" x14ac:dyDescent="0.3">
      <c r="A117" s="85"/>
      <c r="B117">
        <v>1</v>
      </c>
      <c r="C117" s="38" t="s">
        <v>253</v>
      </c>
      <c r="D117" s="58">
        <v>112</v>
      </c>
      <c r="E117" s="38" t="s">
        <v>248</v>
      </c>
      <c r="F117" s="58"/>
      <c r="G117" s="58"/>
      <c r="H117" s="58"/>
      <c r="I117" s="58"/>
      <c r="J117" s="58"/>
      <c r="K117" s="58"/>
      <c r="L117" s="58"/>
      <c r="M117" s="58"/>
    </row>
    <row r="118" spans="1:41" s="4" customFormat="1" x14ac:dyDescent="0.3">
      <c r="A118" s="57" t="s">
        <v>290</v>
      </c>
      <c r="B118">
        <v>1</v>
      </c>
      <c r="C118" s="49" t="s">
        <v>264</v>
      </c>
      <c r="D118" s="5">
        <v>336</v>
      </c>
      <c r="E118" s="38" t="s">
        <v>248</v>
      </c>
      <c r="F118" s="6">
        <f>D118/D117</f>
        <v>3</v>
      </c>
      <c r="G118" s="38" t="s">
        <v>253</v>
      </c>
      <c r="H118" s="58"/>
      <c r="I118" s="58"/>
      <c r="J118" s="58"/>
      <c r="K118" s="58"/>
      <c r="L118" s="58"/>
      <c r="M118" s="58"/>
    </row>
    <row r="119" spans="1:41" s="4" customFormat="1" x14ac:dyDescent="0.3">
      <c r="A119" s="46" t="s">
        <v>291</v>
      </c>
      <c r="B119">
        <v>1</v>
      </c>
      <c r="C119" s="49" t="s">
        <v>292</v>
      </c>
      <c r="D119" s="5">
        <v>9</v>
      </c>
      <c r="E119" s="38" t="s">
        <v>267</v>
      </c>
      <c r="F119" s="58"/>
      <c r="G119" s="58"/>
      <c r="H119" s="58"/>
      <c r="I119" s="58"/>
      <c r="J119" s="58"/>
      <c r="K119" s="58"/>
      <c r="L119" s="58"/>
      <c r="M119" s="58"/>
    </row>
    <row r="120" spans="1:41" s="4" customFormat="1" x14ac:dyDescent="0.3">
      <c r="A120" s="46" t="s">
        <v>109</v>
      </c>
      <c r="B120">
        <v>1</v>
      </c>
      <c r="C120" s="49" t="s">
        <v>256</v>
      </c>
      <c r="D120" s="5">
        <f>756/3720</f>
        <v>0.20322580645161289</v>
      </c>
      <c r="E120" s="38" t="s">
        <v>253</v>
      </c>
      <c r="F120" s="58"/>
      <c r="G120" s="58"/>
      <c r="H120" s="58"/>
      <c r="I120" s="58"/>
      <c r="J120" s="58"/>
      <c r="K120" s="58"/>
      <c r="L120" s="58"/>
      <c r="M120" s="58"/>
    </row>
    <row r="121" spans="1:41" s="4" customFormat="1" x14ac:dyDescent="0.3">
      <c r="A121" s="46" t="s">
        <v>72</v>
      </c>
      <c r="B121">
        <v>1</v>
      </c>
      <c r="C121" s="49" t="s">
        <v>258</v>
      </c>
      <c r="D121" s="5">
        <f>600/400</f>
        <v>1.5</v>
      </c>
      <c r="E121" s="38" t="s">
        <v>253</v>
      </c>
      <c r="F121" s="58"/>
      <c r="G121" s="58"/>
      <c r="H121" s="58"/>
      <c r="I121" s="58"/>
      <c r="J121" s="58"/>
      <c r="K121" s="58"/>
      <c r="L121" s="58"/>
      <c r="M121" s="58"/>
    </row>
    <row r="122" spans="1:41" s="4" customFormat="1" x14ac:dyDescent="0.3">
      <c r="A122" s="46" t="s">
        <v>293</v>
      </c>
      <c r="B122">
        <v>1</v>
      </c>
      <c r="C122" s="49" t="s">
        <v>264</v>
      </c>
      <c r="D122" s="5">
        <f>600/400</f>
        <v>1.5</v>
      </c>
      <c r="E122" s="38" t="s">
        <v>253</v>
      </c>
      <c r="F122" s="58"/>
      <c r="G122" s="58"/>
      <c r="H122" s="58"/>
      <c r="I122" s="58"/>
      <c r="J122" s="58"/>
      <c r="K122" s="58"/>
      <c r="L122" s="58"/>
      <c r="M122" s="58"/>
    </row>
    <row r="123" spans="1:41" s="4" customFormat="1" x14ac:dyDescent="0.3">
      <c r="A123" s="46" t="s">
        <v>64</v>
      </c>
      <c r="B123">
        <v>1</v>
      </c>
      <c r="C123" s="49" t="s">
        <v>256</v>
      </c>
      <c r="D123" s="5">
        <f>3600/2400</f>
        <v>1.5</v>
      </c>
      <c r="E123" s="38" t="s">
        <v>253</v>
      </c>
      <c r="F123" s="58"/>
      <c r="G123" s="58"/>
      <c r="H123" s="58"/>
      <c r="I123" s="58"/>
      <c r="J123" s="58"/>
      <c r="K123" s="58"/>
      <c r="L123" s="58"/>
      <c r="M123" s="58"/>
    </row>
    <row r="124" spans="1:41" x14ac:dyDescent="0.3">
      <c r="A124" s="46" t="s">
        <v>98</v>
      </c>
      <c r="B124">
        <v>1</v>
      </c>
      <c r="C124" s="49" t="s">
        <v>256</v>
      </c>
      <c r="D124">
        <v>153.125</v>
      </c>
      <c r="E124" s="38" t="s">
        <v>248</v>
      </c>
      <c r="F124" s="6">
        <f>D124/D67</f>
        <v>1.3671875</v>
      </c>
      <c r="G124" s="38" t="s">
        <v>253</v>
      </c>
      <c r="H124" s="48"/>
      <c r="J124" s="48"/>
      <c r="K124" s="48"/>
      <c r="T124" s="4"/>
      <c r="W124" s="48"/>
      <c r="X124" s="48"/>
      <c r="AK124" s="48"/>
    </row>
    <row r="125" spans="1:41" s="4" customFormat="1" x14ac:dyDescent="0.3">
      <c r="A125" s="79" t="s">
        <v>106</v>
      </c>
      <c r="B125">
        <v>1</v>
      </c>
      <c r="C125" s="38" t="s">
        <v>282</v>
      </c>
      <c r="D125" s="5">
        <v>1</v>
      </c>
      <c r="E125" s="38" t="s">
        <v>264</v>
      </c>
      <c r="F125" s="6">
        <f>F126</f>
        <v>3.0446428571428572</v>
      </c>
      <c r="G125" s="38" t="s">
        <v>253</v>
      </c>
    </row>
    <row r="126" spans="1:41" s="4" customFormat="1" x14ac:dyDescent="0.3">
      <c r="A126" s="79"/>
      <c r="B126">
        <v>1</v>
      </c>
      <c r="C126" s="38" t="s">
        <v>264</v>
      </c>
      <c r="D126" s="5">
        <f>(355+327)/2</f>
        <v>341</v>
      </c>
      <c r="E126" s="38" t="s">
        <v>248</v>
      </c>
      <c r="F126" s="6">
        <f>D126/D67</f>
        <v>3.0446428571428572</v>
      </c>
      <c r="G126" s="38" t="s">
        <v>253</v>
      </c>
    </row>
    <row r="127" spans="1:41" s="4" customFormat="1" x14ac:dyDescent="0.3">
      <c r="A127" s="79"/>
      <c r="B127">
        <v>1</v>
      </c>
      <c r="C127" s="49" t="s">
        <v>295</v>
      </c>
      <c r="D127" s="5">
        <f>(2.2+2.5)/2</f>
        <v>2.35</v>
      </c>
      <c r="E127" s="38" t="s">
        <v>248</v>
      </c>
      <c r="F127" s="6">
        <f>D127/D67</f>
        <v>2.0982142857142859E-2</v>
      </c>
      <c r="G127" s="38" t="s">
        <v>253</v>
      </c>
    </row>
    <row r="128" spans="1:41" s="65" customFormat="1" x14ac:dyDescent="0.3">
      <c r="A128" s="60" t="s">
        <v>296</v>
      </c>
      <c r="B128">
        <v>1</v>
      </c>
      <c r="C128" s="49" t="s">
        <v>282</v>
      </c>
      <c r="D128" s="5">
        <v>640</v>
      </c>
      <c r="E128" s="38" t="s">
        <v>248</v>
      </c>
      <c r="F128" s="6">
        <f>D128/D67</f>
        <v>5.7142857142857144</v>
      </c>
      <c r="G128" s="38" t="s">
        <v>253</v>
      </c>
      <c r="H128" s="61"/>
      <c r="I128" s="62"/>
      <c r="J128" s="61"/>
      <c r="K128" s="61"/>
      <c r="L128" s="62"/>
      <c r="M128" s="61"/>
      <c r="N128" s="61"/>
      <c r="O128" s="61"/>
      <c r="P128" s="62"/>
      <c r="Q128" s="61"/>
      <c r="R128" s="61"/>
      <c r="S128" s="61"/>
      <c r="T128" s="62"/>
      <c r="U128" s="61"/>
      <c r="V128" s="63"/>
      <c r="W128" s="61"/>
      <c r="X128" s="64"/>
      <c r="Y128" s="61"/>
      <c r="Z128" s="62"/>
      <c r="AA128" s="61"/>
      <c r="AB128" s="61"/>
      <c r="AC128" s="61"/>
      <c r="AD128" s="62"/>
      <c r="AE128" s="61"/>
      <c r="AF128" s="62"/>
      <c r="AG128" s="61"/>
      <c r="AH128" s="62"/>
      <c r="AI128" s="61"/>
      <c r="AJ128" s="62"/>
      <c r="AK128" s="61"/>
      <c r="AL128" s="62"/>
      <c r="AM128" s="61"/>
      <c r="AN128" s="64"/>
      <c r="AO128" s="61"/>
    </row>
    <row r="129" spans="1:42" s="65" customFormat="1" x14ac:dyDescent="0.3">
      <c r="A129" s="85" t="s">
        <v>69</v>
      </c>
      <c r="B129">
        <v>1</v>
      </c>
      <c r="C129" s="49" t="s">
        <v>299</v>
      </c>
      <c r="D129" s="5">
        <v>196</v>
      </c>
      <c r="E129" s="38" t="s">
        <v>248</v>
      </c>
      <c r="F129" s="6">
        <f>D129/D67</f>
        <v>1.75</v>
      </c>
      <c r="G129" s="38" t="s">
        <v>253</v>
      </c>
      <c r="H129" s="61"/>
      <c r="I129" s="61"/>
      <c r="J129" s="64"/>
      <c r="K129" s="61"/>
      <c r="L129" s="61"/>
      <c r="M129" s="64"/>
      <c r="N129" s="61"/>
      <c r="O129" s="61"/>
      <c r="P129" s="61"/>
      <c r="Q129" s="64"/>
      <c r="R129" s="61"/>
      <c r="S129" s="61"/>
      <c r="T129" s="61"/>
      <c r="U129" s="64"/>
      <c r="V129" s="61"/>
      <c r="X129" s="61"/>
      <c r="Y129" s="64"/>
      <c r="Z129" s="61"/>
      <c r="AA129" s="64"/>
      <c r="AB129" s="61"/>
      <c r="AC129" s="61"/>
      <c r="AD129" s="61"/>
      <c r="AE129" s="64"/>
      <c r="AF129" s="61"/>
      <c r="AG129" s="64"/>
      <c r="AH129" s="61"/>
      <c r="AI129" s="64"/>
      <c r="AJ129" s="61"/>
      <c r="AK129" s="62"/>
      <c r="AL129" s="61"/>
      <c r="AM129" s="64"/>
      <c r="AN129" s="61"/>
      <c r="AO129" s="64"/>
      <c r="AP129" s="61"/>
    </row>
    <row r="130" spans="1:42" ht="13.8" customHeight="1" x14ac:dyDescent="0.3">
      <c r="A130" s="85"/>
      <c r="B130">
        <v>1</v>
      </c>
      <c r="C130" s="49" t="s">
        <v>300</v>
      </c>
      <c r="D130" s="5">
        <v>280</v>
      </c>
      <c r="E130" s="38" t="s">
        <v>248</v>
      </c>
      <c r="F130" s="6">
        <f>D130/D67</f>
        <v>2.5</v>
      </c>
      <c r="G130" s="38" t="s">
        <v>253</v>
      </c>
    </row>
    <row r="131" spans="1:42" x14ac:dyDescent="0.3">
      <c r="A131" s="56" t="s">
        <v>94</v>
      </c>
      <c r="B131">
        <v>1</v>
      </c>
      <c r="C131" s="49" t="s">
        <v>258</v>
      </c>
      <c r="D131" s="5">
        <v>112</v>
      </c>
      <c r="E131" s="38" t="s">
        <v>248</v>
      </c>
      <c r="F131" s="6">
        <f>D131/D67</f>
        <v>1</v>
      </c>
      <c r="G131" s="38" t="s">
        <v>253</v>
      </c>
    </row>
    <row r="132" spans="1:42" x14ac:dyDescent="0.3">
      <c r="A132" s="56" t="s">
        <v>100</v>
      </c>
      <c r="B132">
        <v>1</v>
      </c>
      <c r="C132" s="49" t="s">
        <v>264</v>
      </c>
      <c r="D132" s="5">
        <v>0.67513000000000001</v>
      </c>
      <c r="E132" s="38" t="s">
        <v>253</v>
      </c>
      <c r="F132" s="6"/>
      <c r="G132" s="38"/>
    </row>
    <row r="133" spans="1:42" x14ac:dyDescent="0.3">
      <c r="A133" s="56" t="s">
        <v>145</v>
      </c>
      <c r="B133">
        <v>1</v>
      </c>
      <c r="C133" s="49" t="s">
        <v>264</v>
      </c>
      <c r="D133" s="5">
        <v>324</v>
      </c>
      <c r="E133" s="38" t="s">
        <v>248</v>
      </c>
      <c r="F133" s="5">
        <f>D133/D52</f>
        <v>2.8928571428571428</v>
      </c>
      <c r="G133" s="38" t="s">
        <v>253</v>
      </c>
    </row>
    <row r="134" spans="1:42" x14ac:dyDescent="0.3">
      <c r="A134" s="75"/>
      <c r="C134" s="40" t="s">
        <v>116</v>
      </c>
    </row>
    <row r="167" spans="2:2" x14ac:dyDescent="0.3">
      <c r="B167" s="41"/>
    </row>
  </sheetData>
  <mergeCells count="19">
    <mergeCell ref="A110:A111"/>
    <mergeCell ref="A113:A115"/>
    <mergeCell ref="A116:A117"/>
    <mergeCell ref="A125:A127"/>
    <mergeCell ref="A129:A130"/>
    <mergeCell ref="A103:A104"/>
    <mergeCell ref="B54:B55"/>
    <mergeCell ref="C54:C55"/>
    <mergeCell ref="D54:D55"/>
    <mergeCell ref="E54:E55"/>
    <mergeCell ref="B68:B69"/>
    <mergeCell ref="C68:C69"/>
    <mergeCell ref="D68:D69"/>
    <mergeCell ref="E68:E69"/>
    <mergeCell ref="A93:A94"/>
    <mergeCell ref="A95:A96"/>
    <mergeCell ref="A97:A98"/>
    <mergeCell ref="A99:A100"/>
    <mergeCell ref="A101:A102"/>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Intro</vt:lpstr>
      <vt:lpstr>Damascus - Prices (Imports)</vt:lpstr>
      <vt:lpstr>Damascus - Prices (Exports)</vt:lpstr>
      <vt:lpstr>Imports - Data (Raw)</vt:lpstr>
      <vt:lpstr>Imports - Data (Adjusted) - 1</vt:lpstr>
      <vt:lpstr>Imports - Data (Adjusted) - 2</vt:lpstr>
      <vt:lpstr>Exports - Data (Raw)</vt:lpstr>
      <vt:lpstr>Exports - Data (Adjusted) - 1</vt:lpstr>
      <vt:lpstr>Exports - Data (Adjusted) - 2</vt:lpstr>
      <vt:lpstr>Color Legend</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2018-11-07T06:53:12Z</dcterms:modified>
</cp:coreProperties>
</file>