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4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5.xml" ContentType="application/vnd.openxmlformats-officedocument.drawing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6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7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8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Sugar (All)" sheetId="1" r:id="rId2"/>
    <sheet name="Graphs (All)" sheetId="2" r:id="rId3"/>
    <sheet name="Collective Graph (All)" sheetId="3" r:id="rId4"/>
    <sheet name="Sugar (Adjusted)" sheetId="15" r:id="rId5"/>
    <sheet name="Graph - 1" sheetId="17" r:id="rId6"/>
    <sheet name="Graph - 2" sheetId="18" r:id="rId7"/>
    <sheet name="Graph - 3" sheetId="19" r:id="rId8"/>
    <sheet name="Graph - 4" sheetId="21" r:id="rId9"/>
    <sheet name="Graph - 5" sheetId="22" r:id="rId10"/>
    <sheet name="Graph - 6" sheetId="24" r:id="rId11"/>
  </sheets>
  <calcPr calcId="152511"/>
</workbook>
</file>

<file path=xl/calcChain.xml><?xml version="1.0" encoding="utf-8"?>
<calcChain xmlns="http://schemas.openxmlformats.org/spreadsheetml/2006/main">
  <c r="AT6" i="15" l="1"/>
  <c r="AS6" i="15"/>
  <c r="CX6" i="1"/>
  <c r="CW6" i="1"/>
  <c r="AO61" i="15" l="1"/>
  <c r="CL61" i="1"/>
  <c r="CL60" i="1"/>
  <c r="AN6" i="15" l="1"/>
  <c r="AM6" i="15"/>
  <c r="Q6" i="15"/>
  <c r="Q39" i="15"/>
  <c r="Q40" i="15"/>
  <c r="Q43" i="15"/>
  <c r="Q47" i="15"/>
  <c r="Q49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5" i="15"/>
  <c r="Q76" i="15"/>
  <c r="Q77" i="15"/>
  <c r="Q78" i="15"/>
  <c r="Q38" i="15"/>
  <c r="AL6" i="15"/>
  <c r="H59" i="15" l="1"/>
  <c r="H58" i="15"/>
  <c r="H59" i="1"/>
  <c r="H58" i="1"/>
  <c r="E22" i="1" l="1"/>
  <c r="C6" i="15" l="1"/>
  <c r="D6" i="15"/>
  <c r="K6" i="15"/>
  <c r="L6" i="15"/>
  <c r="AJ80" i="15" l="1"/>
  <c r="M80" i="15"/>
  <c r="AQ79" i="15"/>
  <c r="AP79" i="15"/>
  <c r="AJ79" i="15"/>
  <c r="AE79" i="15"/>
  <c r="AC79" i="15"/>
  <c r="AA79" i="15"/>
  <c r="Z79" i="15"/>
  <c r="M79" i="15"/>
  <c r="I79" i="15"/>
  <c r="G79" i="15"/>
  <c r="E79" i="15"/>
  <c r="AQ78" i="15"/>
  <c r="AP78" i="15"/>
  <c r="AL78" i="15"/>
  <c r="AJ78" i="15"/>
  <c r="AF78" i="15"/>
  <c r="AE78" i="15"/>
  <c r="AC78" i="15"/>
  <c r="AA78" i="15"/>
  <c r="Z78" i="15"/>
  <c r="X78" i="15"/>
  <c r="M78" i="15"/>
  <c r="G78" i="15"/>
  <c r="E78" i="15"/>
  <c r="AQ77" i="15"/>
  <c r="AP77" i="15"/>
  <c r="AL77" i="15"/>
  <c r="AJ77" i="15"/>
  <c r="AF77" i="15"/>
  <c r="AE77" i="15"/>
  <c r="AC77" i="15"/>
  <c r="AA77" i="15"/>
  <c r="Z77" i="15"/>
  <c r="X77" i="15"/>
  <c r="M77" i="15"/>
  <c r="I77" i="15"/>
  <c r="G77" i="15"/>
  <c r="E77" i="15"/>
  <c r="AQ76" i="15"/>
  <c r="AP76" i="15"/>
  <c r="AL76" i="15"/>
  <c r="AJ76" i="15"/>
  <c r="AC76" i="15"/>
  <c r="AA76" i="15"/>
  <c r="Z76" i="15"/>
  <c r="M76" i="15"/>
  <c r="G76" i="15"/>
  <c r="E76" i="15"/>
  <c r="AQ75" i="15"/>
  <c r="AP75" i="15"/>
  <c r="AL75" i="15"/>
  <c r="AJ75" i="15"/>
  <c r="AE75" i="15"/>
  <c r="AC75" i="15"/>
  <c r="AA75" i="15"/>
  <c r="Z75" i="15"/>
  <c r="M75" i="15"/>
  <c r="I75" i="15"/>
  <c r="E75" i="15"/>
  <c r="AQ74" i="15"/>
  <c r="AP74" i="15"/>
  <c r="AL74" i="15"/>
  <c r="AJ74" i="15"/>
  <c r="AE74" i="15"/>
  <c r="AC74" i="15"/>
  <c r="AA74" i="15"/>
  <c r="Z74" i="15"/>
  <c r="M74" i="15"/>
  <c r="E74" i="15"/>
  <c r="AQ73" i="15"/>
  <c r="AP73" i="15"/>
  <c r="AL73" i="15"/>
  <c r="AK73" i="15"/>
  <c r="AJ73" i="15"/>
  <c r="AA73" i="15"/>
  <c r="Z73" i="15"/>
  <c r="X73" i="15"/>
  <c r="M73" i="15"/>
  <c r="E73" i="15"/>
  <c r="AL72" i="15"/>
  <c r="AK72" i="15"/>
  <c r="AJ72" i="15"/>
  <c r="AC72" i="15"/>
  <c r="AA72" i="15"/>
  <c r="Z72" i="15"/>
  <c r="X72" i="15"/>
  <c r="M72" i="15"/>
  <c r="E72" i="15"/>
  <c r="AL71" i="15"/>
  <c r="AK71" i="15"/>
  <c r="AJ71" i="15"/>
  <c r="AD71" i="15"/>
  <c r="AC71" i="15"/>
  <c r="AA71" i="15"/>
  <c r="Z71" i="15"/>
  <c r="M71" i="15"/>
  <c r="E71" i="15"/>
  <c r="AL70" i="15"/>
  <c r="AK70" i="15"/>
  <c r="AJ70" i="15"/>
  <c r="AC70" i="15"/>
  <c r="AA70" i="15"/>
  <c r="Z70" i="15"/>
  <c r="M70" i="15"/>
  <c r="E70" i="15"/>
  <c r="AP69" i="15"/>
  <c r="AL69" i="15"/>
  <c r="AK69" i="15"/>
  <c r="AJ69" i="15"/>
  <c r="AG69" i="15"/>
  <c r="AD69" i="15"/>
  <c r="AC69" i="15"/>
  <c r="AA69" i="15"/>
  <c r="Z69" i="15"/>
  <c r="M69" i="15"/>
  <c r="E69" i="15"/>
  <c r="AR68" i="15"/>
  <c r="AQ68" i="15"/>
  <c r="AP68" i="15"/>
  <c r="AL68" i="15"/>
  <c r="AK68" i="15"/>
  <c r="AJ68" i="15"/>
  <c r="AC68" i="15"/>
  <c r="M68" i="15"/>
  <c r="E68" i="15"/>
  <c r="AR67" i="15"/>
  <c r="AQ67" i="15"/>
  <c r="AP67" i="15"/>
  <c r="AL67" i="15"/>
  <c r="AK67" i="15"/>
  <c r="AJ67" i="15"/>
  <c r="AC67" i="15"/>
  <c r="M67" i="15"/>
  <c r="E67" i="15"/>
  <c r="AR66" i="15"/>
  <c r="AQ66" i="15"/>
  <c r="AP66" i="15"/>
  <c r="AL66" i="15"/>
  <c r="AK66" i="15"/>
  <c r="AJ66" i="15"/>
  <c r="M66" i="15"/>
  <c r="E66" i="15"/>
  <c r="AR65" i="15"/>
  <c r="AQ65" i="15"/>
  <c r="AP65" i="15"/>
  <c r="AL65" i="15"/>
  <c r="AK65" i="15"/>
  <c r="AJ65" i="15"/>
  <c r="Y65" i="15"/>
  <c r="M65" i="15"/>
  <c r="E65" i="15"/>
  <c r="AR64" i="15"/>
  <c r="AQ64" i="15"/>
  <c r="AP64" i="15"/>
  <c r="AL64" i="15"/>
  <c r="AK64" i="15"/>
  <c r="AJ64" i="15"/>
  <c r="M64" i="15"/>
  <c r="H64" i="15"/>
  <c r="E64" i="15"/>
  <c r="AR63" i="15"/>
  <c r="AQ63" i="15"/>
  <c r="AP63" i="15"/>
  <c r="AL63" i="15"/>
  <c r="AK63" i="15"/>
  <c r="AJ63" i="15"/>
  <c r="Y63" i="15"/>
  <c r="M63" i="15"/>
  <c r="H63" i="15"/>
  <c r="AR62" i="15"/>
  <c r="AQ62" i="15"/>
  <c r="AP62" i="15"/>
  <c r="AL62" i="15"/>
  <c r="AK62" i="15"/>
  <c r="AJ62" i="15"/>
  <c r="AG62" i="15"/>
  <c r="Y62" i="15"/>
  <c r="M62" i="15"/>
  <c r="H62" i="15"/>
  <c r="G62" i="15"/>
  <c r="AR61" i="15"/>
  <c r="AQ61" i="15"/>
  <c r="AP61" i="15"/>
  <c r="AL61" i="15"/>
  <c r="AK61" i="15"/>
  <c r="AJ61" i="15"/>
  <c r="AG61" i="15"/>
  <c r="AE61" i="15"/>
  <c r="P61" i="15"/>
  <c r="M61" i="15"/>
  <c r="H61" i="15"/>
  <c r="G61" i="15"/>
  <c r="AR60" i="15"/>
  <c r="AQ60" i="15"/>
  <c r="AP60" i="15"/>
  <c r="AO60" i="15"/>
  <c r="AL60" i="15"/>
  <c r="AJ60" i="15"/>
  <c r="AG60" i="15"/>
  <c r="Y60" i="15"/>
  <c r="M60" i="15"/>
  <c r="H60" i="15"/>
  <c r="AR59" i="15"/>
  <c r="AQ59" i="15"/>
  <c r="AP59" i="15"/>
  <c r="AO59" i="15"/>
  <c r="AL59" i="15"/>
  <c r="AK59" i="15"/>
  <c r="AJ59" i="15"/>
  <c r="AH59" i="15"/>
  <c r="AG59" i="15"/>
  <c r="Y59" i="15"/>
  <c r="M59" i="15"/>
  <c r="E59" i="15"/>
  <c r="AR58" i="15"/>
  <c r="AQ58" i="15"/>
  <c r="AP58" i="15"/>
  <c r="AO58" i="15"/>
  <c r="AL58" i="15"/>
  <c r="AK58" i="15"/>
  <c r="AJ58" i="15"/>
  <c r="AG58" i="15"/>
  <c r="M58" i="15"/>
  <c r="E58" i="15"/>
  <c r="AR57" i="15"/>
  <c r="AQ57" i="15"/>
  <c r="AP57" i="15"/>
  <c r="AO57" i="15"/>
  <c r="AL57" i="15"/>
  <c r="M57" i="15"/>
  <c r="E57" i="15"/>
  <c r="AR56" i="15"/>
  <c r="AQ56" i="15"/>
  <c r="AO56" i="15"/>
  <c r="AL56" i="15"/>
  <c r="AK56" i="15"/>
  <c r="AB56" i="15"/>
  <c r="M56" i="15"/>
  <c r="E56" i="15"/>
  <c r="AR55" i="15"/>
  <c r="AQ55" i="15"/>
  <c r="AO55" i="15"/>
  <c r="AL55" i="15"/>
  <c r="AK55" i="15"/>
  <c r="M55" i="15"/>
  <c r="E55" i="15"/>
  <c r="AR54" i="15"/>
  <c r="AQ54" i="15"/>
  <c r="AO54" i="15"/>
  <c r="AL54" i="15"/>
  <c r="R54" i="15"/>
  <c r="M54" i="15"/>
  <c r="E54" i="15"/>
  <c r="AO53" i="15"/>
  <c r="AL53" i="15"/>
  <c r="M53" i="15"/>
  <c r="AO52" i="15"/>
  <c r="AL52" i="15"/>
  <c r="R52" i="15"/>
  <c r="M52" i="15"/>
  <c r="AO51" i="15"/>
  <c r="AL51" i="15"/>
  <c r="M51" i="15"/>
  <c r="J51" i="15"/>
  <c r="AO50" i="15"/>
  <c r="AL50" i="15"/>
  <c r="M50" i="15"/>
  <c r="AO49" i="15"/>
  <c r="AL49" i="15"/>
  <c r="M49" i="15"/>
  <c r="AO48" i="15"/>
  <c r="AL48" i="15"/>
  <c r="M48" i="15"/>
  <c r="AO47" i="15"/>
  <c r="AL47" i="15"/>
  <c r="P47" i="15"/>
  <c r="N47" i="15"/>
  <c r="M47" i="15"/>
  <c r="AO46" i="15"/>
  <c r="AL46" i="15"/>
  <c r="M46" i="15"/>
  <c r="AO45" i="15"/>
  <c r="AL45" i="15"/>
  <c r="F45" i="15"/>
  <c r="E45" i="15"/>
  <c r="AO44" i="15"/>
  <c r="AL44" i="15"/>
  <c r="M44" i="15"/>
  <c r="F44" i="15"/>
  <c r="E44" i="15"/>
  <c r="AO43" i="15"/>
  <c r="AL43" i="15"/>
  <c r="M43" i="15"/>
  <c r="AO42" i="15"/>
  <c r="AL42" i="15"/>
  <c r="M42" i="15"/>
  <c r="E42" i="15"/>
  <c r="AO41" i="15"/>
  <c r="AL41" i="15"/>
  <c r="M41" i="15"/>
  <c r="E41" i="15"/>
  <c r="P40" i="15"/>
  <c r="I40" i="15"/>
  <c r="P39" i="15"/>
  <c r="P38" i="15"/>
  <c r="E37" i="15"/>
  <c r="I36" i="15"/>
  <c r="E36" i="15"/>
  <c r="I35" i="15"/>
  <c r="E34" i="15"/>
  <c r="I33" i="15"/>
  <c r="I32" i="15"/>
  <c r="I31" i="15"/>
  <c r="I30" i="15"/>
  <c r="I29" i="15"/>
  <c r="I28" i="15"/>
  <c r="N25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R6" i="15"/>
  <c r="AQ6" i="15"/>
  <c r="AP6" i="15"/>
  <c r="AO6" i="15"/>
  <c r="AK6" i="15"/>
  <c r="AJ6" i="15"/>
  <c r="AI6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P6" i="15"/>
  <c r="O6" i="15"/>
  <c r="N6" i="15"/>
  <c r="M6" i="15"/>
  <c r="J6" i="15"/>
  <c r="I6" i="15"/>
  <c r="H6" i="15"/>
  <c r="G6" i="15"/>
  <c r="F6" i="15"/>
  <c r="E6" i="15"/>
  <c r="E79" i="1" l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59" i="1"/>
  <c r="E58" i="1"/>
  <c r="E57" i="1"/>
  <c r="E56" i="1"/>
  <c r="E55" i="1"/>
  <c r="E54" i="1"/>
  <c r="E45" i="1"/>
  <c r="E44" i="1"/>
  <c r="E42" i="1"/>
  <c r="E41" i="1"/>
  <c r="E37" i="1"/>
  <c r="E36" i="1"/>
  <c r="E34" i="1"/>
  <c r="F45" i="1" l="1"/>
  <c r="F44" i="1"/>
  <c r="G77" i="1"/>
  <c r="G79" i="1"/>
  <c r="G78" i="1"/>
  <c r="G76" i="1"/>
  <c r="G62" i="1"/>
  <c r="G61" i="1"/>
  <c r="Q80" i="1" l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4" i="1"/>
  <c r="Q43" i="1"/>
  <c r="Q42" i="1"/>
  <c r="Q41" i="1"/>
  <c r="S47" i="1"/>
  <c r="S25" i="1"/>
  <c r="W61" i="1" l="1"/>
  <c r="W47" i="1"/>
  <c r="W40" i="1"/>
  <c r="W39" i="1"/>
  <c r="W38" i="1"/>
  <c r="CH80" i="1" l="1"/>
  <c r="CH79" i="1"/>
  <c r="CH78" i="1"/>
  <c r="CH77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59" i="1"/>
  <c r="CI58" i="1"/>
  <c r="CI56" i="1"/>
  <c r="CI55" i="1"/>
  <c r="CL59" i="1" l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K78" i="1"/>
  <c r="CK77" i="1"/>
  <c r="CK76" i="1"/>
  <c r="CK75" i="1"/>
  <c r="CK74" i="1"/>
  <c r="CK73" i="1"/>
  <c r="CK72" i="1"/>
  <c r="CK71" i="1"/>
  <c r="CK70" i="1"/>
  <c r="CK69" i="1"/>
  <c r="CK68" i="1"/>
  <c r="CK67" i="1"/>
  <c r="CK66" i="1"/>
  <c r="CK65" i="1"/>
  <c r="CK64" i="1"/>
  <c r="CK63" i="1"/>
  <c r="CK62" i="1"/>
  <c r="CK61" i="1"/>
  <c r="CK60" i="1"/>
  <c r="CK59" i="1"/>
  <c r="CK58" i="1"/>
  <c r="CK57" i="1"/>
  <c r="CK56" i="1"/>
  <c r="CK55" i="1"/>
  <c r="CK54" i="1"/>
  <c r="CK53" i="1"/>
  <c r="CK52" i="1"/>
  <c r="CK51" i="1"/>
  <c r="CK50" i="1"/>
  <c r="CK49" i="1"/>
  <c r="CK48" i="1"/>
  <c r="CK47" i="1"/>
  <c r="CK46" i="1"/>
  <c r="CK45" i="1"/>
  <c r="CK44" i="1"/>
  <c r="CK43" i="1"/>
  <c r="CK42" i="1"/>
  <c r="CK41" i="1"/>
  <c r="CC77" i="1" l="1"/>
  <c r="CC76" i="1"/>
  <c r="CC75" i="1"/>
  <c r="CB77" i="1"/>
  <c r="CB76" i="1"/>
  <c r="CB75" i="1"/>
  <c r="BZ75" i="1" l="1"/>
  <c r="BZ74" i="1"/>
  <c r="BZ73" i="1"/>
  <c r="BY77" i="1"/>
  <c r="BY76" i="1"/>
  <c r="BY75" i="1"/>
  <c r="BY74" i="1"/>
  <c r="BY73" i="1"/>
  <c r="BY59" i="1"/>
  <c r="BV77" i="1" l="1"/>
  <c r="BV76" i="1"/>
  <c r="BV75" i="1"/>
  <c r="BV74" i="1"/>
  <c r="BV73" i="1"/>
  <c r="AZ65" i="1" l="1"/>
  <c r="AZ63" i="1"/>
  <c r="AZ62" i="1"/>
  <c r="AZ60" i="1"/>
  <c r="AZ59" i="1"/>
  <c r="AX79" i="1"/>
  <c r="AX78" i="1"/>
  <c r="AX77" i="1"/>
  <c r="BS77" i="1" l="1"/>
  <c r="BS76" i="1"/>
  <c r="BS75" i="1"/>
  <c r="BS74" i="1"/>
  <c r="BS73" i="1"/>
  <c r="BP69" i="1" l="1"/>
  <c r="BP62" i="1"/>
  <c r="BP61" i="1"/>
  <c r="BP60" i="1"/>
  <c r="BP59" i="1"/>
  <c r="BP58" i="1"/>
  <c r="BA79" i="1" l="1"/>
  <c r="BA73" i="1"/>
  <c r="BA72" i="1"/>
  <c r="BM78" i="1" l="1"/>
  <c r="BM77" i="1"/>
  <c r="BJ79" i="1" l="1"/>
  <c r="BJ78" i="1"/>
  <c r="BJ77" i="1"/>
  <c r="BJ75" i="1"/>
  <c r="BJ74" i="1"/>
  <c r="BJ61" i="1"/>
  <c r="BI71" i="1" l="1"/>
  <c r="BI69" i="1"/>
  <c r="BG79" i="1"/>
  <c r="BG78" i="1"/>
  <c r="BG77" i="1"/>
  <c r="BG76" i="1"/>
  <c r="BG75" i="1"/>
  <c r="BG74" i="1"/>
  <c r="BG72" i="1"/>
  <c r="BG71" i="1"/>
  <c r="BG70" i="1"/>
  <c r="BG69" i="1"/>
  <c r="BG68" i="1"/>
  <c r="BG67" i="1"/>
  <c r="BF56" i="1" l="1"/>
  <c r="CT68" i="1" l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5" i="1"/>
  <c r="CT54" i="1"/>
  <c r="BE79" i="1" l="1"/>
  <c r="BE78" i="1"/>
  <c r="BE77" i="1"/>
  <c r="BE76" i="1"/>
  <c r="BE75" i="1"/>
  <c r="BE74" i="1"/>
  <c r="BE73" i="1"/>
  <c r="BE72" i="1"/>
  <c r="BE71" i="1"/>
  <c r="BE70" i="1"/>
  <c r="BE69" i="1"/>
  <c r="BD79" i="1" l="1"/>
  <c r="BD78" i="1"/>
  <c r="BD77" i="1"/>
  <c r="BD76" i="1"/>
  <c r="BD75" i="1"/>
  <c r="BD74" i="1"/>
  <c r="BD73" i="1"/>
  <c r="BD72" i="1"/>
  <c r="BD71" i="1"/>
  <c r="BD70" i="1"/>
  <c r="BD69" i="1"/>
  <c r="CQ79" i="1" l="1"/>
  <c r="CN79" i="1"/>
  <c r="J79" i="1"/>
  <c r="CQ78" i="1"/>
  <c r="CN78" i="1"/>
  <c r="CQ77" i="1"/>
  <c r="CN77" i="1"/>
  <c r="J77" i="1"/>
  <c r="CQ76" i="1"/>
  <c r="CN76" i="1"/>
  <c r="CQ75" i="1"/>
  <c r="CN75" i="1"/>
  <c r="J75" i="1"/>
  <c r="CQ74" i="1"/>
  <c r="CN74" i="1"/>
  <c r="CQ73" i="1"/>
  <c r="CN73" i="1"/>
  <c r="CN69" i="1"/>
  <c r="CQ68" i="1"/>
  <c r="CN68" i="1"/>
  <c r="CQ67" i="1"/>
  <c r="CN67" i="1"/>
  <c r="CQ66" i="1"/>
  <c r="CN66" i="1"/>
  <c r="CQ65" i="1"/>
  <c r="CN65" i="1"/>
  <c r="CQ64" i="1"/>
  <c r="CN64" i="1"/>
  <c r="H64" i="1"/>
  <c r="CQ63" i="1"/>
  <c r="CN63" i="1"/>
  <c r="H63" i="1"/>
  <c r="CQ62" i="1"/>
  <c r="CN62" i="1"/>
  <c r="H62" i="1"/>
  <c r="CQ61" i="1"/>
  <c r="CN61" i="1"/>
  <c r="H61" i="1"/>
  <c r="CQ60" i="1"/>
  <c r="CN60" i="1"/>
  <c r="H60" i="1"/>
  <c r="CQ59" i="1"/>
  <c r="CN59" i="1"/>
  <c r="CQ58" i="1"/>
  <c r="CN58" i="1"/>
  <c r="CQ57" i="1"/>
  <c r="CN57" i="1"/>
  <c r="CQ56" i="1"/>
  <c r="CQ55" i="1"/>
  <c r="CQ54" i="1"/>
  <c r="AI54" i="1"/>
  <c r="AI52" i="1"/>
  <c r="K51" i="1"/>
  <c r="J40" i="1"/>
  <c r="J36" i="1"/>
  <c r="J35" i="1"/>
  <c r="J33" i="1"/>
  <c r="J32" i="1"/>
  <c r="J31" i="1"/>
  <c r="J30" i="1"/>
  <c r="J29" i="1"/>
  <c r="J2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M6" i="1"/>
  <c r="L6" i="1"/>
  <c r="K6" i="1"/>
  <c r="J6" i="1"/>
  <c r="I6" i="1"/>
  <c r="H6" i="1"/>
  <c r="G6" i="1"/>
  <c r="F6" i="1"/>
  <c r="E6" i="1"/>
  <c r="C6" i="1"/>
</calcChain>
</file>

<file path=xl/comments1.xml><?xml version="1.0" encoding="utf-8"?>
<comments xmlns="http://schemas.openxmlformats.org/spreadsheetml/2006/main">
  <authors>
    <author>Rai Ghulam Mustafa</author>
  </authors>
  <commentList>
    <comment ref="CN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Combination of sugar crystals, crushed, plain sugar, soft.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British and Irish exports.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Contains average of plain, refined, crystallized, crushed.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raw and rafinated.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cane.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exports to different regions.
</t>
        </r>
      </text>
    </comment>
    <comment ref="AZ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of sugar from Marseilles and sugar, moist.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Gazette?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white. The only price that appears for this product in all reports.</t>
        </r>
      </text>
    </comment>
    <comment ref="AI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prices from Austria, France, Russia, Holland.</t>
        </r>
      </text>
    </comment>
    <comment ref="AI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prices from Austria, France.</t>
        </r>
      </text>
    </comment>
    <comment ref="CI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CI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CI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CI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CH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I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CH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I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CH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I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 beet, crushed
</t>
        </r>
      </text>
    </comment>
    <comment ref="CH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I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N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sugarcane, crushed and sugar beet, crushed</t>
        </r>
      </text>
    </comment>
    <comment ref="CH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I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H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I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CI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CI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AJ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manufactures, in boxes and bottles.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AG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 and confectionery price.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AL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Mentioned as Sugar, others or crystallized from 1874 till 1893 and 1910 till 1911.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Combination of sugar crystals, crushed, plain sugar, soft.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British and Irish exports.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Contains average of plain, refined, crystallized, crushed.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raw and rafinated.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cane.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of sugar from Marseilles and sugar, moist.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Gazette?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white. The only price that appears for this product in all reports.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prices from Austria, France, Russia, Holland.</t>
        </r>
      </text>
    </comment>
    <comment ref="R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prices from Austria, France.</t>
        </r>
      </text>
    </comment>
    <comment ref="AK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AK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AK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AK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AJ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K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AJ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K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soft.</t>
        </r>
      </text>
    </comment>
    <comment ref="AJ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K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 beet, crushed
</t>
        </r>
      </text>
    </comment>
    <comment ref="AJ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K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P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sugarcane, crushed and sugar beet, crushed</t>
        </r>
      </text>
    </comment>
    <comment ref="AJ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K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J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K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AK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AK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sugar, loaf and soft.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S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sugar, manufactures, in boxes and bottles.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S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sugar and confectionery price.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and cases.</t>
        </r>
      </text>
    </comment>
  </commentList>
</comments>
</file>

<file path=xl/sharedStrings.xml><?xml version="1.0" encoding="utf-8"?>
<sst xmlns="http://schemas.openxmlformats.org/spreadsheetml/2006/main" count="597" uniqueCount="60">
  <si>
    <t>Baghdad</t>
  </si>
  <si>
    <t>UK</t>
  </si>
  <si>
    <t>Damascus</t>
  </si>
  <si>
    <t>Izmir</t>
  </si>
  <si>
    <t>Beirut</t>
  </si>
  <si>
    <t>Bahrain</t>
  </si>
  <si>
    <t>pound/ton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</si>
  <si>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</si>
  <si>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</si>
  <si>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</si>
  <si>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</si>
  <si>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</si>
  <si>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</si>
  <si>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</si>
  <si>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</si>
  <si>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</si>
  <si>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</si>
  <si>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</si>
  <si>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</si>
  <si>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</si>
  <si>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</si>
  <si>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</si>
  <si>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</si>
  <si>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</si>
  <si>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</si>
  <si>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</si>
  <si>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</si>
  <si>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</si>
  <si>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</si>
  <si>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</si>
  <si>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Istanbul (Anatolia)</t>
  </si>
  <si>
    <t>Istanbul (Rumeli)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</si>
  <si>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</si>
  <si>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</si>
  <si>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</si>
  <si>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</si>
  <si>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</si>
  <si>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</si>
  <si>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</si>
  <si>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</si>
  <si>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</si>
  <si>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</si>
  <si>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and were published in the British House of Commons papers in the diplomatic &amp; consular reports on trade and finance as well as in the administration reports on the Persian Gulf Political Residency.</t>
  </si>
  <si>
    <t>Values are in pounds sterling.</t>
  </si>
  <si>
    <t>This spreadsheet was put together by Robert Allen in October 2018.</t>
  </si>
  <si>
    <t>Sugar</t>
  </si>
  <si>
    <t>UK (London), in pound/ton</t>
  </si>
  <si>
    <t>Egypt</t>
  </si>
  <si>
    <t>Sugar, refined</t>
  </si>
  <si>
    <t>Sugar, raw</t>
  </si>
  <si>
    <t>Bender Gez &amp; Astarabad &amp; Astara</t>
  </si>
  <si>
    <t>Ispahan &amp; Yezd</t>
  </si>
  <si>
    <t>Turkey &amp; Constantinople</t>
  </si>
  <si>
    <t>Resht &amp; Mazandaran &amp; Ghilan &amp; Tunekabun</t>
  </si>
  <si>
    <t>Sugar (average)</t>
  </si>
  <si>
    <t>Sugar (loaf)</t>
  </si>
  <si>
    <t>Damascus &amp; Beirut</t>
  </si>
  <si>
    <t>There are important issues regarding the accuracy of the returns in view of their provenance and the incentives to underreport values and evade taxation.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</si>
  <si>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sz val="10"/>
        <rFont val="Arial"/>
        <family val="2"/>
      </rPr>
      <t>Sugar</t>
    </r>
    <r>
      <rPr>
        <sz val="10"/>
        <rFont val="Arial"/>
        <family val="2"/>
      </rPr>
      <t xml:space="preserve"> 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Middle East, United Kingdom </t>
    </r>
    <r>
      <rPr>
        <sz val="10"/>
        <rFont val="Arial"/>
        <family val="2"/>
      </rPr>
      <t>&amp;</t>
    </r>
    <r>
      <rPr>
        <b/>
        <i/>
        <sz val="10"/>
        <rFont val="Arial"/>
        <family val="2"/>
      </rPr>
      <t xml:space="preserve"> India</t>
    </r>
    <r>
      <rPr>
        <sz val="10"/>
        <rFont val="Arial"/>
        <family val="2"/>
      </rPr>
      <t xml:space="preserve">. The data were compiled by British consuls usually from figures collected by Ottoman customs houses that taxed trade </t>
    </r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</si>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</sst>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&quot;?&quot;;\-#,##0&quot;?&quot;"/>
    <numFmt numFmtId="165" formatCode="0.0000"/>
  </numFmts>
  <fonts count="17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8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</cellStyleXfs>
  <cellXfs count="16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/>
    <xf numFmtId="0" fontId="6" fillId="0" borderId="0" xfId="10" applyAlignment="1"/>
    <xf numFmtId="165" fontId="13" fillId="0" borderId="0" xfId="7" applyNumberFormat="1" applyFont="1" applyBorder="1" applyAlignment="1" applyProtection="1">
      <alignment horizontal="center"/>
    </xf>
    <xf numFmtId="0" fontId="12" fillId="0" borderId="0" xfId="0" applyFont="1" applyAlignment="1"/>
    <xf numFmtId="0" fontId="0" fillId="0" borderId="0" xfId="0" applyFill="1" applyAlignment="1"/>
    <xf numFmtId="0" fontId="15" fillId="0" borderId="0" xfId="0" applyFont="1" applyAlignment="1"/>
  </cellXfs>
  <cellStyles count="16">
    <cellStyle name="Comma 2" xfId="13"/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(All)'!$D$7:$D$107</c:f>
              <c:numCache>
                <c:formatCode>0.0000</c:formatCode>
                <c:ptCount val="92"/>
                <c:pt idx="13">
                  <c:v>33.6535865308445</c:v>
                </c:pt>
                <c:pt idx="14">
                  <c:v>34.897354142193883</c:v>
                </c:pt>
                <c:pt idx="15">
                  <c:v>45.53952735808209</c:v>
                </c:pt>
                <c:pt idx="16">
                  <c:v>51.373613247842833</c:v>
                </c:pt>
                <c:pt idx="17">
                  <c:v>59.356588500375537</c:v>
                </c:pt>
                <c:pt idx="18">
                  <c:v>56.965582272512961</c:v>
                </c:pt>
                <c:pt idx="19">
                  <c:v>57.016567218907291</c:v>
                </c:pt>
                <c:pt idx="20">
                  <c:v>55.663936167701422</c:v>
                </c:pt>
                <c:pt idx="21">
                  <c:v>49.239794153565953</c:v>
                </c:pt>
                <c:pt idx="22">
                  <c:v>49.797805224184685</c:v>
                </c:pt>
                <c:pt idx="23">
                  <c:v>36.229260610495885</c:v>
                </c:pt>
                <c:pt idx="24">
                  <c:v>33.426332471920446</c:v>
                </c:pt>
                <c:pt idx="25">
                  <c:v>30.24</c:v>
                </c:pt>
                <c:pt idx="26">
                  <c:v>30.05</c:v>
                </c:pt>
                <c:pt idx="27">
                  <c:v>30.84</c:v>
                </c:pt>
                <c:pt idx="28">
                  <c:v>34.630000000000003</c:v>
                </c:pt>
                <c:pt idx="29">
                  <c:v>36.14</c:v>
                </c:pt>
                <c:pt idx="30">
                  <c:v>32.25</c:v>
                </c:pt>
                <c:pt idx="31">
                  <c:v>31.85</c:v>
                </c:pt>
                <c:pt idx="32">
                  <c:v>32.08</c:v>
                </c:pt>
                <c:pt idx="33">
                  <c:v>30.02</c:v>
                </c:pt>
                <c:pt idx="34">
                  <c:v>26.5</c:v>
                </c:pt>
                <c:pt idx="35">
                  <c:v>23.64</c:v>
                </c:pt>
                <c:pt idx="36">
                  <c:v>22.88</c:v>
                </c:pt>
                <c:pt idx="37">
                  <c:v>27.56</c:v>
                </c:pt>
                <c:pt idx="38">
                  <c:v>23.11</c:v>
                </c:pt>
                <c:pt idx="39">
                  <c:v>21.67</c:v>
                </c:pt>
                <c:pt idx="40">
                  <c:v>23.34</c:v>
                </c:pt>
                <c:pt idx="41">
                  <c:v>23.65</c:v>
                </c:pt>
                <c:pt idx="42">
                  <c:v>23.3</c:v>
                </c:pt>
                <c:pt idx="43">
                  <c:v>21.4</c:v>
                </c:pt>
                <c:pt idx="44">
                  <c:v>17.170000000000002</c:v>
                </c:pt>
                <c:pt idx="45">
                  <c:v>15.33</c:v>
                </c:pt>
                <c:pt idx="46">
                  <c:v>14.23</c:v>
                </c:pt>
                <c:pt idx="47">
                  <c:v>13.19</c:v>
                </c:pt>
                <c:pt idx="48">
                  <c:v>15.05</c:v>
                </c:pt>
                <c:pt idx="49">
                  <c:v>16.14</c:v>
                </c:pt>
                <c:pt idx="50">
                  <c:v>14.26</c:v>
                </c:pt>
                <c:pt idx="51">
                  <c:v>14.39</c:v>
                </c:pt>
                <c:pt idx="52">
                  <c:v>15.17</c:v>
                </c:pt>
                <c:pt idx="53">
                  <c:v>16.09</c:v>
                </c:pt>
                <c:pt idx="54">
                  <c:v>14.05</c:v>
                </c:pt>
                <c:pt idx="55">
                  <c:v>11.88</c:v>
                </c:pt>
                <c:pt idx="56">
                  <c:v>12.01</c:v>
                </c:pt>
                <c:pt idx="57">
                  <c:v>10.88</c:v>
                </c:pt>
                <c:pt idx="58">
                  <c:v>11.26</c:v>
                </c:pt>
                <c:pt idx="59">
                  <c:v>12.23</c:v>
                </c:pt>
                <c:pt idx="60">
                  <c:v>12.59</c:v>
                </c:pt>
                <c:pt idx="61">
                  <c:v>12.61</c:v>
                </c:pt>
                <c:pt idx="62">
                  <c:v>11.16</c:v>
                </c:pt>
                <c:pt idx="63">
                  <c:v>11.95</c:v>
                </c:pt>
                <c:pt idx="64">
                  <c:v>12.49</c:v>
                </c:pt>
                <c:pt idx="65">
                  <c:v>15.21</c:v>
                </c:pt>
                <c:pt idx="66">
                  <c:v>12.52</c:v>
                </c:pt>
                <c:pt idx="67">
                  <c:v>13.9</c:v>
                </c:pt>
                <c:pt idx="68">
                  <c:v>14.54</c:v>
                </c:pt>
                <c:pt idx="69">
                  <c:v>14.56</c:v>
                </c:pt>
                <c:pt idx="70">
                  <c:v>15.89</c:v>
                </c:pt>
                <c:pt idx="71">
                  <c:v>15.39</c:v>
                </c:pt>
                <c:pt idx="72">
                  <c:v>17.649999999999999</c:v>
                </c:pt>
                <c:pt idx="73">
                  <c:v>14.39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(All)'!$D$7:$D$107</c:f>
              <c:numCache>
                <c:formatCode>0.0000</c:formatCode>
                <c:ptCount val="92"/>
                <c:pt idx="13">
                  <c:v>33.6535865308445</c:v>
                </c:pt>
                <c:pt idx="14">
                  <c:v>34.897354142193883</c:v>
                </c:pt>
                <c:pt idx="15">
                  <c:v>45.53952735808209</c:v>
                </c:pt>
                <c:pt idx="16">
                  <c:v>51.373613247842833</c:v>
                </c:pt>
                <c:pt idx="17">
                  <c:v>59.356588500375537</c:v>
                </c:pt>
                <c:pt idx="18">
                  <c:v>56.965582272512961</c:v>
                </c:pt>
                <c:pt idx="19">
                  <c:v>57.016567218907291</c:v>
                </c:pt>
                <c:pt idx="20">
                  <c:v>55.663936167701422</c:v>
                </c:pt>
                <c:pt idx="21">
                  <c:v>49.239794153565953</c:v>
                </c:pt>
                <c:pt idx="22">
                  <c:v>49.797805224184685</c:v>
                </c:pt>
                <c:pt idx="23">
                  <c:v>36.229260610495885</c:v>
                </c:pt>
                <c:pt idx="24">
                  <c:v>33.426332471920446</c:v>
                </c:pt>
                <c:pt idx="25">
                  <c:v>30.24</c:v>
                </c:pt>
                <c:pt idx="26">
                  <c:v>30.05</c:v>
                </c:pt>
                <c:pt idx="27">
                  <c:v>30.84</c:v>
                </c:pt>
                <c:pt idx="28">
                  <c:v>34.630000000000003</c:v>
                </c:pt>
                <c:pt idx="29">
                  <c:v>36.14</c:v>
                </c:pt>
                <c:pt idx="30">
                  <c:v>32.25</c:v>
                </c:pt>
                <c:pt idx="31">
                  <c:v>31.85</c:v>
                </c:pt>
                <c:pt idx="32">
                  <c:v>32.08</c:v>
                </c:pt>
                <c:pt idx="33">
                  <c:v>30.02</c:v>
                </c:pt>
                <c:pt idx="34">
                  <c:v>26.5</c:v>
                </c:pt>
                <c:pt idx="35">
                  <c:v>23.64</c:v>
                </c:pt>
                <c:pt idx="36">
                  <c:v>22.88</c:v>
                </c:pt>
                <c:pt idx="37">
                  <c:v>27.56</c:v>
                </c:pt>
                <c:pt idx="38">
                  <c:v>23.11</c:v>
                </c:pt>
                <c:pt idx="39">
                  <c:v>21.67</c:v>
                </c:pt>
                <c:pt idx="40">
                  <c:v>23.34</c:v>
                </c:pt>
                <c:pt idx="41">
                  <c:v>23.65</c:v>
                </c:pt>
                <c:pt idx="42">
                  <c:v>23.3</c:v>
                </c:pt>
                <c:pt idx="43">
                  <c:v>21.4</c:v>
                </c:pt>
                <c:pt idx="44">
                  <c:v>17.170000000000002</c:v>
                </c:pt>
                <c:pt idx="45">
                  <c:v>15.33</c:v>
                </c:pt>
                <c:pt idx="46">
                  <c:v>14.23</c:v>
                </c:pt>
                <c:pt idx="47">
                  <c:v>13.19</c:v>
                </c:pt>
                <c:pt idx="48">
                  <c:v>15.05</c:v>
                </c:pt>
                <c:pt idx="49">
                  <c:v>16.14</c:v>
                </c:pt>
                <c:pt idx="50">
                  <c:v>14.26</c:v>
                </c:pt>
                <c:pt idx="51">
                  <c:v>14.39</c:v>
                </c:pt>
                <c:pt idx="52">
                  <c:v>15.17</c:v>
                </c:pt>
                <c:pt idx="53">
                  <c:v>16.09</c:v>
                </c:pt>
                <c:pt idx="54">
                  <c:v>14.05</c:v>
                </c:pt>
                <c:pt idx="55">
                  <c:v>11.88</c:v>
                </c:pt>
                <c:pt idx="56">
                  <c:v>12.01</c:v>
                </c:pt>
                <c:pt idx="57">
                  <c:v>10.88</c:v>
                </c:pt>
                <c:pt idx="58">
                  <c:v>11.26</c:v>
                </c:pt>
                <c:pt idx="59">
                  <c:v>12.23</c:v>
                </c:pt>
                <c:pt idx="60">
                  <c:v>12.59</c:v>
                </c:pt>
                <c:pt idx="61">
                  <c:v>12.61</c:v>
                </c:pt>
                <c:pt idx="62">
                  <c:v>11.16</c:v>
                </c:pt>
                <c:pt idx="63">
                  <c:v>11.95</c:v>
                </c:pt>
                <c:pt idx="64">
                  <c:v>12.49</c:v>
                </c:pt>
                <c:pt idx="65">
                  <c:v>15.21</c:v>
                </c:pt>
                <c:pt idx="66">
                  <c:v>12.52</c:v>
                </c:pt>
                <c:pt idx="67">
                  <c:v>13.9</c:v>
                </c:pt>
                <c:pt idx="68">
                  <c:v>14.54</c:v>
                </c:pt>
                <c:pt idx="69">
                  <c:v>14.56</c:v>
                </c:pt>
                <c:pt idx="70">
                  <c:v>15.89</c:v>
                </c:pt>
                <c:pt idx="71">
                  <c:v>15.39</c:v>
                </c:pt>
                <c:pt idx="72">
                  <c:v>17.649999999999999</c:v>
                </c:pt>
                <c:pt idx="73">
                  <c:v>14.39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30368"/>
        <c:axId val="299042688"/>
      </c:scatterChart>
      <c:valAx>
        <c:axId val="29903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42688"/>
        <c:crosses val="autoZero"/>
        <c:crossBetween val="midCat"/>
        <c:majorUnit val="5"/>
      </c:valAx>
      <c:valAx>
        <c:axId val="2990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3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(All)'!$E$7:$E$107</c:f>
              <c:numCache>
                <c:formatCode>0.0000</c:formatCode>
                <c:ptCount val="92"/>
                <c:pt idx="15">
                  <c:v>34.04</c:v>
                </c:pt>
                <c:pt idx="27">
                  <c:v>7.0705309678378141</c:v>
                </c:pt>
                <c:pt idx="29">
                  <c:v>74.322094892942388</c:v>
                </c:pt>
                <c:pt idx="30">
                  <c:v>8.9865762323405374</c:v>
                </c:pt>
                <c:pt idx="34">
                  <c:v>5.5321497146608447</c:v>
                </c:pt>
                <c:pt idx="35">
                  <c:v>3.7892604551311551</c:v>
                </c:pt>
                <c:pt idx="37">
                  <c:v>6.4029115685123239</c:v>
                </c:pt>
                <c:pt idx="38">
                  <c:v>32.808672957237413</c:v>
                </c:pt>
                <c:pt idx="47">
                  <c:v>25.708609271523134</c:v>
                </c:pt>
                <c:pt idx="48">
                  <c:v>30.999737049697696</c:v>
                </c:pt>
                <c:pt idx="49">
                  <c:v>32.031249999999936</c:v>
                </c:pt>
                <c:pt idx="50">
                  <c:v>22.999031434357665</c:v>
                </c:pt>
                <c:pt idx="51">
                  <c:v>32.006846384253215</c:v>
                </c:pt>
                <c:pt idx="52">
                  <c:v>29.999999999999904</c:v>
                </c:pt>
                <c:pt idx="57">
                  <c:v>19.999609153622178</c:v>
                </c:pt>
                <c:pt idx="58">
                  <c:v>8.0882352941176414</c:v>
                </c:pt>
                <c:pt idx="59">
                  <c:v>20.000000000000004</c:v>
                </c:pt>
                <c:pt idx="60">
                  <c:v>19.992129083038179</c:v>
                </c:pt>
                <c:pt idx="61">
                  <c:v>26.666666666666657</c:v>
                </c:pt>
                <c:pt idx="62">
                  <c:v>26.666666666666657</c:v>
                </c:pt>
                <c:pt idx="63">
                  <c:v>23.315645602186784</c:v>
                </c:pt>
                <c:pt idx="64">
                  <c:v>29.998440597919362</c:v>
                </c:pt>
                <c:pt idx="65">
                  <c:v>28.243847874720352</c:v>
                </c:pt>
                <c:pt idx="66">
                  <c:v>20.805962658476801</c:v>
                </c:pt>
                <c:pt idx="67">
                  <c:v>19.792349812881668</c:v>
                </c:pt>
                <c:pt idx="68">
                  <c:v>17.625434613444096</c:v>
                </c:pt>
                <c:pt idx="69">
                  <c:v>18.272997497403775</c:v>
                </c:pt>
                <c:pt idx="70">
                  <c:v>21.471307802243075</c:v>
                </c:pt>
                <c:pt idx="71">
                  <c:v>16.600631603060993</c:v>
                </c:pt>
                <c:pt idx="72">
                  <c:v>21.418881233060098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(All)'!$E$7:$E$107</c:f>
              <c:numCache>
                <c:formatCode>0.0000</c:formatCode>
                <c:ptCount val="92"/>
                <c:pt idx="15">
                  <c:v>34.04</c:v>
                </c:pt>
                <c:pt idx="27">
                  <c:v>7.0705309678378141</c:v>
                </c:pt>
                <c:pt idx="29">
                  <c:v>74.322094892942388</c:v>
                </c:pt>
                <c:pt idx="30">
                  <c:v>8.9865762323405374</c:v>
                </c:pt>
                <c:pt idx="34">
                  <c:v>5.5321497146608447</c:v>
                </c:pt>
                <c:pt idx="35">
                  <c:v>3.7892604551311551</c:v>
                </c:pt>
                <c:pt idx="37">
                  <c:v>6.4029115685123239</c:v>
                </c:pt>
                <c:pt idx="38">
                  <c:v>32.808672957237413</c:v>
                </c:pt>
                <c:pt idx="47">
                  <c:v>25.708609271523134</c:v>
                </c:pt>
                <c:pt idx="48">
                  <c:v>30.999737049697696</c:v>
                </c:pt>
                <c:pt idx="49">
                  <c:v>32.031249999999936</c:v>
                </c:pt>
                <c:pt idx="50">
                  <c:v>22.999031434357665</c:v>
                </c:pt>
                <c:pt idx="51">
                  <c:v>32.006846384253215</c:v>
                </c:pt>
                <c:pt idx="52">
                  <c:v>29.999999999999904</c:v>
                </c:pt>
                <c:pt idx="57">
                  <c:v>19.999609153622178</c:v>
                </c:pt>
                <c:pt idx="58">
                  <c:v>8.0882352941176414</c:v>
                </c:pt>
                <c:pt idx="59">
                  <c:v>20.000000000000004</c:v>
                </c:pt>
                <c:pt idx="60">
                  <c:v>19.992129083038179</c:v>
                </c:pt>
                <c:pt idx="61">
                  <c:v>26.666666666666657</c:v>
                </c:pt>
                <c:pt idx="62">
                  <c:v>26.666666666666657</c:v>
                </c:pt>
                <c:pt idx="63">
                  <c:v>23.315645602186784</c:v>
                </c:pt>
                <c:pt idx="64">
                  <c:v>29.998440597919362</c:v>
                </c:pt>
                <c:pt idx="65">
                  <c:v>28.243847874720352</c:v>
                </c:pt>
                <c:pt idx="66">
                  <c:v>20.805962658476801</c:v>
                </c:pt>
                <c:pt idx="67">
                  <c:v>19.792349812881668</c:v>
                </c:pt>
                <c:pt idx="68">
                  <c:v>17.625434613444096</c:v>
                </c:pt>
                <c:pt idx="69">
                  <c:v>18.272997497403775</c:v>
                </c:pt>
                <c:pt idx="70">
                  <c:v>21.471307802243075</c:v>
                </c:pt>
                <c:pt idx="71">
                  <c:v>16.600631603060993</c:v>
                </c:pt>
                <c:pt idx="72">
                  <c:v>21.418881233060098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09648"/>
        <c:axId val="367630928"/>
      </c:scatterChart>
      <c:valAx>
        <c:axId val="367609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30928"/>
        <c:crosses val="autoZero"/>
        <c:crossBetween val="midCat"/>
        <c:majorUnit val="5"/>
      </c:valAx>
      <c:valAx>
        <c:axId val="3676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09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(All)'!$CX$7:$CX$107</c:f>
              <c:numCache>
                <c:formatCode>General</c:formatCode>
                <c:ptCount val="92"/>
                <c:pt idx="3" formatCode="0.0000">
                  <c:v>28.196617412227337</c:v>
                </c:pt>
                <c:pt idx="4" formatCode="0.0000">
                  <c:v>27.949604045363685</c:v>
                </c:pt>
                <c:pt idx="5" formatCode="0.0000">
                  <c:v>28.005627009646297</c:v>
                </c:pt>
                <c:pt idx="6" formatCode="0.0000">
                  <c:v>27.914146122106828</c:v>
                </c:pt>
                <c:pt idx="7" formatCode="0.0000">
                  <c:v>23.732744878117664</c:v>
                </c:pt>
                <c:pt idx="8" formatCode="0.0000">
                  <c:v>19.662374894991448</c:v>
                </c:pt>
                <c:pt idx="9" formatCode="0.0000">
                  <c:v>18.737862913154306</c:v>
                </c:pt>
                <c:pt idx="10" formatCode="0.0000">
                  <c:v>19.821616733292771</c:v>
                </c:pt>
                <c:pt idx="11" formatCode="0.0000">
                  <c:v>22.501270965499252</c:v>
                </c:pt>
                <c:pt idx="12" formatCode="0.0000">
                  <c:v>17.98013346948234</c:v>
                </c:pt>
                <c:pt idx="13" formatCode="0.0000">
                  <c:v>21.376287259928738</c:v>
                </c:pt>
                <c:pt idx="14" formatCode="0.0000">
                  <c:v>19.11753715129921</c:v>
                </c:pt>
                <c:pt idx="15" formatCode="0.0000">
                  <c:v>16.888977565286346</c:v>
                </c:pt>
                <c:pt idx="16" formatCode="0.0000">
                  <c:v>22.301065384114015</c:v>
                </c:pt>
                <c:pt idx="17" formatCode="0.0000">
                  <c:v>31.882522594942198</c:v>
                </c:pt>
                <c:pt idx="18" formatCode="0.0000">
                  <c:v>28.284278048144603</c:v>
                </c:pt>
                <c:pt idx="19" formatCode="0.0000">
                  <c:v>25.767236790649164</c:v>
                </c:pt>
                <c:pt idx="20" formatCode="0.0000">
                  <c:v>23.860326866255317</c:v>
                </c:pt>
                <c:pt idx="21" formatCode="0.0000">
                  <c:v>22.334998533501341</c:v>
                </c:pt>
                <c:pt idx="22" formatCode="0.0000">
                  <c:v>23.349400093421391</c:v>
                </c:pt>
                <c:pt idx="23" formatCode="0.0000">
                  <c:v>22.574260504475529</c:v>
                </c:pt>
                <c:pt idx="24" formatCode="0.0000">
                  <c:v>23.249419284638325</c:v>
                </c:pt>
                <c:pt idx="25" formatCode="0.0000">
                  <c:v>25.31142643472451</c:v>
                </c:pt>
                <c:pt idx="26" formatCode="0.0000">
                  <c:v>23.968114517250367</c:v>
                </c:pt>
                <c:pt idx="27" formatCode="0.0000">
                  <c:v>22.619271829104019</c:v>
                </c:pt>
                <c:pt idx="28" formatCode="0.0000">
                  <c:v>21.576160163378809</c:v>
                </c:pt>
                <c:pt idx="29" formatCode="0.0000">
                  <c:v>22.828430019260598</c:v>
                </c:pt>
                <c:pt idx="30" formatCode="0.0000">
                  <c:v>21.859108675750942</c:v>
                </c:pt>
                <c:pt idx="31" formatCode="0.0000">
                  <c:v>20.935006250036015</c:v>
                </c:pt>
                <c:pt idx="32" formatCode="0.0000">
                  <c:v>19.625016861734178</c:v>
                </c:pt>
                <c:pt idx="33" formatCode="0.0000">
                  <c:v>22.684614563761073</c:v>
                </c:pt>
                <c:pt idx="34" formatCode="0.0000">
                  <c:v>20.467272784683193</c:v>
                </c:pt>
                <c:pt idx="35" formatCode="0.0000">
                  <c:v>16.981560026828127</c:v>
                </c:pt>
                <c:pt idx="36" formatCode="0.0000">
                  <c:v>16.311295907533946</c:v>
                </c:pt>
                <c:pt idx="37" formatCode="0.0000">
                  <c:v>18.371442674301239</c:v>
                </c:pt>
                <c:pt idx="38" formatCode="0.0000">
                  <c:v>17.701409686917525</c:v>
                </c:pt>
                <c:pt idx="39" formatCode="0.0000">
                  <c:v>18.371792195638442</c:v>
                </c:pt>
                <c:pt idx="40" formatCode="0.0000">
                  <c:v>21.258362383306121</c:v>
                </c:pt>
                <c:pt idx="41" formatCode="0.0000">
                  <c:v>19.204822171303324</c:v>
                </c:pt>
                <c:pt idx="42" formatCode="0.0000">
                  <c:v>18.374495188767387</c:v>
                </c:pt>
                <c:pt idx="43" formatCode="0.0000">
                  <c:v>17.267128990482966</c:v>
                </c:pt>
                <c:pt idx="44" formatCode="0.0000">
                  <c:v>16.321697242109604</c:v>
                </c:pt>
                <c:pt idx="45" formatCode="0.0000">
                  <c:v>13.844958314745501</c:v>
                </c:pt>
                <c:pt idx="46" formatCode="0.0000">
                  <c:v>14.579778664710719</c:v>
                </c:pt>
                <c:pt idx="47" formatCode="0.0000">
                  <c:v>13.754509856475238</c:v>
                </c:pt>
                <c:pt idx="48" formatCode="0.0000">
                  <c:v>12.202365298967639</c:v>
                </c:pt>
                <c:pt idx="49" formatCode="0.0000">
                  <c:v>14.122962432552697</c:v>
                </c:pt>
                <c:pt idx="50" formatCode="0.0000">
                  <c:v>18.132216432493781</c:v>
                </c:pt>
                <c:pt idx="51" formatCode="0.0000">
                  <c:v>14.005353096691174</c:v>
                </c:pt>
                <c:pt idx="52" formatCode="0.0000">
                  <c:v>12.294539095809549</c:v>
                </c:pt>
                <c:pt idx="53" formatCode="0.0000">
                  <c:v>12.436674493358293</c:v>
                </c:pt>
                <c:pt idx="54" formatCode="0.0000">
                  <c:v>11.017185954817593</c:v>
                </c:pt>
                <c:pt idx="55" formatCode="0.0000">
                  <c:v>8.7881702428286843</c:v>
                </c:pt>
                <c:pt idx="56" formatCode="0.0000">
                  <c:v>9.8089215031317831</c:v>
                </c:pt>
                <c:pt idx="57" formatCode="0.0000">
                  <c:v>9.6155154279792789</c:v>
                </c:pt>
                <c:pt idx="58" formatCode="0.0000">
                  <c:v>8.9184606074293278</c:v>
                </c:pt>
                <c:pt idx="59" formatCode="0.0000">
                  <c:v>10.297846272295217</c:v>
                </c:pt>
                <c:pt idx="60" formatCode="0.0000">
                  <c:v>10.675389276304514</c:v>
                </c:pt>
                <c:pt idx="61" formatCode="0.0000">
                  <c:v>11.233178337141371</c:v>
                </c:pt>
                <c:pt idx="62" formatCode="0.0000">
                  <c:v>9.4640263358361878</c:v>
                </c:pt>
                <c:pt idx="63" formatCode="0.0000">
                  <c:v>8.273625776316706</c:v>
                </c:pt>
                <c:pt idx="64" formatCode="0.0000">
                  <c:v>9.2198009199810791</c:v>
                </c:pt>
                <c:pt idx="65" formatCode="0.0000">
                  <c:v>11.387233483814104</c:v>
                </c:pt>
                <c:pt idx="66" formatCode="0.0000">
                  <c:v>11.406277020544206</c:v>
                </c:pt>
                <c:pt idx="67" formatCode="0.0000">
                  <c:v>11.809386820760526</c:v>
                </c:pt>
                <c:pt idx="68" formatCode="0.0000">
                  <c:v>11.174862103670669</c:v>
                </c:pt>
                <c:pt idx="69" formatCode="0.0000">
                  <c:v>11.892622663971354</c:v>
                </c:pt>
                <c:pt idx="70" formatCode="0.0000">
                  <c:v>11.85835734990339</c:v>
                </c:pt>
                <c:pt idx="71" formatCode="0.0000">
                  <c:v>11.722005098603528</c:v>
                </c:pt>
                <c:pt idx="72" formatCode="0.0000">
                  <c:v>11.43133378656597</c:v>
                </c:pt>
                <c:pt idx="73" formatCode="0.0000">
                  <c:v>12.482230121673528</c:v>
                </c:pt>
                <c:pt idx="74" formatCode="0.0000">
                  <c:v>8.5144729390568532</c:v>
                </c:pt>
                <c:pt idx="75" formatCode="0.0000">
                  <c:v>10.739134850770771</c:v>
                </c:pt>
                <c:pt idx="76" formatCode="0.0000">
                  <c:v>13.944502723174843</c:v>
                </c:pt>
                <c:pt idx="77" formatCode="0.0000">
                  <c:v>12.451333003167692</c:v>
                </c:pt>
                <c:pt idx="78" formatCode="0.0000">
                  <c:v>15.381746828985372</c:v>
                </c:pt>
                <c:pt idx="79" formatCode="0.0000">
                  <c:v>21.337093563370935</c:v>
                </c:pt>
                <c:pt idx="80" formatCode="0.0000">
                  <c:v>27.118314687688414</c:v>
                </c:pt>
                <c:pt idx="81" formatCode="0.0000">
                  <c:v>17.386363636363637</c:v>
                </c:pt>
                <c:pt idx="82" formatCode="0.0000">
                  <c:v>12.272727272727273</c:v>
                </c:pt>
                <c:pt idx="83" formatCode="0.0000">
                  <c:v>15.596590909090908</c:v>
                </c:pt>
                <c:pt idx="84" formatCode="0.0000">
                  <c:v>9.4602272727272734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(All)'!$CX$7:$CX$107</c:f>
              <c:numCache>
                <c:formatCode>General</c:formatCode>
                <c:ptCount val="92"/>
                <c:pt idx="3" formatCode="0.0000">
                  <c:v>28.196617412227337</c:v>
                </c:pt>
                <c:pt idx="4" formatCode="0.0000">
                  <c:v>27.949604045363685</c:v>
                </c:pt>
                <c:pt idx="5" formatCode="0.0000">
                  <c:v>28.005627009646297</c:v>
                </c:pt>
                <c:pt idx="6" formatCode="0.0000">
                  <c:v>27.914146122106828</c:v>
                </c:pt>
                <c:pt idx="7" formatCode="0.0000">
                  <c:v>23.732744878117664</c:v>
                </c:pt>
                <c:pt idx="8" formatCode="0.0000">
                  <c:v>19.662374894991448</c:v>
                </c:pt>
                <c:pt idx="9" formatCode="0.0000">
                  <c:v>18.737862913154306</c:v>
                </c:pt>
                <c:pt idx="10" formatCode="0.0000">
                  <c:v>19.821616733292771</c:v>
                </c:pt>
                <c:pt idx="11" formatCode="0.0000">
                  <c:v>22.501270965499252</c:v>
                </c:pt>
                <c:pt idx="12" formatCode="0.0000">
                  <c:v>17.98013346948234</c:v>
                </c:pt>
                <c:pt idx="13" formatCode="0.0000">
                  <c:v>21.376287259928738</c:v>
                </c:pt>
                <c:pt idx="14" formatCode="0.0000">
                  <c:v>19.11753715129921</c:v>
                </c:pt>
                <c:pt idx="15" formatCode="0.0000">
                  <c:v>16.888977565286346</c:v>
                </c:pt>
                <c:pt idx="16" formatCode="0.0000">
                  <c:v>22.301065384114015</c:v>
                </c:pt>
                <c:pt idx="17" formatCode="0.0000">
                  <c:v>31.882522594942198</c:v>
                </c:pt>
                <c:pt idx="18" formatCode="0.0000">
                  <c:v>28.284278048144603</c:v>
                </c:pt>
                <c:pt idx="19" formatCode="0.0000">
                  <c:v>25.767236790649164</c:v>
                </c:pt>
                <c:pt idx="20" formatCode="0.0000">
                  <c:v>23.860326866255317</c:v>
                </c:pt>
                <c:pt idx="21" formatCode="0.0000">
                  <c:v>22.334998533501341</c:v>
                </c:pt>
                <c:pt idx="22" formatCode="0.0000">
                  <c:v>23.349400093421391</c:v>
                </c:pt>
                <c:pt idx="23" formatCode="0.0000">
                  <c:v>22.574260504475529</c:v>
                </c:pt>
                <c:pt idx="24" formatCode="0.0000">
                  <c:v>23.249419284638325</c:v>
                </c:pt>
                <c:pt idx="25" formatCode="0.0000">
                  <c:v>25.31142643472451</c:v>
                </c:pt>
                <c:pt idx="26" formatCode="0.0000">
                  <c:v>23.968114517250367</c:v>
                </c:pt>
                <c:pt idx="27" formatCode="0.0000">
                  <c:v>22.619271829104019</c:v>
                </c:pt>
                <c:pt idx="28" formatCode="0.0000">
                  <c:v>21.576160163378809</c:v>
                </c:pt>
                <c:pt idx="29" formatCode="0.0000">
                  <c:v>22.828430019260598</c:v>
                </c:pt>
                <c:pt idx="30" formatCode="0.0000">
                  <c:v>21.859108675750942</c:v>
                </c:pt>
                <c:pt idx="31" formatCode="0.0000">
                  <c:v>20.935006250036015</c:v>
                </c:pt>
                <c:pt idx="32" formatCode="0.0000">
                  <c:v>19.625016861734178</c:v>
                </c:pt>
                <c:pt idx="33" formatCode="0.0000">
                  <c:v>22.684614563761073</c:v>
                </c:pt>
                <c:pt idx="34" formatCode="0.0000">
                  <c:v>20.467272784683193</c:v>
                </c:pt>
                <c:pt idx="35" formatCode="0.0000">
                  <c:v>16.981560026828127</c:v>
                </c:pt>
                <c:pt idx="36" formatCode="0.0000">
                  <c:v>16.311295907533946</c:v>
                </c:pt>
                <c:pt idx="37" formatCode="0.0000">
                  <c:v>18.371442674301239</c:v>
                </c:pt>
                <c:pt idx="38" formatCode="0.0000">
                  <c:v>17.701409686917525</c:v>
                </c:pt>
                <c:pt idx="39" formatCode="0.0000">
                  <c:v>18.371792195638442</c:v>
                </c:pt>
                <c:pt idx="40" formatCode="0.0000">
                  <c:v>21.258362383306121</c:v>
                </c:pt>
                <c:pt idx="41" formatCode="0.0000">
                  <c:v>19.204822171303324</c:v>
                </c:pt>
                <c:pt idx="42" formatCode="0.0000">
                  <c:v>18.374495188767387</c:v>
                </c:pt>
                <c:pt idx="43" formatCode="0.0000">
                  <c:v>17.267128990482966</c:v>
                </c:pt>
                <c:pt idx="44" formatCode="0.0000">
                  <c:v>16.321697242109604</c:v>
                </c:pt>
                <c:pt idx="45" formatCode="0.0000">
                  <c:v>13.844958314745501</c:v>
                </c:pt>
                <c:pt idx="46" formatCode="0.0000">
                  <c:v>14.579778664710719</c:v>
                </c:pt>
                <c:pt idx="47" formatCode="0.0000">
                  <c:v>13.754509856475238</c:v>
                </c:pt>
                <c:pt idx="48" formatCode="0.0000">
                  <c:v>12.202365298967639</c:v>
                </c:pt>
                <c:pt idx="49" formatCode="0.0000">
                  <c:v>14.122962432552697</c:v>
                </c:pt>
                <c:pt idx="50" formatCode="0.0000">
                  <c:v>18.132216432493781</c:v>
                </c:pt>
                <c:pt idx="51" formatCode="0.0000">
                  <c:v>14.005353096691174</c:v>
                </c:pt>
                <c:pt idx="52" formatCode="0.0000">
                  <c:v>12.294539095809549</c:v>
                </c:pt>
                <c:pt idx="53" formatCode="0.0000">
                  <c:v>12.436674493358293</c:v>
                </c:pt>
                <c:pt idx="54" formatCode="0.0000">
                  <c:v>11.017185954817593</c:v>
                </c:pt>
                <c:pt idx="55" formatCode="0.0000">
                  <c:v>8.7881702428286843</c:v>
                </c:pt>
                <c:pt idx="56" formatCode="0.0000">
                  <c:v>9.8089215031317831</c:v>
                </c:pt>
                <c:pt idx="57" formatCode="0.0000">
                  <c:v>9.6155154279792789</c:v>
                </c:pt>
                <c:pt idx="58" formatCode="0.0000">
                  <c:v>8.9184606074293278</c:v>
                </c:pt>
                <c:pt idx="59" formatCode="0.0000">
                  <c:v>10.297846272295217</c:v>
                </c:pt>
                <c:pt idx="60" formatCode="0.0000">
                  <c:v>10.675389276304514</c:v>
                </c:pt>
                <c:pt idx="61" formatCode="0.0000">
                  <c:v>11.233178337141371</c:v>
                </c:pt>
                <c:pt idx="62" formatCode="0.0000">
                  <c:v>9.4640263358361878</c:v>
                </c:pt>
                <c:pt idx="63" formatCode="0.0000">
                  <c:v>8.273625776316706</c:v>
                </c:pt>
                <c:pt idx="64" formatCode="0.0000">
                  <c:v>9.2198009199810791</c:v>
                </c:pt>
                <c:pt idx="65" formatCode="0.0000">
                  <c:v>11.387233483814104</c:v>
                </c:pt>
                <c:pt idx="66" formatCode="0.0000">
                  <c:v>11.406277020544206</c:v>
                </c:pt>
                <c:pt idx="67" formatCode="0.0000">
                  <c:v>11.809386820760526</c:v>
                </c:pt>
                <c:pt idx="68" formatCode="0.0000">
                  <c:v>11.174862103670669</c:v>
                </c:pt>
                <c:pt idx="69" formatCode="0.0000">
                  <c:v>11.892622663971354</c:v>
                </c:pt>
                <c:pt idx="70" formatCode="0.0000">
                  <c:v>11.85835734990339</c:v>
                </c:pt>
                <c:pt idx="71" formatCode="0.0000">
                  <c:v>11.722005098603528</c:v>
                </c:pt>
                <c:pt idx="72" formatCode="0.0000">
                  <c:v>11.43133378656597</c:v>
                </c:pt>
                <c:pt idx="73" formatCode="0.0000">
                  <c:v>12.482230121673528</c:v>
                </c:pt>
                <c:pt idx="74" formatCode="0.0000">
                  <c:v>8.5144729390568532</c:v>
                </c:pt>
                <c:pt idx="75" formatCode="0.0000">
                  <c:v>10.739134850770771</c:v>
                </c:pt>
                <c:pt idx="76" formatCode="0.0000">
                  <c:v>13.944502723174843</c:v>
                </c:pt>
                <c:pt idx="77" formatCode="0.0000">
                  <c:v>12.451333003167692</c:v>
                </c:pt>
                <c:pt idx="78" formatCode="0.0000">
                  <c:v>15.381746828985372</c:v>
                </c:pt>
                <c:pt idx="79" formatCode="0.0000">
                  <c:v>21.337093563370935</c:v>
                </c:pt>
                <c:pt idx="80" formatCode="0.0000">
                  <c:v>27.118314687688414</c:v>
                </c:pt>
                <c:pt idx="81" formatCode="0.0000">
                  <c:v>17.386363636363637</c:v>
                </c:pt>
                <c:pt idx="82" formatCode="0.0000">
                  <c:v>12.272727272727273</c:v>
                </c:pt>
                <c:pt idx="83" formatCode="0.0000">
                  <c:v>15.596590909090908</c:v>
                </c:pt>
                <c:pt idx="84" formatCode="0.0000">
                  <c:v>9.4602272727272734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93056"/>
        <c:axId val="622118576"/>
      </c:scatterChart>
      <c:valAx>
        <c:axId val="622193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18576"/>
        <c:crosses val="autoZero"/>
        <c:crossBetween val="midCat"/>
        <c:majorUnit val="5"/>
      </c:valAx>
      <c:valAx>
        <c:axId val="62211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93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Sugar, in</a:t>
            </a:r>
            <a:r>
              <a:rPr lang="en-US" sz="2000" b="1" baseline="0">
                <a:solidFill>
                  <a:schemeClr val="tx1"/>
                </a:solidFill>
              </a:rPr>
              <a:t> pound/ton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'Sugar (All)'!$D$6</c:f>
              <c:strCache>
                <c:ptCount val="1"/>
                <c:pt idx="0">
                  <c:v>UK (London),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(All)'!$D$7:$D$107</c:f>
              <c:numCache>
                <c:formatCode>0.0000</c:formatCode>
                <c:ptCount val="92"/>
                <c:pt idx="13">
                  <c:v>33.6535865308445</c:v>
                </c:pt>
                <c:pt idx="14">
                  <c:v>34.897354142193883</c:v>
                </c:pt>
                <c:pt idx="15">
                  <c:v>45.53952735808209</c:v>
                </c:pt>
                <c:pt idx="16">
                  <c:v>51.373613247842833</c:v>
                </c:pt>
                <c:pt idx="17">
                  <c:v>59.356588500375537</c:v>
                </c:pt>
                <c:pt idx="18">
                  <c:v>56.965582272512961</c:v>
                </c:pt>
                <c:pt idx="19">
                  <c:v>57.016567218907291</c:v>
                </c:pt>
                <c:pt idx="20">
                  <c:v>55.663936167701422</c:v>
                </c:pt>
                <c:pt idx="21">
                  <c:v>49.239794153565953</c:v>
                </c:pt>
                <c:pt idx="22">
                  <c:v>49.797805224184685</c:v>
                </c:pt>
                <c:pt idx="23">
                  <c:v>36.229260610495885</c:v>
                </c:pt>
                <c:pt idx="24">
                  <c:v>33.426332471920446</c:v>
                </c:pt>
                <c:pt idx="25">
                  <c:v>30.24</c:v>
                </c:pt>
                <c:pt idx="26">
                  <c:v>30.05</c:v>
                </c:pt>
                <c:pt idx="27">
                  <c:v>30.84</c:v>
                </c:pt>
                <c:pt idx="28">
                  <c:v>34.630000000000003</c:v>
                </c:pt>
                <c:pt idx="29">
                  <c:v>36.14</c:v>
                </c:pt>
                <c:pt idx="30">
                  <c:v>32.25</c:v>
                </c:pt>
                <c:pt idx="31">
                  <c:v>31.85</c:v>
                </c:pt>
                <c:pt idx="32">
                  <c:v>32.08</c:v>
                </c:pt>
                <c:pt idx="33">
                  <c:v>30.02</c:v>
                </c:pt>
                <c:pt idx="34">
                  <c:v>26.5</c:v>
                </c:pt>
                <c:pt idx="35">
                  <c:v>23.64</c:v>
                </c:pt>
                <c:pt idx="36">
                  <c:v>22.88</c:v>
                </c:pt>
                <c:pt idx="37">
                  <c:v>27.56</c:v>
                </c:pt>
                <c:pt idx="38">
                  <c:v>23.11</c:v>
                </c:pt>
                <c:pt idx="39">
                  <c:v>21.67</c:v>
                </c:pt>
                <c:pt idx="40">
                  <c:v>23.34</c:v>
                </c:pt>
                <c:pt idx="41">
                  <c:v>23.65</c:v>
                </c:pt>
                <c:pt idx="42">
                  <c:v>23.3</c:v>
                </c:pt>
                <c:pt idx="43">
                  <c:v>21.4</c:v>
                </c:pt>
                <c:pt idx="44">
                  <c:v>17.170000000000002</c:v>
                </c:pt>
                <c:pt idx="45">
                  <c:v>15.33</c:v>
                </c:pt>
                <c:pt idx="46">
                  <c:v>14.23</c:v>
                </c:pt>
                <c:pt idx="47">
                  <c:v>13.19</c:v>
                </c:pt>
                <c:pt idx="48">
                  <c:v>15.05</c:v>
                </c:pt>
                <c:pt idx="49">
                  <c:v>16.14</c:v>
                </c:pt>
                <c:pt idx="50">
                  <c:v>14.26</c:v>
                </c:pt>
                <c:pt idx="51">
                  <c:v>14.39</c:v>
                </c:pt>
                <c:pt idx="52">
                  <c:v>15.17</c:v>
                </c:pt>
                <c:pt idx="53">
                  <c:v>16.09</c:v>
                </c:pt>
                <c:pt idx="54">
                  <c:v>14.05</c:v>
                </c:pt>
                <c:pt idx="55">
                  <c:v>11.88</c:v>
                </c:pt>
                <c:pt idx="56">
                  <c:v>12.01</c:v>
                </c:pt>
                <c:pt idx="57">
                  <c:v>10.88</c:v>
                </c:pt>
                <c:pt idx="58">
                  <c:v>11.26</c:v>
                </c:pt>
                <c:pt idx="59">
                  <c:v>12.23</c:v>
                </c:pt>
                <c:pt idx="60">
                  <c:v>12.59</c:v>
                </c:pt>
                <c:pt idx="61">
                  <c:v>12.61</c:v>
                </c:pt>
                <c:pt idx="62">
                  <c:v>11.16</c:v>
                </c:pt>
                <c:pt idx="63">
                  <c:v>11.95</c:v>
                </c:pt>
                <c:pt idx="64">
                  <c:v>12.49</c:v>
                </c:pt>
                <c:pt idx="65">
                  <c:v>15.21</c:v>
                </c:pt>
                <c:pt idx="66">
                  <c:v>12.52</c:v>
                </c:pt>
                <c:pt idx="67">
                  <c:v>13.9</c:v>
                </c:pt>
                <c:pt idx="68">
                  <c:v>14.54</c:v>
                </c:pt>
                <c:pt idx="69">
                  <c:v>14.56</c:v>
                </c:pt>
                <c:pt idx="70">
                  <c:v>15.89</c:v>
                </c:pt>
                <c:pt idx="71">
                  <c:v>15.39</c:v>
                </c:pt>
                <c:pt idx="72">
                  <c:v>17.649999999999999</c:v>
                </c:pt>
                <c:pt idx="73">
                  <c:v>14.39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'Sugar (All)'!$C$6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'Sugar (All)'!$E$6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(All)'!$E$7:$E$107</c:f>
              <c:numCache>
                <c:formatCode>0.0000</c:formatCode>
                <c:ptCount val="92"/>
                <c:pt idx="15">
                  <c:v>34.04</c:v>
                </c:pt>
                <c:pt idx="27">
                  <c:v>7.0705309678378141</c:v>
                </c:pt>
                <c:pt idx="29">
                  <c:v>74.322094892942388</c:v>
                </c:pt>
                <c:pt idx="30">
                  <c:v>8.9865762323405374</c:v>
                </c:pt>
                <c:pt idx="34">
                  <c:v>5.5321497146608447</c:v>
                </c:pt>
                <c:pt idx="35">
                  <c:v>3.7892604551311551</c:v>
                </c:pt>
                <c:pt idx="37">
                  <c:v>6.4029115685123239</c:v>
                </c:pt>
                <c:pt idx="38">
                  <c:v>32.808672957237413</c:v>
                </c:pt>
                <c:pt idx="47">
                  <c:v>25.708609271523134</c:v>
                </c:pt>
                <c:pt idx="48">
                  <c:v>30.999737049697696</c:v>
                </c:pt>
                <c:pt idx="49">
                  <c:v>32.031249999999936</c:v>
                </c:pt>
                <c:pt idx="50">
                  <c:v>22.999031434357665</c:v>
                </c:pt>
                <c:pt idx="51">
                  <c:v>32.006846384253215</c:v>
                </c:pt>
                <c:pt idx="52">
                  <c:v>29.999999999999904</c:v>
                </c:pt>
                <c:pt idx="57">
                  <c:v>19.999609153622178</c:v>
                </c:pt>
                <c:pt idx="58">
                  <c:v>8.0882352941176414</c:v>
                </c:pt>
                <c:pt idx="59">
                  <c:v>20.000000000000004</c:v>
                </c:pt>
                <c:pt idx="60">
                  <c:v>19.992129083038179</c:v>
                </c:pt>
                <c:pt idx="61">
                  <c:v>26.666666666666657</c:v>
                </c:pt>
                <c:pt idx="62">
                  <c:v>26.666666666666657</c:v>
                </c:pt>
                <c:pt idx="63">
                  <c:v>23.315645602186784</c:v>
                </c:pt>
                <c:pt idx="64">
                  <c:v>29.998440597919362</c:v>
                </c:pt>
                <c:pt idx="65">
                  <c:v>28.243847874720352</c:v>
                </c:pt>
                <c:pt idx="66">
                  <c:v>20.805962658476801</c:v>
                </c:pt>
                <c:pt idx="67">
                  <c:v>19.792349812881668</c:v>
                </c:pt>
                <c:pt idx="68">
                  <c:v>17.625434613444096</c:v>
                </c:pt>
                <c:pt idx="69">
                  <c:v>18.272997497403775</c:v>
                </c:pt>
                <c:pt idx="70">
                  <c:v>21.471307802243075</c:v>
                </c:pt>
                <c:pt idx="71">
                  <c:v>16.600631603060993</c:v>
                </c:pt>
                <c:pt idx="72">
                  <c:v>21.418881233060098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'Sugar (All)'!$F$6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'Sugar (All)'!$G$6</c:f>
              <c:strCache>
                <c:ptCount val="1"/>
                <c:pt idx="0">
                  <c:v>Baghdad,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(All)'!$G$7:$G$107</c:f>
              <c:numCache>
                <c:formatCode>0.0000</c:formatCode>
                <c:ptCount val="92"/>
                <c:pt idx="54">
                  <c:v>18.041664999999984</c:v>
                </c:pt>
                <c:pt idx="55">
                  <c:v>21.417308009131776</c:v>
                </c:pt>
                <c:pt idx="69">
                  <c:v>20.48780487804877</c:v>
                </c:pt>
                <c:pt idx="70">
                  <c:v>23.674796747967456</c:v>
                </c:pt>
                <c:pt idx="71">
                  <c:v>20.48780487804877</c:v>
                </c:pt>
                <c:pt idx="72">
                  <c:v>20.48780487804877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'Sugar (All)'!$H$6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(All)'!$H$7:$H$107</c:f>
              <c:numCache>
                <c:formatCode>0.0000</c:formatCode>
                <c:ptCount val="92"/>
                <c:pt idx="51">
                  <c:v>19.045797471044533</c:v>
                </c:pt>
                <c:pt idx="52">
                  <c:v>20.000000000000004</c:v>
                </c:pt>
                <c:pt idx="53">
                  <c:v>20.000000000000004</c:v>
                </c:pt>
                <c:pt idx="54">
                  <c:v>16.666234271630561</c:v>
                </c:pt>
                <c:pt idx="55">
                  <c:v>16.699715892619</c:v>
                </c:pt>
                <c:pt idx="56">
                  <c:v>16.666411375762692</c:v>
                </c:pt>
                <c:pt idx="57">
                  <c:v>16.666398433518424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'Sugar (All)'!$I$6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(All)'!$I$7:$I$107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"/>
          <c:order val="7"/>
          <c:tx>
            <c:strRef>
              <c:f>'Sugar (All)'!$J$6</c:f>
              <c:strCache>
                <c:ptCount val="1"/>
                <c:pt idx="0">
                  <c:v>Basrah,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(All)'!$J$7:$J$107</c:f>
              <c:numCache>
                <c:formatCode>0.0000</c:formatCode>
                <c:ptCount val="92"/>
                <c:pt idx="21">
                  <c:v>60.333333333333314</c:v>
                </c:pt>
                <c:pt idx="22">
                  <c:v>67.666666666666586</c:v>
                </c:pt>
                <c:pt idx="23">
                  <c:v>68.000000000000099</c:v>
                </c:pt>
                <c:pt idx="24">
                  <c:v>50.266666666666694</c:v>
                </c:pt>
                <c:pt idx="25">
                  <c:v>57.133333333333375</c:v>
                </c:pt>
                <c:pt idx="26">
                  <c:v>49.500000000000036</c:v>
                </c:pt>
                <c:pt idx="28">
                  <c:v>56</c:v>
                </c:pt>
                <c:pt idx="29">
                  <c:v>50.4</c:v>
                </c:pt>
                <c:pt idx="33">
                  <c:v>20.066666666666659</c:v>
                </c:pt>
                <c:pt idx="68">
                  <c:v>23.33333333333341</c:v>
                </c:pt>
                <c:pt idx="70">
                  <c:v>11.166666666666671</c:v>
                </c:pt>
                <c:pt idx="72">
                  <c:v>12.25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'Sugar (All)'!$K$6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(All)'!$K$7:$K$107</c:f>
              <c:numCache>
                <c:formatCode>0.0000</c:formatCode>
                <c:ptCount val="92"/>
                <c:pt idx="44">
                  <c:v>40.727272727272762</c:v>
                </c:pt>
              </c:numCache>
            </c:numRef>
          </c:val>
          <c:smooth val="0"/>
        </c:ser>
        <c:ser>
          <c:idx val="17"/>
          <c:order val="9"/>
          <c:tx>
            <c:strRef>
              <c:f>'Sugar (All)'!$L$6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(All)'!$L$7:$L$107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9"/>
          <c:order val="10"/>
          <c:tx>
            <c:strRef>
              <c:f>'Sugar (All)'!$M$6</c:f>
              <c:strCache>
                <c:ptCount val="1"/>
                <c:pt idx="0">
                  <c:v>Mosul,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(All)'!$M$7:$M$107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21"/>
          <c:order val="11"/>
          <c:tx>
            <c:strRef>
              <c:f>'Sugar (All)'!$Q$6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(All)'!$Q$7:$Q$107</c:f>
              <c:numCache>
                <c:formatCode>0.0000</c:formatCode>
                <c:ptCount val="92"/>
                <c:pt idx="34">
                  <c:v>37.054028302219706</c:v>
                </c:pt>
                <c:pt idx="35">
                  <c:v>39.671975954007038</c:v>
                </c:pt>
                <c:pt idx="36">
                  <c:v>49.011763596539296</c:v>
                </c:pt>
                <c:pt idx="37">
                  <c:v>45.808364517921824</c:v>
                </c:pt>
                <c:pt idx="39">
                  <c:v>33.003453266713215</c:v>
                </c:pt>
                <c:pt idx="40">
                  <c:v>35.132708316178594</c:v>
                </c:pt>
                <c:pt idx="41">
                  <c:v>36.596571162686082</c:v>
                </c:pt>
                <c:pt idx="42">
                  <c:v>31.038135426672419</c:v>
                </c:pt>
                <c:pt idx="43">
                  <c:v>33.09734477166208</c:v>
                </c:pt>
                <c:pt idx="44">
                  <c:v>26.155784683919741</c:v>
                </c:pt>
                <c:pt idx="45">
                  <c:v>32.000000000000028</c:v>
                </c:pt>
                <c:pt idx="46">
                  <c:v>20.57142857142858</c:v>
                </c:pt>
                <c:pt idx="47">
                  <c:v>24.107142857142914</c:v>
                </c:pt>
                <c:pt idx="48">
                  <c:v>21.739130434782609</c:v>
                </c:pt>
                <c:pt idx="49">
                  <c:v>20.000000000000004</c:v>
                </c:pt>
                <c:pt idx="50">
                  <c:v>20.000000000000004</c:v>
                </c:pt>
                <c:pt idx="51">
                  <c:v>20.128205128205128</c:v>
                </c:pt>
                <c:pt idx="52">
                  <c:v>20.370370370370363</c:v>
                </c:pt>
                <c:pt idx="53">
                  <c:v>17.999999999999986</c:v>
                </c:pt>
                <c:pt idx="54">
                  <c:v>15.999999999999993</c:v>
                </c:pt>
                <c:pt idx="55">
                  <c:v>15.319148936170217</c:v>
                </c:pt>
                <c:pt idx="56">
                  <c:v>15.888888888888893</c:v>
                </c:pt>
                <c:pt idx="57">
                  <c:v>14.078310602727683</c:v>
                </c:pt>
                <c:pt idx="58">
                  <c:v>15.999999999999993</c:v>
                </c:pt>
                <c:pt idx="59">
                  <c:v>14.999999999999996</c:v>
                </c:pt>
                <c:pt idx="60">
                  <c:v>13.744053282588004</c:v>
                </c:pt>
                <c:pt idx="61">
                  <c:v>14.300960512273209</c:v>
                </c:pt>
                <c:pt idx="62">
                  <c:v>11.34751773049646</c:v>
                </c:pt>
                <c:pt idx="63">
                  <c:v>12.56118383608424</c:v>
                </c:pt>
                <c:pt idx="64">
                  <c:v>15.063636363636359</c:v>
                </c:pt>
                <c:pt idx="65">
                  <c:v>17.653333333333332</c:v>
                </c:pt>
                <c:pt idx="66">
                  <c:v>15.389162561576363</c:v>
                </c:pt>
                <c:pt idx="67">
                  <c:v>16.357889618283494</c:v>
                </c:pt>
                <c:pt idx="68">
                  <c:v>20.372708145476402</c:v>
                </c:pt>
                <c:pt idx="69">
                  <c:v>18.733627562642361</c:v>
                </c:pt>
                <c:pt idx="70">
                  <c:v>20.372844827586206</c:v>
                </c:pt>
                <c:pt idx="71">
                  <c:v>18.280545899317634</c:v>
                </c:pt>
                <c:pt idx="72">
                  <c:v>18.666666666666657</c:v>
                </c:pt>
                <c:pt idx="73">
                  <c:v>16.330945986272759</c:v>
                </c:pt>
              </c:numCache>
            </c:numRef>
          </c:val>
          <c:smooth val="0"/>
        </c:ser>
        <c:ser>
          <c:idx val="23"/>
          <c:order val="12"/>
          <c:tx>
            <c:strRef>
              <c:f>'Sugar (All)'!$R$6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(All)'!$R$7:$R$107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25"/>
          <c:order val="13"/>
          <c:tx>
            <c:strRef>
              <c:f>'Sugar (All)'!$S$6</c:f>
              <c:strCache>
                <c:ptCount val="1"/>
                <c:pt idx="0">
                  <c:v>Palestine,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(All)'!$S$7:$S$107</c:f>
              <c:numCache>
                <c:formatCode>0.0000</c:formatCode>
                <c:ptCount val="92"/>
                <c:pt idx="18">
                  <c:v>56.699113679455067</c:v>
                </c:pt>
                <c:pt idx="40">
                  <c:v>36.653972479647713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'Sugar (All)'!$U$6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(All)'!$U$7:$U$107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1"/>
          <c:order val="15"/>
          <c:tx>
            <c:strRef>
              <c:f>'Sugar (All)'!$V$6</c:f>
              <c:strCache>
                <c:ptCount val="1"/>
                <c:pt idx="0">
                  <c:v>Damascus,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(All)'!$V$7:$V$107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3"/>
          <c:order val="16"/>
          <c:tx>
            <c:strRef>
              <c:f>'Sugar (All)'!$W$6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(All)'!$W$7:$W$107</c:f>
              <c:numCache>
                <c:formatCode>0.0000</c:formatCode>
                <c:ptCount val="92"/>
                <c:pt idx="31">
                  <c:v>42.3229166666666</c:v>
                </c:pt>
                <c:pt idx="32">
                  <c:v>40.1145833333334</c:v>
                </c:pt>
                <c:pt idx="33">
                  <c:v>36.3333333333334</c:v>
                </c:pt>
                <c:pt idx="36">
                  <c:v>39.599734975446253</c:v>
                </c:pt>
                <c:pt idx="40">
                  <c:v>35.2770071869028</c:v>
                </c:pt>
                <c:pt idx="54">
                  <c:v>14.631092886756001</c:v>
                </c:pt>
                <c:pt idx="55">
                  <c:v>13.445378151260506</c:v>
                </c:pt>
                <c:pt idx="56">
                  <c:v>13.088529358298491</c:v>
                </c:pt>
                <c:pt idx="57">
                  <c:v>13</c:v>
                </c:pt>
                <c:pt idx="58">
                  <c:v>13</c:v>
                </c:pt>
                <c:pt idx="59">
                  <c:v>12.891891891891891</c:v>
                </c:pt>
                <c:pt idx="60">
                  <c:v>12</c:v>
                </c:pt>
                <c:pt idx="61">
                  <c:v>12.147651006711408</c:v>
                </c:pt>
              </c:numCache>
            </c:numRef>
          </c:val>
          <c:smooth val="0"/>
        </c:ser>
        <c:ser>
          <c:idx val="35"/>
          <c:order val="17"/>
          <c:tx>
            <c:strRef>
              <c:f>'Sugar (All)'!$X$6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(All)'!$X$7:$X$107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7"/>
          <c:order val="18"/>
          <c:tx>
            <c:strRef>
              <c:f>'Sugar (All)'!$Y$6</c:f>
              <c:strCache>
                <c:ptCount val="1"/>
                <c:pt idx="0">
                  <c:v>Beirut,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(All)'!$Y$7:$Y$107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8"/>
          <c:order val="19"/>
          <c:tx>
            <c:strRef>
              <c:f>'Sugar (All)'!$Z$6</c:f>
              <c:strCache>
                <c:ptCount val="1"/>
                <c:pt idx="0">
                  <c:v>Istanbul (Anatolia),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(All)'!$Z$7:$Z$107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0"/>
          <c:order val="20"/>
          <c:tx>
            <c:strRef>
              <c:f>'Sugar (All)'!$AA$6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(All)'!$AA$7:$AA$107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2"/>
          <c:order val="21"/>
          <c:tx>
            <c:strRef>
              <c:f>'Sugar (All)'!$AB$6</c:f>
              <c:strCache>
                <c:ptCount val="1"/>
                <c:pt idx="0">
                  <c:v>Istanbul (Anatolia),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(All)'!$AB$7:$AB$107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3"/>
          <c:order val="22"/>
          <c:tx>
            <c:strRef>
              <c:f>'Sugar (All)'!$AC$6</c:f>
              <c:strCache>
                <c:ptCount val="1"/>
                <c:pt idx="0">
                  <c:v>Istanbul (Rumeli),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(All)'!$AC$7:$AC$107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5"/>
          <c:order val="23"/>
          <c:tx>
            <c:strRef>
              <c:f>'Sugar (All)'!$AD$6</c:f>
              <c:strCache>
                <c:ptCount val="1"/>
                <c:pt idx="0">
                  <c:v>Istanbul (Rumeli),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(All)'!$AD$7:$AD$107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7"/>
          <c:order val="24"/>
          <c:tx>
            <c:strRef>
              <c:f>'Sugar (All)'!$AE$6</c:f>
              <c:strCache>
                <c:ptCount val="1"/>
                <c:pt idx="0">
                  <c:v>Istanbul (Rumeli),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(All)'!$AE$7:$AE$107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9"/>
          <c:order val="25"/>
          <c:tx>
            <c:strRef>
              <c:f>'Sugar (All)'!$AF$6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(All)'!$AF$7:$AF$107</c:f>
              <c:numCache>
                <c:formatCode>0.0000</c:formatCode>
                <c:ptCount val="92"/>
                <c:pt idx="59">
                  <c:v>12.263295371434541</c:v>
                </c:pt>
                <c:pt idx="61">
                  <c:v>9.2203443719137184</c:v>
                </c:pt>
                <c:pt idx="63">
                  <c:v>10.668928419971877</c:v>
                </c:pt>
                <c:pt idx="64">
                  <c:v>16.397714743910996</c:v>
                </c:pt>
                <c:pt idx="70">
                  <c:v>16.087092188745999</c:v>
                </c:pt>
                <c:pt idx="71">
                  <c:v>16.571092897703434</c:v>
                </c:pt>
              </c:numCache>
            </c:numRef>
          </c:val>
          <c:smooth val="0"/>
        </c:ser>
        <c:ser>
          <c:idx val="51"/>
          <c:order val="26"/>
          <c:tx>
            <c:strRef>
              <c:f>'Sugar (All)'!$AG$6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(All)'!$AG$7:$AG$107</c:f>
              <c:numCache>
                <c:formatCode>0.0000</c:formatCode>
                <c:ptCount val="92"/>
                <c:pt idx="70">
                  <c:v>27.545233594382932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'Sugar (All)'!$AH$6</c:f>
              <c:strCache>
                <c:ptCount val="1"/>
                <c:pt idx="0">
                  <c:v>Turkey,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(All)'!$AH$7:$AH$107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55"/>
          <c:order val="28"/>
          <c:tx>
            <c:strRef>
              <c:f>'Sugar (All)'!$AI$6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(All)'!$AI$7:$AI$107</c:f>
              <c:numCache>
                <c:formatCode>0.0000</c:formatCode>
                <c:ptCount val="92"/>
                <c:pt idx="45">
                  <c:v>24.972678448330424</c:v>
                </c:pt>
                <c:pt idx="47">
                  <c:v>21.189297552029366</c:v>
                </c:pt>
                <c:pt idx="67">
                  <c:v>15.765576389472798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'Sugar (All)'!$AJ$6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(All)'!$AJ$7:$AJ$107</c:f>
              <c:numCache>
                <c:formatCode>0.0000</c:formatCode>
                <c:ptCount val="92"/>
                <c:pt idx="67">
                  <c:v>21.691176470588236</c:v>
                </c:pt>
              </c:numCache>
            </c:numRef>
          </c:val>
          <c:smooth val="0"/>
        </c:ser>
        <c:ser>
          <c:idx val="59"/>
          <c:order val="30"/>
          <c:tx>
            <c:strRef>
              <c:f>'Sugar (All)'!$AK$6</c:f>
              <c:strCache>
                <c:ptCount val="1"/>
                <c:pt idx="0">
                  <c:v>Constantinople,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(All)'!$AK$7:$AK$107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61"/>
          <c:order val="31"/>
          <c:tx>
            <c:strRef>
              <c:f>'Sugar (All)'!$AL$6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(All)'!$AL$7:$AL$107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33.583333333333336</c:v>
                </c:pt>
                <c:pt idx="44">
                  <c:v>26</c:v>
                </c:pt>
                <c:pt idx="45">
                  <c:v>23.62954630671166</c:v>
                </c:pt>
                <c:pt idx="46">
                  <c:v>21.537463509568603</c:v>
                </c:pt>
                <c:pt idx="47">
                  <c:v>19.99768223432611</c:v>
                </c:pt>
                <c:pt idx="48">
                  <c:v>19.41562793191261</c:v>
                </c:pt>
                <c:pt idx="49">
                  <c:v>19.249399956360463</c:v>
                </c:pt>
                <c:pt idx="50">
                  <c:v>18.043596730245234</c:v>
                </c:pt>
                <c:pt idx="51">
                  <c:v>19.200755191944619</c:v>
                </c:pt>
                <c:pt idx="52">
                  <c:v>20</c:v>
                </c:pt>
                <c:pt idx="53">
                  <c:v>18.937397931409908</c:v>
                </c:pt>
                <c:pt idx="54">
                  <c:v>16.775542200156782</c:v>
                </c:pt>
                <c:pt idx="55">
                  <c:v>14.425962165688194</c:v>
                </c:pt>
                <c:pt idx="56">
                  <c:v>14.048938134810712</c:v>
                </c:pt>
                <c:pt idx="57">
                  <c:v>13.128413168981121</c:v>
                </c:pt>
                <c:pt idx="58">
                  <c:v>14.870077376140431</c:v>
                </c:pt>
                <c:pt idx="59">
                  <c:v>14.446543580936025</c:v>
                </c:pt>
                <c:pt idx="60">
                  <c:v>14.320486815415821</c:v>
                </c:pt>
                <c:pt idx="61">
                  <c:v>13.055899438148748</c:v>
                </c:pt>
                <c:pt idx="62">
                  <c:v>12.372333548804137</c:v>
                </c:pt>
                <c:pt idx="63">
                  <c:v>12.238229093464511</c:v>
                </c:pt>
                <c:pt idx="64">
                  <c:v>13.777179686946667</c:v>
                </c:pt>
                <c:pt idx="65">
                  <c:v>14.430274466315499</c:v>
                </c:pt>
                <c:pt idx="66">
                  <c:v>13.99592303485308</c:v>
                </c:pt>
                <c:pt idx="67">
                  <c:v>13.898464853218421</c:v>
                </c:pt>
                <c:pt idx="68">
                  <c:v>15.989291928791328</c:v>
                </c:pt>
                <c:pt idx="69">
                  <c:v>16.576486544364336</c:v>
                </c:pt>
              </c:numCache>
            </c:numRef>
          </c:val>
          <c:smooth val="0"/>
        </c:ser>
        <c:ser>
          <c:idx val="63"/>
          <c:order val="32"/>
          <c:tx>
            <c:strRef>
              <c:f>'Sugar (All)'!$AM$6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(All)'!$AM$7:$AM$107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65"/>
          <c:order val="33"/>
          <c:tx>
            <c:strRef>
              <c:f>'Sugar (All)'!$AN$6</c:f>
              <c:strCache>
                <c:ptCount val="1"/>
                <c:pt idx="0">
                  <c:v>Trebizond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(All)'!$AN$7:$AN$107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67"/>
          <c:order val="34"/>
          <c:tx>
            <c:strRef>
              <c:f>'Sugar (All)'!$AO$6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(All)'!$AO$7:$AO$107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3">
                  <c:v>34.25</c:v>
                </c:pt>
                <c:pt idx="44">
                  <c:v>26.666666666666664</c:v>
                </c:pt>
                <c:pt idx="45">
                  <c:v>24.663951120162935</c:v>
                </c:pt>
                <c:pt idx="46">
                  <c:v>24.847612597358619</c:v>
                </c:pt>
                <c:pt idx="47">
                  <c:v>20</c:v>
                </c:pt>
                <c:pt idx="48">
                  <c:v>20.804988662131517</c:v>
                </c:pt>
                <c:pt idx="49">
                  <c:v>20</c:v>
                </c:pt>
                <c:pt idx="50">
                  <c:v>18.799911758217515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16.888888888888889</c:v>
                </c:pt>
                <c:pt idx="55">
                  <c:v>15.99809885931559</c:v>
                </c:pt>
                <c:pt idx="56">
                  <c:v>16</c:v>
                </c:pt>
                <c:pt idx="57">
                  <c:v>16.002906976744185</c:v>
                </c:pt>
                <c:pt idx="58">
                  <c:v>16.001461988304094</c:v>
                </c:pt>
                <c:pt idx="59">
                  <c:v>16.001662510390691</c:v>
                </c:pt>
                <c:pt idx="60">
                  <c:v>15.997652582159624</c:v>
                </c:pt>
                <c:pt idx="61">
                  <c:v>14.014251781472684</c:v>
                </c:pt>
                <c:pt idx="62">
                  <c:v>13.980582524271846</c:v>
                </c:pt>
                <c:pt idx="63">
                  <c:v>10</c:v>
                </c:pt>
                <c:pt idx="66">
                  <c:v>14.986276303751144</c:v>
                </c:pt>
              </c:numCache>
            </c:numRef>
          </c:val>
          <c:smooth val="0"/>
        </c:ser>
        <c:ser>
          <c:idx val="69"/>
          <c:order val="35"/>
          <c:tx>
            <c:strRef>
              <c:f>'Sugar (All)'!$AP$6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(All)'!$AP$7:$AP$107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71"/>
          <c:order val="36"/>
          <c:tx>
            <c:strRef>
              <c:f>'Sugar (All)'!$AQ$6</c:f>
              <c:strCache>
                <c:ptCount val="1"/>
                <c:pt idx="0">
                  <c:v>Trebizond (Persia),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(All)'!$AQ$7:$AQ$107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73"/>
          <c:order val="37"/>
          <c:tx>
            <c:strRef>
              <c:f>'Sugar (All)'!$AR$6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(All)'!$AR$7:$AR$107</c:f>
              <c:numCache>
                <c:formatCode>0.0000</c:formatCode>
                <c:ptCount val="92"/>
                <c:pt idx="24">
                  <c:v>42</c:v>
                </c:pt>
                <c:pt idx="25">
                  <c:v>40</c:v>
                </c:pt>
                <c:pt idx="26">
                  <c:v>40</c:v>
                </c:pt>
                <c:pt idx="28">
                  <c:v>40</c:v>
                </c:pt>
                <c:pt idx="29">
                  <c:v>48</c:v>
                </c:pt>
                <c:pt idx="31">
                  <c:v>56</c:v>
                </c:pt>
                <c:pt idx="32">
                  <c:v>48</c:v>
                </c:pt>
                <c:pt idx="34">
                  <c:v>43</c:v>
                </c:pt>
                <c:pt idx="35">
                  <c:v>37</c:v>
                </c:pt>
                <c:pt idx="36">
                  <c:v>50</c:v>
                </c:pt>
                <c:pt idx="42">
                  <c:v>31.333333333333336</c:v>
                </c:pt>
                <c:pt idx="43">
                  <c:v>31.000000000000004</c:v>
                </c:pt>
                <c:pt idx="44">
                  <c:v>19.733333333333331</c:v>
                </c:pt>
                <c:pt idx="45">
                  <c:v>18.000000000000004</c:v>
                </c:pt>
                <c:pt idx="46">
                  <c:v>24.242424242424242</c:v>
                </c:pt>
                <c:pt idx="48">
                  <c:v>34.666616907996215</c:v>
                </c:pt>
                <c:pt idx="49">
                  <c:v>34.666143062844355</c:v>
                </c:pt>
                <c:pt idx="50">
                  <c:v>34.666666666666671</c:v>
                </c:pt>
                <c:pt idx="51">
                  <c:v>34.666610971292513</c:v>
                </c:pt>
                <c:pt idx="52">
                  <c:v>34.666167859835276</c:v>
                </c:pt>
                <c:pt idx="54">
                  <c:v>23.999918709100516</c:v>
                </c:pt>
                <c:pt idx="65">
                  <c:v>16.22762105263158</c:v>
                </c:pt>
                <c:pt idx="66">
                  <c:v>13.649410902875282</c:v>
                </c:pt>
                <c:pt idx="67">
                  <c:v>14.410941560605051</c:v>
                </c:pt>
                <c:pt idx="68">
                  <c:v>14.933459963198196</c:v>
                </c:pt>
                <c:pt idx="70">
                  <c:v>17.297409541608264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'Sugar (All)'!$AS$6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(All)'!$AS$7:$AS$107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77"/>
          <c:order val="39"/>
          <c:tx>
            <c:strRef>
              <c:f>'Sugar (All)'!$AT$6</c:f>
              <c:strCache>
                <c:ptCount val="1"/>
                <c:pt idx="0">
                  <c:v>Izmir,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(All)'!$AT$7:$AT$107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79"/>
          <c:order val="40"/>
          <c:tx>
            <c:strRef>
              <c:f>'Sugar (All)'!$AU$6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(All)'!$AU$7:$AU$107</c:f>
              <c:numCache>
                <c:formatCode>0.0000</c:formatCode>
                <c:ptCount val="92"/>
                <c:pt idx="38">
                  <c:v>34.759036144578317</c:v>
                </c:pt>
                <c:pt idx="39">
                  <c:v>33.375999999999998</c:v>
                </c:pt>
                <c:pt idx="40">
                  <c:v>27.620137299771166</c:v>
                </c:pt>
                <c:pt idx="41">
                  <c:v>28.552447552447553</c:v>
                </c:pt>
                <c:pt idx="42">
                  <c:v>32.971014492753625</c:v>
                </c:pt>
                <c:pt idx="43">
                  <c:v>34.048657718120808</c:v>
                </c:pt>
                <c:pt idx="47">
                  <c:v>32.914117647058823</c:v>
                </c:pt>
                <c:pt idx="48">
                  <c:v>32.292704626334519</c:v>
                </c:pt>
                <c:pt idx="49">
                  <c:v>30.461267605633807</c:v>
                </c:pt>
                <c:pt idx="50">
                  <c:v>20.011997600479884</c:v>
                </c:pt>
                <c:pt idx="51">
                  <c:v>20.101010101010083</c:v>
                </c:pt>
                <c:pt idx="52">
                  <c:v>19.999999999999982</c:v>
                </c:pt>
                <c:pt idx="53">
                  <c:v>20.003617571059412</c:v>
                </c:pt>
                <c:pt idx="54">
                  <c:v>19.999999999999982</c:v>
                </c:pt>
                <c:pt idx="55">
                  <c:v>19.999999999999982</c:v>
                </c:pt>
                <c:pt idx="56">
                  <c:v>19.984381595609943</c:v>
                </c:pt>
                <c:pt idx="57">
                  <c:v>20.015032211882588</c:v>
                </c:pt>
                <c:pt idx="58">
                  <c:v>20.02430724355856</c:v>
                </c:pt>
                <c:pt idx="59">
                  <c:v>14.285586924219897</c:v>
                </c:pt>
                <c:pt idx="60">
                  <c:v>12.466206896551714</c:v>
                </c:pt>
                <c:pt idx="61">
                  <c:v>11.791481069042305</c:v>
                </c:pt>
                <c:pt idx="62">
                  <c:v>11.030940294899676</c:v>
                </c:pt>
                <c:pt idx="63">
                  <c:v>11.457943925233634</c:v>
                </c:pt>
                <c:pt idx="64">
                  <c:v>11.260264900662241</c:v>
                </c:pt>
                <c:pt idx="65">
                  <c:v>11.795501627700492</c:v>
                </c:pt>
                <c:pt idx="66">
                  <c:v>11.961949763740353</c:v>
                </c:pt>
                <c:pt idx="67">
                  <c:v>14.016312056737576</c:v>
                </c:pt>
                <c:pt idx="68">
                  <c:v>14.169767441860454</c:v>
                </c:pt>
                <c:pt idx="69">
                  <c:v>14.243548387096761</c:v>
                </c:pt>
                <c:pt idx="70">
                  <c:v>14.716235632183894</c:v>
                </c:pt>
                <c:pt idx="71">
                  <c:v>13.928595132743363</c:v>
                </c:pt>
                <c:pt idx="72">
                  <c:v>14.211078717201167</c:v>
                </c:pt>
                <c:pt idx="73">
                  <c:v>14.776032388663968</c:v>
                </c:pt>
              </c:numCache>
            </c:numRef>
          </c:val>
          <c:smooth val="0"/>
        </c:ser>
        <c:ser>
          <c:idx val="81"/>
          <c:order val="41"/>
          <c:tx>
            <c:strRef>
              <c:f>'Sugar (All)'!$AV$6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(All)'!$AV$7:$AV$107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83"/>
          <c:order val="42"/>
          <c:tx>
            <c:strRef>
              <c:f>'Sugar (All)'!$AW$6</c:f>
              <c:strCache>
                <c:ptCount val="1"/>
                <c:pt idx="0">
                  <c:v>Alexandretta,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(All)'!$AW$7:$AW$107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85"/>
          <c:order val="43"/>
          <c:tx>
            <c:strRef>
              <c:f>'Sugar (All)'!$AX$6</c:f>
              <c:strCache>
                <c:ptCount val="1"/>
                <c:pt idx="0">
                  <c:v>Ispahan,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(All)'!$AX$7:$AX$107</c:f>
              <c:numCache>
                <c:formatCode>0.0000</c:formatCode>
                <c:ptCount val="92"/>
                <c:pt idx="70">
                  <c:v>37.663551401869199</c:v>
                </c:pt>
                <c:pt idx="71">
                  <c:v>37.392303273980396</c:v>
                </c:pt>
                <c:pt idx="72">
                  <c:v>39.6374622356496</c:v>
                </c:pt>
              </c:numCache>
            </c:numRef>
          </c:val>
          <c:smooth val="0"/>
        </c:ser>
        <c:ser>
          <c:idx val="87"/>
          <c:order val="44"/>
          <c:tx>
            <c:strRef>
              <c:f>'Sugar (All)'!$AY$6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(All)'!$AY$7:$AY$107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89"/>
          <c:order val="45"/>
          <c:tx>
            <c:strRef>
              <c:f>'Sugar (All)'!$AZ$6</c:f>
              <c:strCache>
                <c:ptCount val="1"/>
                <c:pt idx="0">
                  <c:v>Ispahan,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(All)'!$AZ$7:$AZ$107</c:f>
              <c:numCache>
                <c:formatCode>0.0000</c:formatCode>
                <c:ptCount val="92"/>
                <c:pt idx="52">
                  <c:v>38.055686644643814</c:v>
                </c:pt>
                <c:pt idx="53">
                  <c:v>40.327332242225957</c:v>
                </c:pt>
                <c:pt idx="55">
                  <c:v>31.876923076923006</c:v>
                </c:pt>
                <c:pt idx="56">
                  <c:v>34.461538461538495</c:v>
                </c:pt>
                <c:pt idx="58">
                  <c:v>36.102564102564067</c:v>
                </c:pt>
              </c:numCache>
            </c:numRef>
          </c:val>
          <c:smooth val="0"/>
        </c:ser>
        <c:ser>
          <c:idx val="91"/>
          <c:order val="46"/>
          <c:tx>
            <c:strRef>
              <c:f>'Sugar (All)'!$BA$6</c:f>
              <c:strCache>
                <c:ptCount val="1"/>
                <c:pt idx="0">
                  <c:v>Yezd,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(All)'!$BA$7:$BA$107</c:f>
              <c:numCache>
                <c:formatCode>0.0000</c:formatCode>
                <c:ptCount val="92"/>
                <c:pt idx="65">
                  <c:v>27.926692432364991</c:v>
                </c:pt>
                <c:pt idx="66">
                  <c:v>28.242074927953823</c:v>
                </c:pt>
                <c:pt idx="72">
                  <c:v>43.815384615384701</c:v>
                </c:pt>
              </c:numCache>
            </c:numRef>
          </c:val>
          <c:smooth val="0"/>
        </c:ser>
        <c:ser>
          <c:idx val="93"/>
          <c:order val="47"/>
          <c:tx>
            <c:strRef>
              <c:f>'Sugar (All)'!$BB$6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(All)'!$BB$7:$BB$107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95"/>
          <c:order val="48"/>
          <c:tx>
            <c:strRef>
              <c:f>'Sugar (All)'!$BC$6</c:f>
              <c:strCache>
                <c:ptCount val="1"/>
                <c:pt idx="0">
                  <c:v>Yezd,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(All)'!$BC$7:$BC$107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97"/>
          <c:order val="49"/>
          <c:tx>
            <c:strRef>
              <c:f>'Sugar (All)'!$BD$6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(All)'!$BD$7:$BD$107</c:f>
              <c:numCache>
                <c:formatCode>0.0000</c:formatCode>
                <c:ptCount val="92"/>
                <c:pt idx="62">
                  <c:v>20.836937405850698</c:v>
                </c:pt>
                <c:pt idx="63">
                  <c:v>19.498457388830381</c:v>
                </c:pt>
                <c:pt idx="64">
                  <c:v>20.907706534800401</c:v>
                </c:pt>
                <c:pt idx="65">
                  <c:v>29.250835850956609</c:v>
                </c:pt>
                <c:pt idx="66">
                  <c:v>27.802321295322336</c:v>
                </c:pt>
                <c:pt idx="67">
                  <c:v>22.345732411308074</c:v>
                </c:pt>
                <c:pt idx="68">
                  <c:v>21.187151890563143</c:v>
                </c:pt>
                <c:pt idx="69">
                  <c:v>26.689145872889696</c:v>
                </c:pt>
                <c:pt idx="70">
                  <c:v>32.196726834741952</c:v>
                </c:pt>
                <c:pt idx="71">
                  <c:v>30.013164766392638</c:v>
                </c:pt>
                <c:pt idx="72">
                  <c:v>32.899508168128449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'Sugar (All)'!$BE$6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(All)'!$BE$7:$BE$107</c:f>
              <c:numCache>
                <c:formatCode>0.0000</c:formatCode>
                <c:ptCount val="92"/>
                <c:pt idx="62">
                  <c:v>20.131020675964397</c:v>
                </c:pt>
                <c:pt idx="63">
                  <c:v>28.299390608915104</c:v>
                </c:pt>
                <c:pt idx="64">
                  <c:v>27.917217508352703</c:v>
                </c:pt>
                <c:pt idx="65">
                  <c:v>31.130681870487361</c:v>
                </c:pt>
                <c:pt idx="66">
                  <c:v>32.778850635946014</c:v>
                </c:pt>
                <c:pt idx="67">
                  <c:v>24.763510503409666</c:v>
                </c:pt>
                <c:pt idx="68">
                  <c:v>25.858237134534559</c:v>
                </c:pt>
                <c:pt idx="69">
                  <c:v>34.7588944522848</c:v>
                </c:pt>
                <c:pt idx="70">
                  <c:v>32.640443106252128</c:v>
                </c:pt>
                <c:pt idx="71">
                  <c:v>29.662252640976032</c:v>
                </c:pt>
                <c:pt idx="72">
                  <c:v>34.461538461538495</c:v>
                </c:pt>
              </c:numCache>
            </c:numRef>
          </c:val>
          <c:smooth val="0"/>
        </c:ser>
        <c:ser>
          <c:idx val="101"/>
          <c:order val="51"/>
          <c:tx>
            <c:strRef>
              <c:f>'Sugar (All)'!$BF$6</c:f>
              <c:strCache>
                <c:ptCount val="1"/>
                <c:pt idx="0">
                  <c:v>Khorasan,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(All)'!$BF$7:$BF$107</c:f>
              <c:numCache>
                <c:formatCode>0.0000</c:formatCode>
                <c:ptCount val="92"/>
                <c:pt idx="49">
                  <c:v>36.54</c:v>
                </c:pt>
              </c:numCache>
            </c:numRef>
          </c:val>
          <c:smooth val="0"/>
        </c:ser>
        <c:ser>
          <c:idx val="103"/>
          <c:order val="52"/>
          <c:tx>
            <c:strRef>
              <c:f>'Sugar (All)'!$BG$6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(All)'!$BG$7:$BG$107</c:f>
              <c:numCache>
                <c:formatCode>0.0000</c:formatCode>
                <c:ptCount val="92"/>
                <c:pt idx="60">
                  <c:v>24.600052261951603</c:v>
                </c:pt>
                <c:pt idx="61">
                  <c:v>25.4872505852898</c:v>
                </c:pt>
                <c:pt idx="62">
                  <c:v>20.848959578390598</c:v>
                </c:pt>
                <c:pt idx="63">
                  <c:v>21.810953482671799</c:v>
                </c:pt>
                <c:pt idx="64">
                  <c:v>21.5280808459474</c:v>
                </c:pt>
                <c:pt idx="65">
                  <c:v>26.441927609591602</c:v>
                </c:pt>
                <c:pt idx="67">
                  <c:v>30.821256038647398</c:v>
                </c:pt>
                <c:pt idx="68">
                  <c:v>26.297376093294396</c:v>
                </c:pt>
                <c:pt idx="69">
                  <c:v>29.798206278027003</c:v>
                </c:pt>
                <c:pt idx="70">
                  <c:v>31.414201183431999</c:v>
                </c:pt>
                <c:pt idx="71">
                  <c:v>31.2274527056754</c:v>
                </c:pt>
                <c:pt idx="72">
                  <c:v>37.638724911452201</c:v>
                </c:pt>
              </c:numCache>
            </c:numRef>
          </c:val>
          <c:smooth val="0"/>
        </c:ser>
        <c:ser>
          <c:idx val="105"/>
          <c:order val="53"/>
          <c:tx>
            <c:strRef>
              <c:f>'Sugar (All)'!$BH$6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(All)'!$BH$7:$BH$107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07"/>
          <c:order val="54"/>
          <c:tx>
            <c:strRef>
              <c:f>'Sugar (All)'!$BI$6</c:f>
              <c:strCache>
                <c:ptCount val="1"/>
                <c:pt idx="0">
                  <c:v>Kermanshah,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(All)'!$BI$7:$BI$107</c:f>
              <c:numCache>
                <c:formatCode>0.0000</c:formatCode>
                <c:ptCount val="92"/>
                <c:pt idx="62">
                  <c:v>23.4278002699056</c:v>
                </c:pt>
                <c:pt idx="64">
                  <c:v>33.4094947956334</c:v>
                </c:pt>
              </c:numCache>
            </c:numRef>
          </c:val>
          <c:smooth val="0"/>
        </c:ser>
        <c:ser>
          <c:idx val="109"/>
          <c:order val="55"/>
          <c:tx>
            <c:strRef>
              <c:f>'Sugar (All)'!$BJ$6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(All)'!$BJ$7:$BJ$107</c:f>
              <c:numCache>
                <c:formatCode>0.0000</c:formatCode>
                <c:ptCount val="92"/>
                <c:pt idx="54">
                  <c:v>24.123076923076994</c:v>
                </c:pt>
                <c:pt idx="67">
                  <c:v>38.289066666666592</c:v>
                </c:pt>
                <c:pt idx="68">
                  <c:v>36.758974358974335</c:v>
                </c:pt>
                <c:pt idx="70">
                  <c:v>46.644381538461509</c:v>
                </c:pt>
                <c:pt idx="71">
                  <c:v>28</c:v>
                </c:pt>
                <c:pt idx="72">
                  <c:v>37.333333333333414</c:v>
                </c:pt>
              </c:numCache>
            </c:numRef>
          </c:val>
          <c:smooth val="0"/>
        </c:ser>
        <c:ser>
          <c:idx val="111"/>
          <c:order val="56"/>
          <c:tx>
            <c:strRef>
              <c:f>'Sugar (All)'!$BK$6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(All)'!$BK$7:$BK$107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3"/>
          <c:order val="57"/>
          <c:tx>
            <c:strRef>
              <c:f>'Sugar (All)'!$BL$6</c:f>
              <c:strCache>
                <c:ptCount val="1"/>
                <c:pt idx="0">
                  <c:v>Kerman,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(All)'!$BL$7:$BL$107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5"/>
          <c:order val="58"/>
          <c:tx>
            <c:strRef>
              <c:f>'Sugar (All)'!$BM$6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(All)'!$BM$7:$BM$107</c:f>
              <c:numCache>
                <c:formatCode>0.0000</c:formatCode>
                <c:ptCount val="92"/>
                <c:pt idx="70">
                  <c:v>33.608402100525055</c:v>
                </c:pt>
                <c:pt idx="71">
                  <c:v>33.608402100525055</c:v>
                </c:pt>
              </c:numCache>
            </c:numRef>
          </c:val>
          <c:smooth val="0"/>
        </c:ser>
        <c:ser>
          <c:idx val="117"/>
          <c:order val="59"/>
          <c:tx>
            <c:strRef>
              <c:f>'Sugar (All)'!$BN$6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(All)'!$BN$7:$BN$107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9"/>
          <c:order val="60"/>
          <c:tx>
            <c:strRef>
              <c:f>'Sugar (All)'!$BO$6</c:f>
              <c:strCache>
                <c:ptCount val="1"/>
                <c:pt idx="0">
                  <c:v>Bam,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(All)'!$BO$7:$BO$107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21"/>
          <c:order val="61"/>
          <c:tx>
            <c:strRef>
              <c:f>'Sugar (All)'!$BP$6</c:f>
              <c:strCache>
                <c:ptCount val="1"/>
                <c:pt idx="0">
                  <c:v>Resht,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(All)'!$BP$7:$BP$107</c:f>
              <c:numCache>
                <c:formatCode>0.0000</c:formatCode>
                <c:ptCount val="92"/>
                <c:pt idx="51">
                  <c:v>22.490589293358592</c:v>
                </c:pt>
                <c:pt idx="52">
                  <c:v>31.912078346028387</c:v>
                </c:pt>
                <c:pt idx="53">
                  <c:v>31.111111111111136</c:v>
                </c:pt>
                <c:pt idx="54">
                  <c:v>31.551580029635009</c:v>
                </c:pt>
                <c:pt idx="55">
                  <c:v>18.894424631991885</c:v>
                </c:pt>
                <c:pt idx="62">
                  <c:v>13.342630737451412</c:v>
                </c:pt>
              </c:numCache>
            </c:numRef>
          </c:val>
          <c:smooth val="0"/>
        </c:ser>
        <c:ser>
          <c:idx val="123"/>
          <c:order val="62"/>
          <c:tx>
            <c:strRef>
              <c:f>'Sugar (All)'!$BQ$6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(All)'!$BQ$7:$BQ$107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25"/>
          <c:order val="63"/>
          <c:tx>
            <c:strRef>
              <c:f>'Sugar (All)'!$BR$6</c:f>
              <c:strCache>
                <c:ptCount val="1"/>
                <c:pt idx="0">
                  <c:v>Resht,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(All)'!$BR$7:$BR$107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27"/>
          <c:order val="64"/>
          <c:tx>
            <c:strRef>
              <c:f>'Sugar (All)'!$BS$6</c:f>
              <c:strCache>
                <c:ptCount val="1"/>
                <c:pt idx="0">
                  <c:v>Mazandaran,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(All)'!$BS$7:$BS$107</c:f>
              <c:numCache>
                <c:formatCode>0.0000</c:formatCode>
                <c:ptCount val="92"/>
                <c:pt idx="66">
                  <c:v>21.949271644321502</c:v>
                </c:pt>
                <c:pt idx="67">
                  <c:v>17.658618325843555</c:v>
                </c:pt>
                <c:pt idx="68">
                  <c:v>17.35200328831332</c:v>
                </c:pt>
                <c:pt idx="69">
                  <c:v>21.410047322407294</c:v>
                </c:pt>
                <c:pt idx="70">
                  <c:v>25.265185795670462</c:v>
                </c:pt>
              </c:numCache>
            </c:numRef>
          </c:val>
          <c:smooth val="0"/>
        </c:ser>
        <c:ser>
          <c:idx val="129"/>
          <c:order val="65"/>
          <c:tx>
            <c:strRef>
              <c:f>'Sugar (All)'!$BT$6</c:f>
              <c:strCache>
                <c:ptCount val="1"/>
                <c:pt idx="0">
                  <c:v>Mazandaran,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(All)'!$BT$7:$BT$107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1"/>
          <c:order val="66"/>
          <c:tx>
            <c:strRef>
              <c:f>'Sugar (All)'!$BU$6</c:f>
              <c:strCache>
                <c:ptCount val="1"/>
                <c:pt idx="0">
                  <c:v>Mazandaran,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(All)'!$BU$7:$BU$107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3"/>
          <c:order val="67"/>
          <c:tx>
            <c:strRef>
              <c:f>'Sugar (All)'!$BV$6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(All)'!$BV$7:$BV$107</c:f>
              <c:numCache>
                <c:formatCode>0.0000</c:formatCode>
                <c:ptCount val="92"/>
                <c:pt idx="66">
                  <c:v>22.320265060537764</c:v>
                </c:pt>
                <c:pt idx="67">
                  <c:v>17.63489004632439</c:v>
                </c:pt>
                <c:pt idx="68">
                  <c:v>17.635005340132388</c:v>
                </c:pt>
                <c:pt idx="69">
                  <c:v>19.557995421028579</c:v>
                </c:pt>
                <c:pt idx="70">
                  <c:v>22.871995208384899</c:v>
                </c:pt>
              </c:numCache>
            </c:numRef>
          </c:val>
          <c:smooth val="0"/>
        </c:ser>
        <c:ser>
          <c:idx val="135"/>
          <c:order val="68"/>
          <c:tx>
            <c:strRef>
              <c:f>'Sugar (All)'!$BW$6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(All)'!$BW$7:$BW$107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7"/>
          <c:order val="69"/>
          <c:tx>
            <c:strRef>
              <c:f>'Sugar (All)'!$BX$6</c:f>
              <c:strCache>
                <c:ptCount val="1"/>
                <c:pt idx="0">
                  <c:v>Ghilan &amp; Tunekabun,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(All)'!$BX$7:$BX$107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9"/>
          <c:order val="70"/>
          <c:tx>
            <c:strRef>
              <c:f>'Sugar (All)'!$BY$6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(All)'!$BY$7:$BY$107</c:f>
              <c:numCache>
                <c:formatCode>0.0000</c:formatCode>
                <c:ptCount val="92"/>
                <c:pt idx="52">
                  <c:v>24.577777777777726</c:v>
                </c:pt>
                <c:pt idx="66">
                  <c:v>23.084409223799838</c:v>
                </c:pt>
                <c:pt idx="67">
                  <c:v>17.073092010429818</c:v>
                </c:pt>
                <c:pt idx="68">
                  <c:v>16.882721754958908</c:v>
                </c:pt>
                <c:pt idx="69">
                  <c:v>22.680590382966209</c:v>
                </c:pt>
                <c:pt idx="70">
                  <c:v>24.857604939006784</c:v>
                </c:pt>
              </c:numCache>
            </c:numRef>
          </c:val>
          <c:smooth val="0"/>
        </c:ser>
        <c:ser>
          <c:idx val="141"/>
          <c:order val="71"/>
          <c:tx>
            <c:strRef>
              <c:f>'Sugar (All)'!$BZ$6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(All)'!$BZ$7:$BZ$107</c:f>
              <c:numCache>
                <c:formatCode>0.0000</c:formatCode>
                <c:ptCount val="92"/>
                <c:pt idx="66">
                  <c:v>23.048340657675425</c:v>
                </c:pt>
                <c:pt idx="67">
                  <c:v>22.238964249699098</c:v>
                </c:pt>
                <c:pt idx="68">
                  <c:v>22.785425101214496</c:v>
                </c:pt>
              </c:numCache>
            </c:numRef>
          </c:val>
          <c:smooth val="0"/>
        </c:ser>
        <c:ser>
          <c:idx val="143"/>
          <c:order val="72"/>
          <c:tx>
            <c:strRef>
              <c:f>'Sugar (All)'!$CA$6</c:f>
              <c:strCache>
                <c:ptCount val="1"/>
                <c:pt idx="0">
                  <c:v>Bender Gez &amp; Astarabad,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(All)'!$CA$7:$CA$107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45"/>
          <c:order val="73"/>
          <c:tx>
            <c:strRef>
              <c:f>'Sugar (All)'!$CB$6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(All)'!$CB$7:$CB$107</c:f>
              <c:numCache>
                <c:formatCode>0.0000</c:formatCode>
                <c:ptCount val="92"/>
                <c:pt idx="68">
                  <c:v>19.470454786611338</c:v>
                </c:pt>
                <c:pt idx="69">
                  <c:v>20.302174670051858</c:v>
                </c:pt>
                <c:pt idx="70">
                  <c:v>25.260536775298494</c:v>
                </c:pt>
              </c:numCache>
            </c:numRef>
          </c:val>
          <c:smooth val="0"/>
        </c:ser>
        <c:ser>
          <c:idx val="147"/>
          <c:order val="74"/>
          <c:tx>
            <c:strRef>
              <c:f>'Sugar (All)'!$CC$6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(All)'!$CC$7:$CC$107</c:f>
              <c:numCache>
                <c:formatCode>0.0000</c:formatCode>
                <c:ptCount val="92"/>
                <c:pt idx="68">
                  <c:v>24.098676474267581</c:v>
                </c:pt>
                <c:pt idx="69">
                  <c:v>24.178904057706497</c:v>
                </c:pt>
                <c:pt idx="70">
                  <c:v>33.287311381269568</c:v>
                </c:pt>
              </c:numCache>
            </c:numRef>
          </c:val>
          <c:smooth val="0"/>
        </c:ser>
        <c:ser>
          <c:idx val="149"/>
          <c:order val="75"/>
          <c:tx>
            <c:strRef>
              <c:f>'Sugar (All)'!$CD$6</c:f>
              <c:strCache>
                <c:ptCount val="1"/>
                <c:pt idx="0">
                  <c:v>Astara,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(All)'!$CD$7:$CD$107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1"/>
          <c:order val="76"/>
          <c:tx>
            <c:strRef>
              <c:f>'Sugar (All)'!$CE$6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(All)'!$CE$7:$CE$107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3"/>
          <c:order val="77"/>
          <c:tx>
            <c:strRef>
              <c:f>'Sugar (All)'!$CF$6</c:f>
              <c:strCache>
                <c:ptCount val="1"/>
                <c:pt idx="0">
                  <c:v>Sultanabad,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(All)'!$CF$7:$CF$107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5"/>
          <c:order val="78"/>
          <c:tx>
            <c:strRef>
              <c:f>'Sugar (All)'!$CG$6</c:f>
              <c:strCache>
                <c:ptCount val="1"/>
                <c:pt idx="0">
                  <c:v>Sultanabad,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(All)'!$CG$7:$CG$107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6"/>
          <c:order val="79"/>
          <c:tx>
            <c:strRef>
              <c:f>'Sugar (All)'!$CH$6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(All)'!$CH$7:$CH$107</c:f>
              <c:numCache>
                <c:formatCode>0.0000</c:formatCode>
                <c:ptCount val="92"/>
                <c:pt idx="51">
                  <c:v>22.857142857142797</c:v>
                </c:pt>
                <c:pt idx="52">
                  <c:v>22.501650165016599</c:v>
                </c:pt>
                <c:pt idx="53">
                  <c:v>22.1533333333334</c:v>
                </c:pt>
                <c:pt idx="54">
                  <c:v>19.027692307692302</c:v>
                </c:pt>
                <c:pt idx="55">
                  <c:v>17.3201133144476</c:v>
                </c:pt>
                <c:pt idx="56">
                  <c:v>16.088311688311681</c:v>
                </c:pt>
                <c:pt idx="57">
                  <c:v>18.126829268292678</c:v>
                </c:pt>
                <c:pt idx="58">
                  <c:v>14.321649484536081</c:v>
                </c:pt>
                <c:pt idx="59">
                  <c:v>16.67885318452954</c:v>
                </c:pt>
                <c:pt idx="60">
                  <c:v>14.834548513740879</c:v>
                </c:pt>
                <c:pt idx="61">
                  <c:v>13.81330685203574</c:v>
                </c:pt>
                <c:pt idx="62">
                  <c:v>13.887640449438202</c:v>
                </c:pt>
                <c:pt idx="63">
                  <c:v>14.117296370817501</c:v>
                </c:pt>
                <c:pt idx="64">
                  <c:v>16.030869442084398</c:v>
                </c:pt>
                <c:pt idx="65">
                  <c:v>16.981732794640699</c:v>
                </c:pt>
                <c:pt idx="66">
                  <c:v>14.69217138155814</c:v>
                </c:pt>
                <c:pt idx="67">
                  <c:v>16.001638605546681</c:v>
                </c:pt>
                <c:pt idx="68">
                  <c:v>15.94446895496926</c:v>
                </c:pt>
                <c:pt idx="69">
                  <c:v>17.333333333333339</c:v>
                </c:pt>
                <c:pt idx="70">
                  <c:v>28.4355198572066</c:v>
                </c:pt>
                <c:pt idx="71">
                  <c:v>15.002478929102621</c:v>
                </c:pt>
                <c:pt idx="72">
                  <c:v>14.999456816947321</c:v>
                </c:pt>
                <c:pt idx="73">
                  <c:v>14.66694011484824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'Sugar (All)'!$CI$6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(All)'!$CI$7:$CI$107</c:f>
              <c:numCache>
                <c:formatCode>0.0000</c:formatCode>
                <c:ptCount val="92"/>
                <c:pt idx="48">
                  <c:v>19.466666666666661</c:v>
                </c:pt>
                <c:pt idx="49">
                  <c:v>21.124260355029598</c:v>
                </c:pt>
                <c:pt idx="51">
                  <c:v>22.853333333333403</c:v>
                </c:pt>
                <c:pt idx="52">
                  <c:v>22.5</c:v>
                </c:pt>
                <c:pt idx="54">
                  <c:v>14.324324324324319</c:v>
                </c:pt>
                <c:pt idx="55">
                  <c:v>19.433526011560701</c:v>
                </c:pt>
                <c:pt idx="56">
                  <c:v>17.793560606060602</c:v>
                </c:pt>
                <c:pt idx="57">
                  <c:v>18.88669950738916</c:v>
                </c:pt>
                <c:pt idx="58">
                  <c:v>16.250580046403719</c:v>
                </c:pt>
                <c:pt idx="59">
                  <c:v>19.32584269662922</c:v>
                </c:pt>
                <c:pt idx="60">
                  <c:v>18.666666666666661</c:v>
                </c:pt>
                <c:pt idx="61">
                  <c:v>18.791858174655282</c:v>
                </c:pt>
                <c:pt idx="62">
                  <c:v>16.666666666666661</c:v>
                </c:pt>
                <c:pt idx="63">
                  <c:v>13.77269670477472</c:v>
                </c:pt>
                <c:pt idx="64">
                  <c:v>16.004264392324099</c:v>
                </c:pt>
                <c:pt idx="65">
                  <c:v>17.333333333333339</c:v>
                </c:pt>
                <c:pt idx="66">
                  <c:v>15.0003992015968</c:v>
                </c:pt>
              </c:numCache>
            </c:numRef>
          </c:val>
          <c:smooth val="0"/>
        </c:ser>
        <c:ser>
          <c:idx val="158"/>
          <c:order val="81"/>
          <c:tx>
            <c:strRef>
              <c:f>'Sugar (All)'!$CJ$6</c:f>
              <c:strCache>
                <c:ptCount val="1"/>
                <c:pt idx="0">
                  <c:v>Bahrain,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(All)'!$CJ$7:$CJ$107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60"/>
          <c:order val="82"/>
          <c:tx>
            <c:strRef>
              <c:f>'Sugar (All)'!$CK$6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(All)'!$CK$7:$CK$107</c:f>
              <c:numCache>
                <c:formatCode>0.0000</c:formatCode>
                <c:ptCount val="92"/>
                <c:pt idx="34">
                  <c:v>22.986732186732198</c:v>
                </c:pt>
                <c:pt idx="35">
                  <c:v>22.0197126386836</c:v>
                </c:pt>
                <c:pt idx="36">
                  <c:v>22.9261036459874</c:v>
                </c:pt>
                <c:pt idx="37">
                  <c:v>23.3433151456464</c:v>
                </c:pt>
                <c:pt idx="38">
                  <c:v>20.350086075970403</c:v>
                </c:pt>
                <c:pt idx="39">
                  <c:v>23.9397305825728</c:v>
                </c:pt>
                <c:pt idx="40">
                  <c:v>23.940859862952003</c:v>
                </c:pt>
                <c:pt idx="41">
                  <c:v>24.458281547509802</c:v>
                </c:pt>
                <c:pt idx="42">
                  <c:v>23.245668362716199</c:v>
                </c:pt>
                <c:pt idx="43">
                  <c:v>22.868076754347801</c:v>
                </c:pt>
                <c:pt idx="44">
                  <c:v>22.866624663248398</c:v>
                </c:pt>
                <c:pt idx="45">
                  <c:v>15.41047169269638</c:v>
                </c:pt>
                <c:pt idx="46">
                  <c:v>15.01513384446406</c:v>
                </c:pt>
                <c:pt idx="47">
                  <c:v>14.55498012284874</c:v>
                </c:pt>
                <c:pt idx="48">
                  <c:v>14.045710192012439</c:v>
                </c:pt>
                <c:pt idx="49">
                  <c:v>14.294834535347182</c:v>
                </c:pt>
                <c:pt idx="50">
                  <c:v>19.957042809412059</c:v>
                </c:pt>
                <c:pt idx="51">
                  <c:v>15.835951917784721</c:v>
                </c:pt>
                <c:pt idx="52">
                  <c:v>17.143363353176099</c:v>
                </c:pt>
                <c:pt idx="53">
                  <c:v>13.116652058688661</c:v>
                </c:pt>
                <c:pt idx="54">
                  <c:v>12.91176159031224</c:v>
                </c:pt>
                <c:pt idx="55">
                  <c:v>13.465901190579642</c:v>
                </c:pt>
                <c:pt idx="56">
                  <c:v>13.917587603680841</c:v>
                </c:pt>
                <c:pt idx="57">
                  <c:v>13.07208709915704</c:v>
                </c:pt>
                <c:pt idx="58">
                  <c:v>12.167302752913681</c:v>
                </c:pt>
                <c:pt idx="59">
                  <c:v>12.315688797217641</c:v>
                </c:pt>
                <c:pt idx="60">
                  <c:v>11.350045860687722</c:v>
                </c:pt>
                <c:pt idx="61">
                  <c:v>10.277340287191381</c:v>
                </c:pt>
                <c:pt idx="62">
                  <c:v>9.2271240784219195</c:v>
                </c:pt>
                <c:pt idx="63">
                  <c:v>10.148226616301418</c:v>
                </c:pt>
                <c:pt idx="64">
                  <c:v>16.996465692983978</c:v>
                </c:pt>
                <c:pt idx="65">
                  <c:v>18</c:v>
                </c:pt>
                <c:pt idx="66">
                  <c:v>13.333023255813961</c:v>
                </c:pt>
                <c:pt idx="67">
                  <c:v>10.928431372549019</c:v>
                </c:pt>
                <c:pt idx="68">
                  <c:v>11.64516129032258</c:v>
                </c:pt>
                <c:pt idx="69">
                  <c:v>13.26602952393772</c:v>
                </c:pt>
                <c:pt idx="70">
                  <c:v>14.758822622900301</c:v>
                </c:pt>
                <c:pt idx="71">
                  <c:v>16.99236098774206</c:v>
                </c:pt>
              </c:numCache>
            </c:numRef>
          </c:val>
          <c:smooth val="0"/>
        </c:ser>
        <c:ser>
          <c:idx val="162"/>
          <c:order val="83"/>
          <c:tx>
            <c:strRef>
              <c:f>'Sugar (All)'!$CL$6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(All)'!$CL$7:$CL$107</c:f>
              <c:numCache>
                <c:formatCode>0.0000</c:formatCode>
                <c:ptCount val="92"/>
                <c:pt idx="34">
                  <c:v>18.81354568854568</c:v>
                </c:pt>
                <c:pt idx="35">
                  <c:v>22.0197126386836</c:v>
                </c:pt>
                <c:pt idx="36">
                  <c:v>20.4226785352188</c:v>
                </c:pt>
                <c:pt idx="37">
                  <c:v>21.2211955869512</c:v>
                </c:pt>
                <c:pt idx="38">
                  <c:v>20.350086075970403</c:v>
                </c:pt>
                <c:pt idx="39">
                  <c:v>21.826132747354599</c:v>
                </c:pt>
                <c:pt idx="40">
                  <c:v>36.412377559001399</c:v>
                </c:pt>
                <c:pt idx="41">
                  <c:v>36.020378279059997</c:v>
                </c:pt>
                <c:pt idx="42">
                  <c:v>19.987123779728279</c:v>
                </c:pt>
                <c:pt idx="43">
                  <c:v>32.7263581236394</c:v>
                </c:pt>
                <c:pt idx="44">
                  <c:v>15.297532875762021</c:v>
                </c:pt>
                <c:pt idx="45">
                  <c:v>15.0411575562701</c:v>
                </c:pt>
                <c:pt idx="46">
                  <c:v>14.27349229971818</c:v>
                </c:pt>
                <c:pt idx="47">
                  <c:v>13.84096223002976</c:v>
                </c:pt>
                <c:pt idx="48">
                  <c:v>13.279580545175399</c:v>
                </c:pt>
                <c:pt idx="49">
                  <c:v>16.526883222220839</c:v>
                </c:pt>
                <c:pt idx="50">
                  <c:v>16.176019669186861</c:v>
                </c:pt>
                <c:pt idx="51">
                  <c:v>17.446387706033999</c:v>
                </c:pt>
                <c:pt idx="52">
                  <c:v>15.389601360662459</c:v>
                </c:pt>
                <c:pt idx="53">
                  <c:v>15.288939817171322</c:v>
                </c:pt>
                <c:pt idx="54">
                  <c:v>13.444123452805119</c:v>
                </c:pt>
              </c:numCache>
            </c:numRef>
          </c:val>
          <c:smooth val="0"/>
        </c:ser>
        <c:ser>
          <c:idx val="164"/>
          <c:order val="84"/>
          <c:tx>
            <c:strRef>
              <c:f>'Sugar (All)'!$CM$6</c:f>
              <c:strCache>
                <c:ptCount val="1"/>
                <c:pt idx="0">
                  <c:v>Muscat, Bazaar (Local),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(All)'!$CM$7:$CM$107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66"/>
          <c:order val="85"/>
          <c:tx>
            <c:strRef>
              <c:f>'Sugar (All)'!$CN$6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(All)'!$CN$7:$CN$107</c:f>
              <c:numCache>
                <c:formatCode>0.0000</c:formatCode>
                <c:ptCount val="92"/>
                <c:pt idx="50">
                  <c:v>18.228571428571421</c:v>
                </c:pt>
                <c:pt idx="51">
                  <c:v>14.325102257233759</c:v>
                </c:pt>
                <c:pt idx="52">
                  <c:v>14.29439861050804</c:v>
                </c:pt>
                <c:pt idx="53">
                  <c:v>11.935538022494541</c:v>
                </c:pt>
                <c:pt idx="54">
                  <c:v>11.272585467307941</c:v>
                </c:pt>
                <c:pt idx="55">
                  <c:v>23.785134291068001</c:v>
                </c:pt>
                <c:pt idx="56">
                  <c:v>11.248296538566361</c:v>
                </c:pt>
                <c:pt idx="57">
                  <c:v>14.97058823529412</c:v>
                </c:pt>
                <c:pt idx="58">
                  <c:v>15.302039245863801</c:v>
                </c:pt>
                <c:pt idx="59">
                  <c:v>15.27251007913992</c:v>
                </c:pt>
                <c:pt idx="60">
                  <c:v>16.6805041889954</c:v>
                </c:pt>
                <c:pt idx="61">
                  <c:v>16.88607362526394</c:v>
                </c:pt>
                <c:pt idx="62">
                  <c:v>13.493745113025199</c:v>
                </c:pt>
                <c:pt idx="66">
                  <c:v>15.484409985629778</c:v>
                </c:pt>
                <c:pt idx="67">
                  <c:v>14.812642016112381</c:v>
                </c:pt>
                <c:pt idx="68">
                  <c:v>15.410625941062598</c:v>
                </c:pt>
                <c:pt idx="69">
                  <c:v>17.170607127655458</c:v>
                </c:pt>
                <c:pt idx="70">
                  <c:v>17.068483816013618</c:v>
                </c:pt>
                <c:pt idx="71">
                  <c:v>16.20897043832824</c:v>
                </c:pt>
                <c:pt idx="72">
                  <c:v>18.25722713864306</c:v>
                </c:pt>
              </c:numCache>
            </c:numRef>
          </c:val>
          <c:smooth val="0"/>
        </c:ser>
        <c:ser>
          <c:idx val="168"/>
          <c:order val="86"/>
          <c:tx>
            <c:strRef>
              <c:f>'Sugar (All)'!$CO$6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(All)'!$CO$7:$CO$107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70"/>
          <c:order val="87"/>
          <c:tx>
            <c:strRef>
              <c:f>'Sugar (All)'!$CP$6</c:f>
              <c:strCache>
                <c:ptCount val="1"/>
                <c:pt idx="0">
                  <c:v>Mohammerah,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(All)'!$CP$7:$CP$107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72"/>
          <c:order val="88"/>
          <c:tx>
            <c:strRef>
              <c:f>'Sugar (All)'!$CQ$6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(All)'!$CQ$7:$CQ$107</c:f>
              <c:numCache>
                <c:formatCode>0.0000</c:formatCode>
                <c:ptCount val="92"/>
                <c:pt idx="47">
                  <c:v>21.716000000000001</c:v>
                </c:pt>
                <c:pt idx="48">
                  <c:v>18.669201520912541</c:v>
                </c:pt>
                <c:pt idx="49">
                  <c:v>24.616</c:v>
                </c:pt>
                <c:pt idx="50">
                  <c:v>21.537142857142801</c:v>
                </c:pt>
                <c:pt idx="51">
                  <c:v>19.286666666666662</c:v>
                </c:pt>
                <c:pt idx="52">
                  <c:v>21.249523809523797</c:v>
                </c:pt>
                <c:pt idx="53">
                  <c:v>22.154166666666598</c:v>
                </c:pt>
                <c:pt idx="54">
                  <c:v>16.664000000000001</c:v>
                </c:pt>
                <c:pt idx="55">
                  <c:v>14.444999999999999</c:v>
                </c:pt>
                <c:pt idx="56">
                  <c:v>15.29333333333334</c:v>
                </c:pt>
                <c:pt idx="57">
                  <c:v>16.248888888888878</c:v>
                </c:pt>
                <c:pt idx="58">
                  <c:v>15</c:v>
                </c:pt>
                <c:pt idx="59">
                  <c:v>16</c:v>
                </c:pt>
                <c:pt idx="60">
                  <c:v>16</c:v>
                </c:pt>
                <c:pt idx="61">
                  <c:v>13.334399999999999</c:v>
                </c:pt>
                <c:pt idx="66">
                  <c:v>14.46207553157728</c:v>
                </c:pt>
                <c:pt idx="67">
                  <c:v>14.033829604801619</c:v>
                </c:pt>
                <c:pt idx="68">
                  <c:v>14.35338796721966</c:v>
                </c:pt>
                <c:pt idx="69">
                  <c:v>14.869336632132359</c:v>
                </c:pt>
                <c:pt idx="70">
                  <c:v>15.797244094488182</c:v>
                </c:pt>
                <c:pt idx="71">
                  <c:v>16.252181305651263</c:v>
                </c:pt>
                <c:pt idx="72">
                  <c:v>17.048876281911419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'Sugar (All)'!$CR$6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(All)'!$CR$7:$CR$107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76"/>
          <c:order val="90"/>
          <c:tx>
            <c:strRef>
              <c:f>'Sugar (All)'!$CS$6</c:f>
              <c:strCache>
                <c:ptCount val="1"/>
                <c:pt idx="0">
                  <c:v>Lingah,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(All)'!$CS$7:$CS$107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78"/>
          <c:order val="91"/>
          <c:tx>
            <c:strRef>
              <c:f>'Sugar (All)'!$CT$6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(All)'!$CT$7:$CT$107</c:f>
              <c:numCache>
                <c:formatCode>General</c:formatCode>
                <c:ptCount val="92"/>
                <c:pt idx="47" formatCode="0.0000">
                  <c:v>22.457952425553799</c:v>
                </c:pt>
                <c:pt idx="48" formatCode="0.0000">
                  <c:v>23.332152713247602</c:v>
                </c:pt>
                <c:pt idx="49" formatCode="0.0000">
                  <c:v>34.579176935341401</c:v>
                </c:pt>
                <c:pt idx="50" formatCode="0.0000">
                  <c:v>23.6199836199836</c:v>
                </c:pt>
                <c:pt idx="51" formatCode="0.0000">
                  <c:v>16.668304668304661</c:v>
                </c:pt>
                <c:pt idx="52" formatCode="0.0000">
                  <c:v>16.87893333333334</c:v>
                </c:pt>
                <c:pt idx="53" formatCode="0.0000">
                  <c:v>16.896000000000001</c:v>
                </c:pt>
                <c:pt idx="54" formatCode="0.0000">
                  <c:v>15.644342857142862</c:v>
                </c:pt>
                <c:pt idx="55" formatCode="0.0000">
                  <c:v>16.666666666666661</c:v>
                </c:pt>
                <c:pt idx="56" formatCode="0.0000">
                  <c:v>12.549333333333339</c:v>
                </c:pt>
                <c:pt idx="57" formatCode="0.0000">
                  <c:v>13.23056389723056</c:v>
                </c:pt>
                <c:pt idx="58" formatCode="0.0000">
                  <c:v>17.606501041102099</c:v>
                </c:pt>
                <c:pt idx="59" formatCode="0.0000">
                  <c:v>22.388266667226404</c:v>
                </c:pt>
                <c:pt idx="60" formatCode="0.0000">
                  <c:v>16.357226792004958</c:v>
                </c:pt>
                <c:pt idx="61" formatCode="0.0000">
                  <c:v>16.426763636363638</c:v>
                </c:pt>
              </c:numCache>
            </c:numRef>
          </c:val>
          <c:smooth val="0"/>
        </c:ser>
        <c:ser>
          <c:idx val="180"/>
          <c:order val="92"/>
          <c:tx>
            <c:strRef>
              <c:f>'Sugar (All)'!$CU$6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(All)'!$CU$7:$CU$107</c:f>
              <c:numCache>
                <c:formatCode>General</c:formatCode>
                <c:ptCount val="92"/>
              </c:numCache>
            </c:numRef>
          </c:val>
          <c:smooth val="0"/>
        </c:ser>
        <c:ser>
          <c:idx val="182"/>
          <c:order val="93"/>
          <c:tx>
            <c:strRef>
              <c:f>'Sugar (All)'!$CV$6</c:f>
              <c:strCache>
                <c:ptCount val="1"/>
                <c:pt idx="0">
                  <c:v>Shiraz,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(All)'!$CV$7:$CV$107</c:f>
              <c:numCache>
                <c:formatCode>General</c:formatCode>
                <c:ptCount val="92"/>
              </c:numCache>
            </c:numRef>
          </c:val>
          <c:smooth val="0"/>
        </c:ser>
        <c:ser>
          <c:idx val="0"/>
          <c:order val="94"/>
          <c:tx>
            <c:strRef>
              <c:f>'Sugar (All)'!$CW$6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'Sugar (All)'!$CW$7:$CW$107</c:f>
              <c:numCache>
                <c:formatCode>General</c:formatCode>
                <c:ptCount val="92"/>
                <c:pt idx="28" formatCode="0.0000">
                  <c:v>24.723766192500221</c:v>
                </c:pt>
                <c:pt idx="29" formatCode="0.0000">
                  <c:v>24.852838008688462</c:v>
                </c:pt>
                <c:pt idx="30" formatCode="0.0000">
                  <c:v>28.227400490682861</c:v>
                </c:pt>
                <c:pt idx="31" formatCode="0.0000">
                  <c:v>29.143223000977518</c:v>
                </c:pt>
                <c:pt idx="32" formatCode="0.0000">
                  <c:v>27.68417542250851</c:v>
                </c:pt>
                <c:pt idx="33" formatCode="0.0000">
                  <c:v>29.836883915333306</c:v>
                </c:pt>
                <c:pt idx="34" formatCode="0.0000">
                  <c:v>28.115808261410574</c:v>
                </c:pt>
                <c:pt idx="35" formatCode="0.0000">
                  <c:v>31.22040225230969</c:v>
                </c:pt>
                <c:pt idx="36" formatCode="0.0000">
                  <c:v>27.572537244143422</c:v>
                </c:pt>
                <c:pt idx="37" formatCode="0.0000">
                  <c:v>32.918562926412207</c:v>
                </c:pt>
                <c:pt idx="38" formatCode="0.0000">
                  <c:v>29.313641206416875</c:v>
                </c:pt>
                <c:pt idx="39" formatCode="0.0000">
                  <c:v>27.734262334416552</c:v>
                </c:pt>
                <c:pt idx="40" formatCode="0.0000">
                  <c:v>30.344136332356499</c:v>
                </c:pt>
                <c:pt idx="41" formatCode="0.0000">
                  <c:v>28.381573817976104</c:v>
                </c:pt>
                <c:pt idx="42" formatCode="0.0000">
                  <c:v>27.770660597264904</c:v>
                </c:pt>
                <c:pt idx="43" formatCode="0.0000">
                  <c:v>26.530906556271816</c:v>
                </c:pt>
                <c:pt idx="44" formatCode="0.0000">
                  <c:v>25.412926284157294</c:v>
                </c:pt>
                <c:pt idx="45" formatCode="0.0000">
                  <c:v>19.351075139529438</c:v>
                </c:pt>
                <c:pt idx="46" formatCode="0.0000">
                  <c:v>18.77296048332342</c:v>
                </c:pt>
                <c:pt idx="47" formatCode="0.0000">
                  <c:v>17.5147789403986</c:v>
                </c:pt>
                <c:pt idx="48" formatCode="0.0000">
                  <c:v>16.767139319320258</c:v>
                </c:pt>
                <c:pt idx="49" formatCode="0.0000">
                  <c:v>16.785209102519335</c:v>
                </c:pt>
                <c:pt idx="50" formatCode="0.0000">
                  <c:v>20.393994595642464</c:v>
                </c:pt>
                <c:pt idx="51" formatCode="0.0000">
                  <c:v>16.532026244842267</c:v>
                </c:pt>
                <c:pt idx="52" formatCode="0.0000">
                  <c:v>16.22481590821884</c:v>
                </c:pt>
                <c:pt idx="53" formatCode="0.0000">
                  <c:v>18.587318040504503</c:v>
                </c:pt>
                <c:pt idx="54" formatCode="0.0000">
                  <c:v>13.406381884338854</c:v>
                </c:pt>
                <c:pt idx="55" formatCode="0.0000">
                  <c:v>12.48864810871536</c:v>
                </c:pt>
                <c:pt idx="56" formatCode="0.0000">
                  <c:v>14.259756347350024</c:v>
                </c:pt>
                <c:pt idx="57" formatCode="0.0000">
                  <c:v>13.755659255588769</c:v>
                </c:pt>
                <c:pt idx="58" formatCode="0.0000">
                  <c:v>13.057254328822872</c:v>
                </c:pt>
                <c:pt idx="59" formatCode="0.0000">
                  <c:v>13.031110173746168</c:v>
                </c:pt>
                <c:pt idx="60" formatCode="0.0000">
                  <c:v>13.996592885227827</c:v>
                </c:pt>
                <c:pt idx="61" formatCode="0.0000">
                  <c:v>14.423713620561537</c:v>
                </c:pt>
                <c:pt idx="62" formatCode="0.0000">
                  <c:v>12.35794290804731</c:v>
                </c:pt>
                <c:pt idx="63" formatCode="0.0000">
                  <c:v>12.042927750595078</c:v>
                </c:pt>
                <c:pt idx="64" formatCode="0.0000">
                  <c:v>11.912004450290457</c:v>
                </c:pt>
                <c:pt idx="65" formatCode="0.0000">
                  <c:v>14.540824658150829</c:v>
                </c:pt>
                <c:pt idx="66" formatCode="0.0000">
                  <c:v>11.086421812960154</c:v>
                </c:pt>
                <c:pt idx="67" formatCode="0.0000">
                  <c:v>11.425879287311739</c:v>
                </c:pt>
                <c:pt idx="68" formatCode="0.0000">
                  <c:v>11.732814229333387</c:v>
                </c:pt>
                <c:pt idx="69" formatCode="0.0000">
                  <c:v>11.870319596561723</c:v>
                </c:pt>
                <c:pt idx="70" formatCode="0.0000">
                  <c:v>12.203275852379385</c:v>
                </c:pt>
                <c:pt idx="71" formatCode="0.0000">
                  <c:v>11.117461583754942</c:v>
                </c:pt>
                <c:pt idx="72" formatCode="0.0000">
                  <c:v>13.981217015677361</c:v>
                </c:pt>
                <c:pt idx="73" formatCode="0.0000">
                  <c:v>11.224429772037848</c:v>
                </c:pt>
                <c:pt idx="74" formatCode="0.0000">
                  <c:v>7.777506707227543</c:v>
                </c:pt>
                <c:pt idx="75" formatCode="0.0000">
                  <c:v>11.938079759607104</c:v>
                </c:pt>
                <c:pt idx="76" formatCode="0.0000">
                  <c:v>15.276686018822531</c:v>
                </c:pt>
                <c:pt idx="77" formatCode="0.0000">
                  <c:v>17.019639196147629</c:v>
                </c:pt>
                <c:pt idx="78" formatCode="0.0000">
                  <c:v>15.611650371295196</c:v>
                </c:pt>
                <c:pt idx="79" formatCode="0.0000">
                  <c:v>18.534001287617944</c:v>
                </c:pt>
                <c:pt idx="80" formatCode="0.0000">
                  <c:v>36.276829501498362</c:v>
                </c:pt>
                <c:pt idx="81" formatCode="0.0000">
                  <c:v>21.890625000000004</c:v>
                </c:pt>
                <c:pt idx="82" formatCode="0.0000">
                  <c:v>15.750000000000002</c:v>
                </c:pt>
                <c:pt idx="83" formatCode="0.0000">
                  <c:v>16.6875</c:v>
                </c:pt>
                <c:pt idx="84" formatCode="0.0000">
                  <c:v>18.796875</c:v>
                </c:pt>
                <c:pt idx="85" formatCode="0.0000">
                  <c:v>8.8125</c:v>
                </c:pt>
                <c:pt idx="86" formatCode="0.0000">
                  <c:v>9.12890625</c:v>
                </c:pt>
                <c:pt idx="87" formatCode="0.0000">
                  <c:v>8.6484375</c:v>
                </c:pt>
                <c:pt idx="88" formatCode="0.0000">
                  <c:v>7.5351562500000009</c:v>
                </c:pt>
                <c:pt idx="89" formatCode="0.0000">
                  <c:v>7.1455078125000009</c:v>
                </c:pt>
                <c:pt idx="90" formatCode="0.0000">
                  <c:v>6.1737132352941178</c:v>
                </c:pt>
                <c:pt idx="91" formatCode="0.0000">
                  <c:v>6.1709558823529411</c:v>
                </c:pt>
              </c:numCache>
            </c:numRef>
          </c:val>
          <c:smooth val="0"/>
        </c:ser>
        <c:ser>
          <c:idx val="3"/>
          <c:order val="95"/>
          <c:tx>
            <c:strRef>
              <c:f>'Sugar (All)'!$CX$6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'Sugar (All)'!$CX$7:$CX$107</c:f>
              <c:numCache>
                <c:formatCode>General</c:formatCode>
                <c:ptCount val="92"/>
                <c:pt idx="3" formatCode="0.0000">
                  <c:v>28.196617412227337</c:v>
                </c:pt>
                <c:pt idx="4" formatCode="0.0000">
                  <c:v>27.949604045363685</c:v>
                </c:pt>
                <c:pt idx="5" formatCode="0.0000">
                  <c:v>28.005627009646297</c:v>
                </c:pt>
                <c:pt idx="6" formatCode="0.0000">
                  <c:v>27.914146122106828</c:v>
                </c:pt>
                <c:pt idx="7" formatCode="0.0000">
                  <c:v>23.732744878117664</c:v>
                </c:pt>
                <c:pt idx="8" formatCode="0.0000">
                  <c:v>19.662374894991448</c:v>
                </c:pt>
                <c:pt idx="9" formatCode="0.0000">
                  <c:v>18.737862913154306</c:v>
                </c:pt>
                <c:pt idx="10" formatCode="0.0000">
                  <c:v>19.821616733292771</c:v>
                </c:pt>
                <c:pt idx="11" formatCode="0.0000">
                  <c:v>22.501270965499252</c:v>
                </c:pt>
                <c:pt idx="12" formatCode="0.0000">
                  <c:v>17.98013346948234</c:v>
                </c:pt>
                <c:pt idx="13" formatCode="0.0000">
                  <c:v>21.376287259928738</c:v>
                </c:pt>
                <c:pt idx="14" formatCode="0.0000">
                  <c:v>19.11753715129921</c:v>
                </c:pt>
                <c:pt idx="15" formatCode="0.0000">
                  <c:v>16.888977565286346</c:v>
                </c:pt>
                <c:pt idx="16" formatCode="0.0000">
                  <c:v>22.301065384114015</c:v>
                </c:pt>
                <c:pt idx="17" formatCode="0.0000">
                  <c:v>31.882522594942198</c:v>
                </c:pt>
                <c:pt idx="18" formatCode="0.0000">
                  <c:v>28.284278048144603</c:v>
                </c:pt>
                <c:pt idx="19" formatCode="0.0000">
                  <c:v>25.767236790649164</c:v>
                </c:pt>
                <c:pt idx="20" formatCode="0.0000">
                  <c:v>23.860326866255317</c:v>
                </c:pt>
                <c:pt idx="21" formatCode="0.0000">
                  <c:v>22.334998533501341</c:v>
                </c:pt>
                <c:pt idx="22" formatCode="0.0000">
                  <c:v>23.349400093421391</c:v>
                </c:pt>
                <c:pt idx="23" formatCode="0.0000">
                  <c:v>22.574260504475529</c:v>
                </c:pt>
                <c:pt idx="24" formatCode="0.0000">
                  <c:v>23.249419284638325</c:v>
                </c:pt>
                <c:pt idx="25" formatCode="0.0000">
                  <c:v>25.31142643472451</c:v>
                </c:pt>
                <c:pt idx="26" formatCode="0.0000">
                  <c:v>23.968114517250367</c:v>
                </c:pt>
                <c:pt idx="27" formatCode="0.0000">
                  <c:v>22.619271829104019</c:v>
                </c:pt>
                <c:pt idx="28" formatCode="0.0000">
                  <c:v>21.576160163378809</c:v>
                </c:pt>
                <c:pt idx="29" formatCode="0.0000">
                  <c:v>22.828430019260598</c:v>
                </c:pt>
                <c:pt idx="30" formatCode="0.0000">
                  <c:v>21.859108675750942</c:v>
                </c:pt>
                <c:pt idx="31" formatCode="0.0000">
                  <c:v>20.935006250036015</c:v>
                </c:pt>
                <c:pt idx="32" formatCode="0.0000">
                  <c:v>19.625016861734178</c:v>
                </c:pt>
                <c:pt idx="33" formatCode="0.0000">
                  <c:v>22.684614563761073</c:v>
                </c:pt>
                <c:pt idx="34" formatCode="0.0000">
                  <c:v>20.467272784683193</c:v>
                </c:pt>
                <c:pt idx="35" formatCode="0.0000">
                  <c:v>16.981560026828127</c:v>
                </c:pt>
                <c:pt idx="36" formatCode="0.0000">
                  <c:v>16.311295907533946</c:v>
                </c:pt>
                <c:pt idx="37" formatCode="0.0000">
                  <c:v>18.371442674301239</c:v>
                </c:pt>
                <c:pt idx="38" formatCode="0.0000">
                  <c:v>17.701409686917525</c:v>
                </c:pt>
                <c:pt idx="39" formatCode="0.0000">
                  <c:v>18.371792195638442</c:v>
                </c:pt>
                <c:pt idx="40" formatCode="0.0000">
                  <c:v>21.258362383306121</c:v>
                </c:pt>
                <c:pt idx="41" formatCode="0.0000">
                  <c:v>19.204822171303324</c:v>
                </c:pt>
                <c:pt idx="42" formatCode="0.0000">
                  <c:v>18.374495188767387</c:v>
                </c:pt>
                <c:pt idx="43" formatCode="0.0000">
                  <c:v>17.267128990482966</c:v>
                </c:pt>
                <c:pt idx="44" formatCode="0.0000">
                  <c:v>16.321697242109604</c:v>
                </c:pt>
                <c:pt idx="45" formatCode="0.0000">
                  <c:v>13.844958314745501</c:v>
                </c:pt>
                <c:pt idx="46" formatCode="0.0000">
                  <c:v>14.579778664710719</c:v>
                </c:pt>
                <c:pt idx="47" formatCode="0.0000">
                  <c:v>13.754509856475238</c:v>
                </c:pt>
                <c:pt idx="48" formatCode="0.0000">
                  <c:v>12.202365298967639</c:v>
                </c:pt>
                <c:pt idx="49" formatCode="0.0000">
                  <c:v>14.122962432552697</c:v>
                </c:pt>
                <c:pt idx="50" formatCode="0.0000">
                  <c:v>18.132216432493781</c:v>
                </c:pt>
                <c:pt idx="51" formatCode="0.0000">
                  <c:v>14.005353096691174</c:v>
                </c:pt>
                <c:pt idx="52" formatCode="0.0000">
                  <c:v>12.294539095809549</c:v>
                </c:pt>
                <c:pt idx="53" formatCode="0.0000">
                  <c:v>12.436674493358293</c:v>
                </c:pt>
                <c:pt idx="54" formatCode="0.0000">
                  <c:v>11.017185954817593</c:v>
                </c:pt>
                <c:pt idx="55" formatCode="0.0000">
                  <c:v>8.7881702428286843</c:v>
                </c:pt>
                <c:pt idx="56" formatCode="0.0000">
                  <c:v>9.8089215031317831</c:v>
                </c:pt>
                <c:pt idx="57" formatCode="0.0000">
                  <c:v>9.6155154279792789</c:v>
                </c:pt>
                <c:pt idx="58" formatCode="0.0000">
                  <c:v>8.9184606074293278</c:v>
                </c:pt>
                <c:pt idx="59" formatCode="0.0000">
                  <c:v>10.297846272295217</c:v>
                </c:pt>
                <c:pt idx="60" formatCode="0.0000">
                  <c:v>10.675389276304514</c:v>
                </c:pt>
                <c:pt idx="61" formatCode="0.0000">
                  <c:v>11.233178337141371</c:v>
                </c:pt>
                <c:pt idx="62" formatCode="0.0000">
                  <c:v>9.4640263358361878</c:v>
                </c:pt>
                <c:pt idx="63" formatCode="0.0000">
                  <c:v>8.273625776316706</c:v>
                </c:pt>
                <c:pt idx="64" formatCode="0.0000">
                  <c:v>9.2198009199810791</c:v>
                </c:pt>
                <c:pt idx="65" formatCode="0.0000">
                  <c:v>11.387233483814104</c:v>
                </c:pt>
                <c:pt idx="66" formatCode="0.0000">
                  <c:v>11.406277020544206</c:v>
                </c:pt>
                <c:pt idx="67" formatCode="0.0000">
                  <c:v>11.809386820760526</c:v>
                </c:pt>
                <c:pt idx="68" formatCode="0.0000">
                  <c:v>11.174862103670669</c:v>
                </c:pt>
                <c:pt idx="69" formatCode="0.0000">
                  <c:v>11.892622663971354</c:v>
                </c:pt>
                <c:pt idx="70" formatCode="0.0000">
                  <c:v>11.85835734990339</c:v>
                </c:pt>
                <c:pt idx="71" formatCode="0.0000">
                  <c:v>11.722005098603528</c:v>
                </c:pt>
                <c:pt idx="72" formatCode="0.0000">
                  <c:v>11.43133378656597</c:v>
                </c:pt>
                <c:pt idx="73" formatCode="0.0000">
                  <c:v>12.482230121673528</c:v>
                </c:pt>
                <c:pt idx="74" formatCode="0.0000">
                  <c:v>8.5144729390568532</c:v>
                </c:pt>
                <c:pt idx="75" formatCode="0.0000">
                  <c:v>10.739134850770771</c:v>
                </c:pt>
                <c:pt idx="76" formatCode="0.0000">
                  <c:v>13.944502723174843</c:v>
                </c:pt>
                <c:pt idx="77" formatCode="0.0000">
                  <c:v>12.451333003167692</c:v>
                </c:pt>
                <c:pt idx="78" formatCode="0.0000">
                  <c:v>15.381746828985372</c:v>
                </c:pt>
                <c:pt idx="79" formatCode="0.0000">
                  <c:v>21.337093563370935</c:v>
                </c:pt>
                <c:pt idx="80" formatCode="0.0000">
                  <c:v>27.118314687688414</c:v>
                </c:pt>
                <c:pt idx="81" formatCode="0.0000">
                  <c:v>17.386363636363637</c:v>
                </c:pt>
                <c:pt idx="82" formatCode="0.0000">
                  <c:v>12.272727272727273</c:v>
                </c:pt>
                <c:pt idx="83" formatCode="0.0000">
                  <c:v>15.596590909090908</c:v>
                </c:pt>
                <c:pt idx="84" formatCode="0.0000">
                  <c:v>9.4602272727272734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125296"/>
        <c:axId val="622130896"/>
      </c:lineChart>
      <c:catAx>
        <c:axId val="6221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130896"/>
        <c:crosses val="autoZero"/>
        <c:auto val="1"/>
        <c:lblAlgn val="ctr"/>
        <c:lblOffset val="100"/>
        <c:noMultiLvlLbl val="0"/>
      </c:catAx>
      <c:valAx>
        <c:axId val="62213089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1252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305669745727881"/>
          <c:y val="2.3024114042969161E-3"/>
          <c:w val="0.43029695717518573"/>
          <c:h val="0.96485722511202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Sugar,</a:t>
            </a:r>
            <a:r>
              <a:rPr lang="en-US" b="1" baseline="0">
                <a:solidFill>
                  <a:schemeClr val="tx1"/>
                </a:solidFill>
              </a:rPr>
              <a:t> </a:t>
            </a:r>
            <a:r>
              <a:rPr lang="en-US" b="1">
                <a:solidFill>
                  <a:schemeClr val="tx1"/>
                </a:solidFill>
              </a:rPr>
              <a:t>UK</a:t>
            </a:r>
            <a:r>
              <a:rPr lang="en-US" b="1" baseline="0">
                <a:solidFill>
                  <a:schemeClr val="tx1"/>
                </a:solidFill>
              </a:rPr>
              <a:t> and Ottomon Empire, in pound/ton 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'Sugar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'Sugar (Adjusted)'!$E$6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(Adjusted)'!$E$7:$E$107</c:f>
              <c:numCache>
                <c:formatCode>0.0000</c:formatCode>
                <c:ptCount val="92"/>
                <c:pt idx="27">
                  <c:v>7.0705309678378141</c:v>
                </c:pt>
                <c:pt idx="29">
                  <c:v>74.322094892942388</c:v>
                </c:pt>
                <c:pt idx="30">
                  <c:v>8.9865762323405374</c:v>
                </c:pt>
                <c:pt idx="34">
                  <c:v>5.5321497146608447</c:v>
                </c:pt>
                <c:pt idx="35">
                  <c:v>3.7892604551311551</c:v>
                </c:pt>
                <c:pt idx="37">
                  <c:v>6.4029115685123239</c:v>
                </c:pt>
                <c:pt idx="38">
                  <c:v>32.808672957237413</c:v>
                </c:pt>
                <c:pt idx="47">
                  <c:v>25.708609271523134</c:v>
                </c:pt>
                <c:pt idx="48">
                  <c:v>30.999737049697696</c:v>
                </c:pt>
                <c:pt idx="49">
                  <c:v>32.031249999999936</c:v>
                </c:pt>
                <c:pt idx="50">
                  <c:v>22.999031434357665</c:v>
                </c:pt>
                <c:pt idx="51">
                  <c:v>32.006846384253215</c:v>
                </c:pt>
                <c:pt idx="52">
                  <c:v>29.999999999999904</c:v>
                </c:pt>
                <c:pt idx="57">
                  <c:v>19.999609153622178</c:v>
                </c:pt>
                <c:pt idx="58">
                  <c:v>8.0882352941176414</c:v>
                </c:pt>
                <c:pt idx="59">
                  <c:v>20.000000000000004</c:v>
                </c:pt>
                <c:pt idx="60">
                  <c:v>19.992129083038179</c:v>
                </c:pt>
                <c:pt idx="61">
                  <c:v>26.666666666666657</c:v>
                </c:pt>
                <c:pt idx="62">
                  <c:v>26.666666666666657</c:v>
                </c:pt>
                <c:pt idx="63">
                  <c:v>23.315645602186784</c:v>
                </c:pt>
                <c:pt idx="64">
                  <c:v>29.998440597919362</c:v>
                </c:pt>
                <c:pt idx="65">
                  <c:v>28.243847874720352</c:v>
                </c:pt>
                <c:pt idx="66">
                  <c:v>20.805962658476801</c:v>
                </c:pt>
                <c:pt idx="67">
                  <c:v>19.792349812881668</c:v>
                </c:pt>
                <c:pt idx="68">
                  <c:v>17.625434613444096</c:v>
                </c:pt>
                <c:pt idx="69">
                  <c:v>18.272997497403775</c:v>
                </c:pt>
                <c:pt idx="70">
                  <c:v>21.471307802243075</c:v>
                </c:pt>
                <c:pt idx="71">
                  <c:v>16.600631603060993</c:v>
                </c:pt>
                <c:pt idx="72">
                  <c:v>21.418881233060098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'Sugar (Adjusted)'!$F$6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'Sugar (Adjusted)'!$H$6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(Adjusted)'!$H$7:$H$107</c:f>
              <c:numCache>
                <c:formatCode>0.0000</c:formatCode>
                <c:ptCount val="92"/>
                <c:pt idx="51">
                  <c:v>19.045797471044533</c:v>
                </c:pt>
                <c:pt idx="52">
                  <c:v>20.000000000000004</c:v>
                </c:pt>
                <c:pt idx="53">
                  <c:v>20.000000000000004</c:v>
                </c:pt>
                <c:pt idx="54">
                  <c:v>16.666234271630561</c:v>
                </c:pt>
                <c:pt idx="55">
                  <c:v>16.699715892619</c:v>
                </c:pt>
                <c:pt idx="56">
                  <c:v>16.666411375762692</c:v>
                </c:pt>
                <c:pt idx="57">
                  <c:v>16.666398433518424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'Sugar (Adjusted)'!$J$6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(Adjusted)'!$J$7:$J$107</c:f>
              <c:numCache>
                <c:formatCode>0.0000</c:formatCode>
                <c:ptCount val="92"/>
                <c:pt idx="44">
                  <c:v>40.727272727272762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'Sugar (Adjusted)'!$K$6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(Adjusted)'!$K$7:$K$107</c:f>
              <c:numCache>
                <c:formatCode>0.0000</c:formatCode>
                <c:ptCount val="92"/>
                <c:pt idx="45">
                  <c:v>19.944038315830326</c:v>
                </c:pt>
                <c:pt idx="46">
                  <c:v>19.867353735308726</c:v>
                </c:pt>
                <c:pt idx="47">
                  <c:v>17.764804379256915</c:v>
                </c:pt>
                <c:pt idx="48">
                  <c:v>19.380984590096954</c:v>
                </c:pt>
                <c:pt idx="49">
                  <c:v>19.053879364947644</c:v>
                </c:pt>
                <c:pt idx="50">
                  <c:v>19.277698651014685</c:v>
                </c:pt>
                <c:pt idx="51">
                  <c:v>18.184306346950031</c:v>
                </c:pt>
                <c:pt idx="52">
                  <c:v>18.060488320648407</c:v>
                </c:pt>
                <c:pt idx="53">
                  <c:v>19.254556155635321</c:v>
                </c:pt>
                <c:pt idx="54">
                  <c:v>14.858999191598164</c:v>
                </c:pt>
                <c:pt idx="55">
                  <c:v>11.540299602036621</c:v>
                </c:pt>
                <c:pt idx="56">
                  <c:v>12.887469775949175</c:v>
                </c:pt>
                <c:pt idx="57">
                  <c:v>11.561926850166376</c:v>
                </c:pt>
                <c:pt idx="58">
                  <c:v>12.267247608464125</c:v>
                </c:pt>
                <c:pt idx="59">
                  <c:v>12.246014560073954</c:v>
                </c:pt>
                <c:pt idx="60">
                  <c:v>11.773442840507915</c:v>
                </c:pt>
                <c:pt idx="61">
                  <c:v>10.538214576974562</c:v>
                </c:pt>
                <c:pt idx="62">
                  <c:v>9.4133004482763898</c:v>
                </c:pt>
                <c:pt idx="63">
                  <c:v>9.531656603749834</c:v>
                </c:pt>
                <c:pt idx="64">
                  <c:v>11.433839540722561</c:v>
                </c:pt>
                <c:pt idx="65">
                  <c:v>12.530117103403153</c:v>
                </c:pt>
                <c:pt idx="66">
                  <c:v>11.416930516936914</c:v>
                </c:pt>
                <c:pt idx="67">
                  <c:v>11.348387969616775</c:v>
                </c:pt>
                <c:pt idx="68">
                  <c:v>11.084855056913323</c:v>
                </c:pt>
                <c:pt idx="69">
                  <c:v>12.088185079100736</c:v>
                </c:pt>
                <c:pt idx="70">
                  <c:v>12.111957190580195</c:v>
                </c:pt>
                <c:pt idx="71">
                  <c:v>13.253959837654421</c:v>
                </c:pt>
                <c:pt idx="72">
                  <c:v>12.290086488049331</c:v>
                </c:pt>
                <c:pt idx="73">
                  <c:v>11.723038849601229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'Sugar (Adjusted)'!$L$6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(Adjusted)'!$L$7:$L$107</c:f>
              <c:numCache>
                <c:formatCode>0.0000</c:formatCode>
                <c:ptCount val="92"/>
                <c:pt idx="45">
                  <c:v>13.172974312493501</c:v>
                </c:pt>
                <c:pt idx="46">
                  <c:v>12.032882723655129</c:v>
                </c:pt>
                <c:pt idx="47">
                  <c:v>11.156106782812158</c:v>
                </c:pt>
                <c:pt idx="48">
                  <c:v>12.977666242574502</c:v>
                </c:pt>
                <c:pt idx="49">
                  <c:v>15.32598604560105</c:v>
                </c:pt>
                <c:pt idx="50">
                  <c:v>12.813999691556822</c:v>
                </c:pt>
                <c:pt idx="51">
                  <c:v>12.470987300120646</c:v>
                </c:pt>
                <c:pt idx="52">
                  <c:v>12.941768100250453</c:v>
                </c:pt>
                <c:pt idx="53">
                  <c:v>14.029586796951152</c:v>
                </c:pt>
                <c:pt idx="54">
                  <c:v>11.332664213895786</c:v>
                </c:pt>
                <c:pt idx="55">
                  <c:v>8.7148797629066301</c:v>
                </c:pt>
                <c:pt idx="56">
                  <c:v>10.561256703519332</c:v>
                </c:pt>
                <c:pt idx="57">
                  <c:v>8.8480444655200134</c:v>
                </c:pt>
                <c:pt idx="58">
                  <c:v>9.5825345559524475</c:v>
                </c:pt>
                <c:pt idx="59">
                  <c:v>10.477488310139508</c:v>
                </c:pt>
                <c:pt idx="60">
                  <c:v>10.892510850197096</c:v>
                </c:pt>
                <c:pt idx="61">
                  <c:v>11.161969302706314</c:v>
                </c:pt>
                <c:pt idx="62">
                  <c:v>8.2306081812381748</c:v>
                </c:pt>
                <c:pt idx="63">
                  <c:v>8.6004786826040611</c:v>
                </c:pt>
                <c:pt idx="64">
                  <c:v>10.575998431926488</c:v>
                </c:pt>
                <c:pt idx="65">
                  <c:v>13.211300811180092</c:v>
                </c:pt>
                <c:pt idx="66">
                  <c:v>9.1766580627684977</c:v>
                </c:pt>
                <c:pt idx="67">
                  <c:v>9.0023420340100149</c:v>
                </c:pt>
                <c:pt idx="68">
                  <c:v>12.963104326815934</c:v>
                </c:pt>
                <c:pt idx="69">
                  <c:v>13.681884138032189</c:v>
                </c:pt>
                <c:pt idx="70">
                  <c:v>16.949002831941026</c:v>
                </c:pt>
                <c:pt idx="71">
                  <c:v>17.11753747280585</c:v>
                </c:pt>
                <c:pt idx="72">
                  <c:v>18.442227792190579</c:v>
                </c:pt>
                <c:pt idx="73">
                  <c:v>15.637600088394857</c:v>
                </c:pt>
              </c:numCache>
            </c:numRef>
          </c:val>
          <c:smooth val="0"/>
        </c:ser>
        <c:ser>
          <c:idx val="0"/>
          <c:order val="7"/>
          <c:tx>
            <c:strRef>
              <c:f>'Sugar (Adjusted)'!$V$6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'Sugar (Adjusted)'!$V$7:$V$11</c:f>
              <c:numCache>
                <c:formatCode>0.0000</c:formatCode>
                <c:ptCount val="5"/>
              </c:numCache>
            </c:numRef>
          </c:val>
          <c:smooth val="0"/>
        </c:ser>
        <c:ser>
          <c:idx val="1"/>
          <c:order val="8"/>
          <c:tx>
            <c:strRef>
              <c:f>'Sugar (Adjusted)'!$W$6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'Sugar (Adjusted)'!$W$7:$W$107</c:f>
              <c:numCache>
                <c:formatCode>0.0000</c:formatCode>
                <c:ptCount val="92"/>
                <c:pt idx="38">
                  <c:v>34.759036144578317</c:v>
                </c:pt>
                <c:pt idx="39">
                  <c:v>33.375999999999998</c:v>
                </c:pt>
                <c:pt idx="40">
                  <c:v>27.620137299771166</c:v>
                </c:pt>
                <c:pt idx="41">
                  <c:v>28.552447552447553</c:v>
                </c:pt>
                <c:pt idx="42">
                  <c:v>32.971014492753625</c:v>
                </c:pt>
                <c:pt idx="43">
                  <c:v>34.048657718120808</c:v>
                </c:pt>
                <c:pt idx="47">
                  <c:v>32.914117647058823</c:v>
                </c:pt>
                <c:pt idx="48">
                  <c:v>32.292704626334519</c:v>
                </c:pt>
                <c:pt idx="49">
                  <c:v>30.461267605633807</c:v>
                </c:pt>
                <c:pt idx="50">
                  <c:v>20.011997600479884</c:v>
                </c:pt>
                <c:pt idx="51">
                  <c:v>20.101010101010083</c:v>
                </c:pt>
                <c:pt idx="52">
                  <c:v>19.999999999999982</c:v>
                </c:pt>
                <c:pt idx="53">
                  <c:v>20.003617571059412</c:v>
                </c:pt>
                <c:pt idx="54">
                  <c:v>19.999999999999982</c:v>
                </c:pt>
                <c:pt idx="55">
                  <c:v>19.999999999999982</c:v>
                </c:pt>
                <c:pt idx="56">
                  <c:v>19.984381595609943</c:v>
                </c:pt>
                <c:pt idx="57">
                  <c:v>20.015032211882588</c:v>
                </c:pt>
                <c:pt idx="58">
                  <c:v>20.02430724355856</c:v>
                </c:pt>
                <c:pt idx="59">
                  <c:v>14.285586924219897</c:v>
                </c:pt>
                <c:pt idx="60">
                  <c:v>12.466206896551714</c:v>
                </c:pt>
                <c:pt idx="61">
                  <c:v>11.791481069042305</c:v>
                </c:pt>
                <c:pt idx="62">
                  <c:v>11.030940294899676</c:v>
                </c:pt>
                <c:pt idx="63">
                  <c:v>11.457943925233634</c:v>
                </c:pt>
                <c:pt idx="64">
                  <c:v>11.260264900662241</c:v>
                </c:pt>
                <c:pt idx="65">
                  <c:v>11.795501627700492</c:v>
                </c:pt>
                <c:pt idx="66">
                  <c:v>11.961949763740353</c:v>
                </c:pt>
                <c:pt idx="67">
                  <c:v>14.016312056737576</c:v>
                </c:pt>
                <c:pt idx="68">
                  <c:v>14.169767441860454</c:v>
                </c:pt>
                <c:pt idx="69">
                  <c:v>14.243548387096761</c:v>
                </c:pt>
                <c:pt idx="70">
                  <c:v>14.716235632183894</c:v>
                </c:pt>
                <c:pt idx="71">
                  <c:v>13.928595132743363</c:v>
                </c:pt>
                <c:pt idx="72">
                  <c:v>14.211078717201167</c:v>
                </c:pt>
                <c:pt idx="73">
                  <c:v>14.776032388663968</c:v>
                </c:pt>
              </c:numCache>
            </c:numRef>
          </c:val>
          <c:smooth val="0"/>
        </c:ser>
        <c:ser>
          <c:idx val="3"/>
          <c:order val="9"/>
          <c:tx>
            <c:strRef>
              <c:f>'Sugar (Adjusted)'!$M$6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'Sugar (Adjusted)'!$M$7:$M$107</c:f>
              <c:numCache>
                <c:formatCode>0.0000</c:formatCode>
                <c:ptCount val="92"/>
                <c:pt idx="34">
                  <c:v>37.054028302219706</c:v>
                </c:pt>
                <c:pt idx="35">
                  <c:v>39.671975954007038</c:v>
                </c:pt>
                <c:pt idx="36">
                  <c:v>49.011763596539296</c:v>
                </c:pt>
                <c:pt idx="37">
                  <c:v>45.808364517921824</c:v>
                </c:pt>
                <c:pt idx="39">
                  <c:v>33.003453266713215</c:v>
                </c:pt>
                <c:pt idx="40">
                  <c:v>35.132708316178594</c:v>
                </c:pt>
                <c:pt idx="41">
                  <c:v>36.596571162686082</c:v>
                </c:pt>
                <c:pt idx="42">
                  <c:v>31.038135426672419</c:v>
                </c:pt>
                <c:pt idx="43">
                  <c:v>33.09734477166208</c:v>
                </c:pt>
                <c:pt idx="44">
                  <c:v>26.155784683919741</c:v>
                </c:pt>
                <c:pt idx="45">
                  <c:v>32.000000000000028</c:v>
                </c:pt>
                <c:pt idx="46">
                  <c:v>20.57142857142858</c:v>
                </c:pt>
                <c:pt idx="47">
                  <c:v>24.107142857142914</c:v>
                </c:pt>
                <c:pt idx="48">
                  <c:v>21.739130434782609</c:v>
                </c:pt>
                <c:pt idx="49">
                  <c:v>20.000000000000004</c:v>
                </c:pt>
                <c:pt idx="50">
                  <c:v>20.000000000000004</c:v>
                </c:pt>
                <c:pt idx="51">
                  <c:v>20.128205128205128</c:v>
                </c:pt>
                <c:pt idx="52">
                  <c:v>20.370370370370363</c:v>
                </c:pt>
                <c:pt idx="53">
                  <c:v>17.999999999999986</c:v>
                </c:pt>
                <c:pt idx="54">
                  <c:v>15.999999999999993</c:v>
                </c:pt>
                <c:pt idx="55">
                  <c:v>15.319148936170217</c:v>
                </c:pt>
                <c:pt idx="56">
                  <c:v>15.888888888888893</c:v>
                </c:pt>
                <c:pt idx="57">
                  <c:v>14.078310602727683</c:v>
                </c:pt>
                <c:pt idx="58">
                  <c:v>15.999999999999993</c:v>
                </c:pt>
                <c:pt idx="59">
                  <c:v>14.999999999999996</c:v>
                </c:pt>
                <c:pt idx="60">
                  <c:v>13.744053282588004</c:v>
                </c:pt>
                <c:pt idx="61">
                  <c:v>14.300960512273209</c:v>
                </c:pt>
                <c:pt idx="62">
                  <c:v>11.34751773049646</c:v>
                </c:pt>
                <c:pt idx="63">
                  <c:v>12.56118383608424</c:v>
                </c:pt>
                <c:pt idx="64">
                  <c:v>15.063636363636359</c:v>
                </c:pt>
                <c:pt idx="65">
                  <c:v>17.653333333333332</c:v>
                </c:pt>
                <c:pt idx="66">
                  <c:v>15.389162561576363</c:v>
                </c:pt>
                <c:pt idx="67">
                  <c:v>16.357889618283494</c:v>
                </c:pt>
                <c:pt idx="68">
                  <c:v>20.372708145476402</c:v>
                </c:pt>
                <c:pt idx="69">
                  <c:v>18.733627562642361</c:v>
                </c:pt>
                <c:pt idx="70">
                  <c:v>20.372844827586206</c:v>
                </c:pt>
                <c:pt idx="71">
                  <c:v>18.280545899317634</c:v>
                </c:pt>
                <c:pt idx="72">
                  <c:v>18.666666666666657</c:v>
                </c:pt>
                <c:pt idx="73">
                  <c:v>16.330945986272759</c:v>
                </c:pt>
              </c:numCache>
            </c:numRef>
          </c:val>
          <c:smooth val="0"/>
        </c:ser>
        <c:ser>
          <c:idx val="6"/>
          <c:order val="10"/>
          <c:tx>
            <c:strRef>
              <c:f>'Sugar (Adjusted)'!$O$6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'Sugar (Adjusted)'!$O$7:$O$107</c:f>
              <c:numCache>
                <c:formatCode>0.0000</c:formatCode>
                <c:ptCount val="92"/>
                <c:pt idx="42">
                  <c:v>40.641999999999996</c:v>
                </c:pt>
                <c:pt idx="50">
                  <c:v>23.534469200524249</c:v>
                </c:pt>
                <c:pt idx="51">
                  <c:v>24.070588235294117</c:v>
                </c:pt>
                <c:pt idx="52">
                  <c:v>24</c:v>
                </c:pt>
                <c:pt idx="53">
                  <c:v>21.333333333333332</c:v>
                </c:pt>
                <c:pt idx="54">
                  <c:v>17.054263565891471</c:v>
                </c:pt>
                <c:pt idx="58">
                  <c:v>16.8</c:v>
                </c:pt>
                <c:pt idx="62">
                  <c:v>18.669778296382731</c:v>
                </c:pt>
                <c:pt idx="63">
                  <c:v>14.285714285714286</c:v>
                </c:pt>
                <c:pt idx="64">
                  <c:v>18.050541516245488</c:v>
                </c:pt>
                <c:pt idx="65">
                  <c:v>13.2</c:v>
                </c:pt>
                <c:pt idx="66">
                  <c:v>13.461538461538462</c:v>
                </c:pt>
                <c:pt idx="68">
                  <c:v>18.333333333333332</c:v>
                </c:pt>
                <c:pt idx="69">
                  <c:v>22.3</c:v>
                </c:pt>
                <c:pt idx="70">
                  <c:v>19.375</c:v>
                </c:pt>
                <c:pt idx="71">
                  <c:v>19.204545454545453</c:v>
                </c:pt>
              </c:numCache>
            </c:numRef>
          </c:val>
          <c:smooth val="0"/>
        </c:ser>
        <c:ser>
          <c:idx val="8"/>
          <c:order val="11"/>
          <c:tx>
            <c:strRef>
              <c:f>'Sugar (Adjusted)'!$P$6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'Sugar (Adjusted)'!$P$7:$P$107</c:f>
              <c:numCache>
                <c:formatCode>0.0000</c:formatCode>
                <c:ptCount val="92"/>
                <c:pt idx="31">
                  <c:v>42.3229166666666</c:v>
                </c:pt>
                <c:pt idx="32">
                  <c:v>40.1145833333334</c:v>
                </c:pt>
                <c:pt idx="33">
                  <c:v>36.3333333333334</c:v>
                </c:pt>
                <c:pt idx="36">
                  <c:v>39.599734975446253</c:v>
                </c:pt>
                <c:pt idx="40">
                  <c:v>35.2770071869028</c:v>
                </c:pt>
                <c:pt idx="54">
                  <c:v>14.631092886756001</c:v>
                </c:pt>
                <c:pt idx="55">
                  <c:v>13.445378151260506</c:v>
                </c:pt>
                <c:pt idx="56">
                  <c:v>13.088529358298491</c:v>
                </c:pt>
                <c:pt idx="57">
                  <c:v>13</c:v>
                </c:pt>
                <c:pt idx="58">
                  <c:v>13</c:v>
                </c:pt>
                <c:pt idx="59">
                  <c:v>12.891891891891891</c:v>
                </c:pt>
                <c:pt idx="60">
                  <c:v>12</c:v>
                </c:pt>
                <c:pt idx="61">
                  <c:v>12.147651006711408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'Sugar (Adjusted)'!$R$6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'Sugar (Adjusted)'!$R$7:$R$107</c:f>
              <c:numCache>
                <c:formatCode>0.0000</c:formatCode>
                <c:ptCount val="92"/>
                <c:pt idx="45">
                  <c:v>24.972678448330424</c:v>
                </c:pt>
                <c:pt idx="47">
                  <c:v>21.189297552029366</c:v>
                </c:pt>
                <c:pt idx="59">
                  <c:v>12.263295371434541</c:v>
                </c:pt>
                <c:pt idx="61">
                  <c:v>9.2203443719137184</c:v>
                </c:pt>
                <c:pt idx="63">
                  <c:v>10.668928419971877</c:v>
                </c:pt>
                <c:pt idx="64">
                  <c:v>16.397714743910996</c:v>
                </c:pt>
                <c:pt idx="67">
                  <c:v>15.765576389472798</c:v>
                </c:pt>
                <c:pt idx="70">
                  <c:v>16.087092188745999</c:v>
                </c:pt>
                <c:pt idx="71">
                  <c:v>16.571092897703434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'Sugar (Adjusted)'!$S$6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'Sugar (Adjusted)'!$S$7:$S$107</c:f>
              <c:numCache>
                <c:formatCode>0.0000</c:formatCode>
                <c:ptCount val="92"/>
                <c:pt idx="67">
                  <c:v>21.691176470588236</c:v>
                </c:pt>
                <c:pt idx="70">
                  <c:v>27.545233594382932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097296"/>
        <c:axId val="622102896"/>
      </c:lineChart>
      <c:catAx>
        <c:axId val="62209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102896"/>
        <c:crosses val="autoZero"/>
        <c:auto val="1"/>
        <c:lblAlgn val="ctr"/>
        <c:lblOffset val="100"/>
        <c:noMultiLvlLbl val="0"/>
      </c:catAx>
      <c:valAx>
        <c:axId val="6221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9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Sugar, UK, Mediterranean Sea, Caspian Sea and Persian Gulf, in pound/ton </a:t>
            </a:r>
            <a:endParaRPr lang="en-US" sz="11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806045795999641E-2"/>
          <c:y val="9.8121693121693124E-2"/>
          <c:w val="0.63539566140380133"/>
          <c:h val="0.82131421072365951"/>
        </c:manualLayout>
      </c:layout>
      <c:lineChart>
        <c:grouping val="standard"/>
        <c:varyColors val="0"/>
        <c:ser>
          <c:idx val="2"/>
          <c:order val="0"/>
          <c:tx>
            <c:strRef>
              <c:f>'Sugar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'Sugar (Adjusted)'!$R$6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(Adjusted)'!$R$7:$R$107</c:f>
              <c:numCache>
                <c:formatCode>0.0000</c:formatCode>
                <c:ptCount val="92"/>
                <c:pt idx="45">
                  <c:v>24.972678448330424</c:v>
                </c:pt>
                <c:pt idx="47">
                  <c:v>21.189297552029366</c:v>
                </c:pt>
                <c:pt idx="59">
                  <c:v>12.263295371434541</c:v>
                </c:pt>
                <c:pt idx="61">
                  <c:v>9.2203443719137184</c:v>
                </c:pt>
                <c:pt idx="63">
                  <c:v>10.668928419971877</c:v>
                </c:pt>
                <c:pt idx="64">
                  <c:v>16.397714743910996</c:v>
                </c:pt>
                <c:pt idx="67">
                  <c:v>15.765576389472798</c:v>
                </c:pt>
                <c:pt idx="70">
                  <c:v>16.087092188745999</c:v>
                </c:pt>
                <c:pt idx="71">
                  <c:v>16.571092897703434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'Sugar (Adjusted)'!$S$6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(Adjusted)'!$S$7:$S$107</c:f>
              <c:numCache>
                <c:formatCode>0.0000</c:formatCode>
                <c:ptCount val="92"/>
                <c:pt idx="67">
                  <c:v>21.691176470588236</c:v>
                </c:pt>
                <c:pt idx="70">
                  <c:v>27.545233594382932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'Sugar (Adjusted)'!$V$6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(Adjusted)'!$V$7:$V$107</c:f>
              <c:numCache>
                <c:formatCode>0.0000</c:formatCode>
                <c:ptCount val="92"/>
                <c:pt idx="24">
                  <c:v>42</c:v>
                </c:pt>
                <c:pt idx="25">
                  <c:v>40</c:v>
                </c:pt>
                <c:pt idx="26">
                  <c:v>40</c:v>
                </c:pt>
                <c:pt idx="28">
                  <c:v>40</c:v>
                </c:pt>
                <c:pt idx="29">
                  <c:v>48</c:v>
                </c:pt>
                <c:pt idx="31">
                  <c:v>56</c:v>
                </c:pt>
                <c:pt idx="32">
                  <c:v>48</c:v>
                </c:pt>
                <c:pt idx="34">
                  <c:v>43</c:v>
                </c:pt>
                <c:pt idx="35">
                  <c:v>37</c:v>
                </c:pt>
                <c:pt idx="36">
                  <c:v>50</c:v>
                </c:pt>
                <c:pt idx="42">
                  <c:v>31.333333333333336</c:v>
                </c:pt>
                <c:pt idx="43">
                  <c:v>31.000000000000004</c:v>
                </c:pt>
                <c:pt idx="44">
                  <c:v>19.733333333333331</c:v>
                </c:pt>
                <c:pt idx="45">
                  <c:v>18.000000000000004</c:v>
                </c:pt>
                <c:pt idx="46">
                  <c:v>24.242424242424242</c:v>
                </c:pt>
                <c:pt idx="48">
                  <c:v>34.666616907996215</c:v>
                </c:pt>
                <c:pt idx="49">
                  <c:v>34.666143062844355</c:v>
                </c:pt>
                <c:pt idx="50">
                  <c:v>34.666666666666671</c:v>
                </c:pt>
                <c:pt idx="51">
                  <c:v>34.666610971292513</c:v>
                </c:pt>
                <c:pt idx="52">
                  <c:v>34.666167859835276</c:v>
                </c:pt>
                <c:pt idx="54">
                  <c:v>23.999918709100516</c:v>
                </c:pt>
                <c:pt idx="65">
                  <c:v>16.22762105263158</c:v>
                </c:pt>
                <c:pt idx="66">
                  <c:v>13.649410902875282</c:v>
                </c:pt>
                <c:pt idx="67">
                  <c:v>14.410941560605051</c:v>
                </c:pt>
                <c:pt idx="68">
                  <c:v>14.933459963198196</c:v>
                </c:pt>
                <c:pt idx="70">
                  <c:v>17.297409541608264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'Sugar (Adjusted)'!$W$6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(Adjusted)'!$W$7:$W$107</c:f>
              <c:numCache>
                <c:formatCode>0.0000</c:formatCode>
                <c:ptCount val="92"/>
                <c:pt idx="38">
                  <c:v>34.759036144578317</c:v>
                </c:pt>
                <c:pt idx="39">
                  <c:v>33.375999999999998</c:v>
                </c:pt>
                <c:pt idx="40">
                  <c:v>27.620137299771166</c:v>
                </c:pt>
                <c:pt idx="41">
                  <c:v>28.552447552447553</c:v>
                </c:pt>
                <c:pt idx="42">
                  <c:v>32.971014492753625</c:v>
                </c:pt>
                <c:pt idx="43">
                  <c:v>34.048657718120808</c:v>
                </c:pt>
                <c:pt idx="47">
                  <c:v>32.914117647058823</c:v>
                </c:pt>
                <c:pt idx="48">
                  <c:v>32.292704626334519</c:v>
                </c:pt>
                <c:pt idx="49">
                  <c:v>30.461267605633807</c:v>
                </c:pt>
                <c:pt idx="50">
                  <c:v>20.011997600479884</c:v>
                </c:pt>
                <c:pt idx="51">
                  <c:v>20.101010101010083</c:v>
                </c:pt>
                <c:pt idx="52">
                  <c:v>19.999999999999982</c:v>
                </c:pt>
                <c:pt idx="53">
                  <c:v>20.003617571059412</c:v>
                </c:pt>
                <c:pt idx="54">
                  <c:v>19.999999999999982</c:v>
                </c:pt>
                <c:pt idx="55">
                  <c:v>19.999999999999982</c:v>
                </c:pt>
                <c:pt idx="56">
                  <c:v>19.984381595609943</c:v>
                </c:pt>
                <c:pt idx="57">
                  <c:v>20.015032211882588</c:v>
                </c:pt>
                <c:pt idx="58">
                  <c:v>20.02430724355856</c:v>
                </c:pt>
                <c:pt idx="59">
                  <c:v>14.285586924219897</c:v>
                </c:pt>
                <c:pt idx="60">
                  <c:v>12.466206896551714</c:v>
                </c:pt>
                <c:pt idx="61">
                  <c:v>11.791481069042305</c:v>
                </c:pt>
                <c:pt idx="62">
                  <c:v>11.030940294899676</c:v>
                </c:pt>
                <c:pt idx="63">
                  <c:v>11.457943925233634</c:v>
                </c:pt>
                <c:pt idx="64">
                  <c:v>11.260264900662241</c:v>
                </c:pt>
                <c:pt idx="65">
                  <c:v>11.795501627700492</c:v>
                </c:pt>
                <c:pt idx="66">
                  <c:v>11.961949763740353</c:v>
                </c:pt>
                <c:pt idx="67">
                  <c:v>14.016312056737576</c:v>
                </c:pt>
                <c:pt idx="68">
                  <c:v>14.169767441860454</c:v>
                </c:pt>
                <c:pt idx="69">
                  <c:v>14.243548387096761</c:v>
                </c:pt>
                <c:pt idx="70">
                  <c:v>14.716235632183894</c:v>
                </c:pt>
                <c:pt idx="71">
                  <c:v>13.928595132743363</c:v>
                </c:pt>
                <c:pt idx="72">
                  <c:v>14.211078717201167</c:v>
                </c:pt>
                <c:pt idx="73">
                  <c:v>14.776032388663968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'Sugar (Adjusted)'!$X$6</c:f>
              <c:strCache>
                <c:ptCount val="1"/>
                <c:pt idx="0">
                  <c:v>Ispahan &amp; Yezd,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(Adjusted)'!$X$7:$X$107</c:f>
              <c:numCache>
                <c:formatCode>0.0000</c:formatCode>
                <c:ptCount val="92"/>
                <c:pt idx="65">
                  <c:v>27.926692432364991</c:v>
                </c:pt>
                <c:pt idx="66">
                  <c:v>28.242074927953823</c:v>
                </c:pt>
                <c:pt idx="70">
                  <c:v>37.663551401869199</c:v>
                </c:pt>
                <c:pt idx="71">
                  <c:v>37.392303273980396</c:v>
                </c:pt>
                <c:pt idx="72">
                  <c:v>41.726423425517154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'Sugar (Adjusted)'!$Z$6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(Adjusted)'!$Z$7:$Z$107</c:f>
              <c:numCache>
                <c:formatCode>0.0000</c:formatCode>
                <c:ptCount val="92"/>
                <c:pt idx="62">
                  <c:v>20.836937405850698</c:v>
                </c:pt>
                <c:pt idx="63">
                  <c:v>19.498457388830381</c:v>
                </c:pt>
                <c:pt idx="64">
                  <c:v>20.907706534800401</c:v>
                </c:pt>
                <c:pt idx="65">
                  <c:v>29.250835850956609</c:v>
                </c:pt>
                <c:pt idx="66">
                  <c:v>27.802321295322336</c:v>
                </c:pt>
                <c:pt idx="67">
                  <c:v>22.345732411308074</c:v>
                </c:pt>
                <c:pt idx="68">
                  <c:v>21.187151890563143</c:v>
                </c:pt>
                <c:pt idx="69">
                  <c:v>26.689145872889696</c:v>
                </c:pt>
                <c:pt idx="70">
                  <c:v>32.196726834741952</c:v>
                </c:pt>
                <c:pt idx="71">
                  <c:v>30.013164766392638</c:v>
                </c:pt>
                <c:pt idx="72">
                  <c:v>32.899508168128449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'Sugar (Adjusted)'!$AA$6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(Adjusted)'!$AA$7:$AA$107</c:f>
              <c:numCache>
                <c:formatCode>0.0000</c:formatCode>
                <c:ptCount val="92"/>
                <c:pt idx="62">
                  <c:v>20.131020675964397</c:v>
                </c:pt>
                <c:pt idx="63">
                  <c:v>28.299390608915104</c:v>
                </c:pt>
                <c:pt idx="64">
                  <c:v>27.917217508352703</c:v>
                </c:pt>
                <c:pt idx="65">
                  <c:v>31.130681870487361</c:v>
                </c:pt>
                <c:pt idx="66">
                  <c:v>32.778850635946014</c:v>
                </c:pt>
                <c:pt idx="67">
                  <c:v>24.763510503409666</c:v>
                </c:pt>
                <c:pt idx="68">
                  <c:v>25.858237134534559</c:v>
                </c:pt>
                <c:pt idx="69">
                  <c:v>34.7588944522848</c:v>
                </c:pt>
                <c:pt idx="70">
                  <c:v>32.640443106252128</c:v>
                </c:pt>
                <c:pt idx="71">
                  <c:v>29.662252640976032</c:v>
                </c:pt>
                <c:pt idx="72">
                  <c:v>34.461538461538495</c:v>
                </c:pt>
              </c:numCache>
            </c:numRef>
          </c:val>
          <c:smooth val="0"/>
        </c:ser>
        <c:ser>
          <c:idx val="12"/>
          <c:order val="8"/>
          <c:tx>
            <c:strRef>
              <c:f>'Sugar (Adjusted)'!$AC$6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(Adjusted)'!$AC$7:$AC$107</c:f>
              <c:numCache>
                <c:formatCode>0.0000</c:formatCode>
                <c:ptCount val="92"/>
                <c:pt idx="60">
                  <c:v>24.600052261951603</c:v>
                </c:pt>
                <c:pt idx="61">
                  <c:v>25.4872505852898</c:v>
                </c:pt>
                <c:pt idx="62">
                  <c:v>20.848959578390598</c:v>
                </c:pt>
                <c:pt idx="63">
                  <c:v>21.810953482671799</c:v>
                </c:pt>
                <c:pt idx="64">
                  <c:v>21.5280808459474</c:v>
                </c:pt>
                <c:pt idx="65">
                  <c:v>26.441927609591602</c:v>
                </c:pt>
                <c:pt idx="67">
                  <c:v>30.821256038647398</c:v>
                </c:pt>
                <c:pt idx="68">
                  <c:v>26.297376093294396</c:v>
                </c:pt>
                <c:pt idx="69">
                  <c:v>29.798206278027003</c:v>
                </c:pt>
                <c:pt idx="70">
                  <c:v>31.414201183431999</c:v>
                </c:pt>
                <c:pt idx="71">
                  <c:v>31.2274527056754</c:v>
                </c:pt>
                <c:pt idx="72">
                  <c:v>37.638724911452201</c:v>
                </c:pt>
              </c:numCache>
            </c:numRef>
          </c:val>
          <c:smooth val="0"/>
        </c:ser>
        <c:ser>
          <c:idx val="13"/>
          <c:order val="9"/>
          <c:tx>
            <c:strRef>
              <c:f>'Sugar (Adjusted)'!$AE$6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(Adjusted)'!$AE$7:$AE$107</c:f>
              <c:numCache>
                <c:formatCode>0.0000</c:formatCode>
                <c:ptCount val="92"/>
                <c:pt idx="54">
                  <c:v>24.123076923076994</c:v>
                </c:pt>
                <c:pt idx="67">
                  <c:v>38.289066666666592</c:v>
                </c:pt>
                <c:pt idx="68">
                  <c:v>36.758974358974335</c:v>
                </c:pt>
                <c:pt idx="70">
                  <c:v>46.644381538461509</c:v>
                </c:pt>
                <c:pt idx="71">
                  <c:v>28</c:v>
                </c:pt>
                <c:pt idx="72">
                  <c:v>37.333333333333414</c:v>
                </c:pt>
              </c:numCache>
            </c:numRef>
          </c:val>
          <c:smooth val="0"/>
        </c:ser>
        <c:ser>
          <c:idx val="14"/>
          <c:order val="10"/>
          <c:tx>
            <c:strRef>
              <c:f>'Sugar (Adjusted)'!$AF$6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(Adjusted)'!$AF$7:$AF$107</c:f>
              <c:numCache>
                <c:formatCode>0.0000</c:formatCode>
                <c:ptCount val="92"/>
                <c:pt idx="70">
                  <c:v>33.608402100525055</c:v>
                </c:pt>
                <c:pt idx="71">
                  <c:v>33.608402100525055</c:v>
                </c:pt>
              </c:numCache>
            </c:numRef>
          </c:val>
          <c:smooth val="0"/>
        </c:ser>
        <c:ser>
          <c:idx val="15"/>
          <c:order val="11"/>
          <c:tx>
            <c:strRef>
              <c:f>'Sugar (Adjusted)'!$AG$6</c:f>
              <c:strCache>
                <c:ptCount val="1"/>
                <c:pt idx="0">
                  <c:v>Resht &amp; Mazandaran &amp; Ghilan &amp; Tunekabun,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(Adjusted)'!$AG$7:$AG$107</c:f>
              <c:numCache>
                <c:formatCode>0.0000</c:formatCode>
                <c:ptCount val="92"/>
                <c:pt idx="51">
                  <c:v>22.490589293358592</c:v>
                </c:pt>
                <c:pt idx="52">
                  <c:v>31.912078346028387</c:v>
                </c:pt>
                <c:pt idx="53">
                  <c:v>31.111111111111136</c:v>
                </c:pt>
                <c:pt idx="54">
                  <c:v>31.551580029635009</c:v>
                </c:pt>
                <c:pt idx="55">
                  <c:v>18.894424631991885</c:v>
                </c:pt>
                <c:pt idx="62">
                  <c:v>13.342630737451412</c:v>
                </c:pt>
                <c:pt idx="66">
                  <c:v>22.134768352429631</c:v>
                </c:pt>
                <c:pt idx="67">
                  <c:v>17.646754186083975</c:v>
                </c:pt>
                <c:pt idx="68">
                  <c:v>17.493504314222854</c:v>
                </c:pt>
                <c:pt idx="69">
                  <c:v>20.484021371717937</c:v>
                </c:pt>
                <c:pt idx="70">
                  <c:v>24.068590502027682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'Sugar (Adjusted)'!$AH$6</c:f>
              <c:strCache>
                <c:ptCount val="1"/>
                <c:pt idx="0">
                  <c:v>Bender Gez &amp; Astarabad &amp; Astara,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317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(Adjusted)'!$AH$7:$AH$107</c:f>
              <c:numCache>
                <c:formatCode>0.0000</c:formatCode>
                <c:ptCount val="92"/>
                <c:pt idx="52">
                  <c:v>24.577777777777726</c:v>
                </c:pt>
                <c:pt idx="66">
                  <c:v>23.084409223799838</c:v>
                </c:pt>
                <c:pt idx="67">
                  <c:v>17.073092010429818</c:v>
                </c:pt>
                <c:pt idx="68">
                  <c:v>18.176588270785125</c:v>
                </c:pt>
                <c:pt idx="69">
                  <c:v>21.491382526509035</c:v>
                </c:pt>
                <c:pt idx="70">
                  <c:v>25.059070857152641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'Sugar (Adjusted)'!$AI$6</c:f>
              <c:strCache>
                <c:ptCount val="1"/>
                <c:pt idx="0">
                  <c:v>Bender Gez &amp; Astarabad &amp; Astara,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317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(Adjusted)'!$AI$7:$AI$107</c:f>
              <c:numCache>
                <c:formatCode>0.0000</c:formatCode>
                <c:ptCount val="92"/>
                <c:pt idx="66">
                  <c:v>23.048340657675425</c:v>
                </c:pt>
                <c:pt idx="67">
                  <c:v>22.238964249699098</c:v>
                </c:pt>
                <c:pt idx="68">
                  <c:v>23.442050787741039</c:v>
                </c:pt>
                <c:pt idx="69">
                  <c:v>24.178904057706497</c:v>
                </c:pt>
                <c:pt idx="70">
                  <c:v>33.287311381269568</c:v>
                </c:pt>
              </c:numCache>
            </c:numRef>
          </c:val>
          <c:smooth val="0"/>
        </c:ser>
        <c:ser>
          <c:idx val="18"/>
          <c:order val="14"/>
          <c:tx>
            <c:strRef>
              <c:f>'Sugar (Adjusted)'!$AJ$6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317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(Adjusted)'!$AJ$7:$AJ$107</c:f>
              <c:numCache>
                <c:formatCode>0.0000</c:formatCode>
                <c:ptCount val="92"/>
                <c:pt idx="51">
                  <c:v>22.857142857142797</c:v>
                </c:pt>
                <c:pt idx="52">
                  <c:v>22.501650165016599</c:v>
                </c:pt>
                <c:pt idx="53">
                  <c:v>22.1533333333334</c:v>
                </c:pt>
                <c:pt idx="54">
                  <c:v>19.027692307692302</c:v>
                </c:pt>
                <c:pt idx="55">
                  <c:v>17.3201133144476</c:v>
                </c:pt>
                <c:pt idx="56">
                  <c:v>16.088311688311681</c:v>
                </c:pt>
                <c:pt idx="57">
                  <c:v>18.126829268292678</c:v>
                </c:pt>
                <c:pt idx="58">
                  <c:v>14.321649484536081</c:v>
                </c:pt>
                <c:pt idx="59">
                  <c:v>16.67885318452954</c:v>
                </c:pt>
                <c:pt idx="60">
                  <c:v>14.834548513740879</c:v>
                </c:pt>
                <c:pt idx="61">
                  <c:v>13.81330685203574</c:v>
                </c:pt>
                <c:pt idx="62">
                  <c:v>13.887640449438202</c:v>
                </c:pt>
                <c:pt idx="63">
                  <c:v>14.117296370817501</c:v>
                </c:pt>
                <c:pt idx="64">
                  <c:v>16.030869442084398</c:v>
                </c:pt>
                <c:pt idx="65">
                  <c:v>16.981732794640699</c:v>
                </c:pt>
                <c:pt idx="66">
                  <c:v>14.69217138155814</c:v>
                </c:pt>
                <c:pt idx="67">
                  <c:v>16.001638605546681</c:v>
                </c:pt>
                <c:pt idx="68">
                  <c:v>15.94446895496926</c:v>
                </c:pt>
                <c:pt idx="69">
                  <c:v>17.333333333333339</c:v>
                </c:pt>
                <c:pt idx="70">
                  <c:v>28.4355198572066</c:v>
                </c:pt>
                <c:pt idx="71">
                  <c:v>15.002478929102621</c:v>
                </c:pt>
                <c:pt idx="72">
                  <c:v>14.999456816947321</c:v>
                </c:pt>
                <c:pt idx="73">
                  <c:v>14.66694011484824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'Sugar (Adjusted)'!$AK$6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317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(Adjusted)'!$AK$7:$AK$107</c:f>
              <c:numCache>
                <c:formatCode>0.0000</c:formatCode>
                <c:ptCount val="92"/>
                <c:pt idx="48">
                  <c:v>19.466666666666661</c:v>
                </c:pt>
                <c:pt idx="49">
                  <c:v>21.124260355029598</c:v>
                </c:pt>
                <c:pt idx="51">
                  <c:v>22.853333333333403</c:v>
                </c:pt>
                <c:pt idx="52">
                  <c:v>22.5</c:v>
                </c:pt>
                <c:pt idx="54">
                  <c:v>14.324324324324319</c:v>
                </c:pt>
                <c:pt idx="55">
                  <c:v>19.433526011560701</c:v>
                </c:pt>
                <c:pt idx="56">
                  <c:v>17.793560606060602</c:v>
                </c:pt>
                <c:pt idx="57">
                  <c:v>18.88669950738916</c:v>
                </c:pt>
                <c:pt idx="58">
                  <c:v>16.250580046403719</c:v>
                </c:pt>
                <c:pt idx="59">
                  <c:v>19.32584269662922</c:v>
                </c:pt>
                <c:pt idx="60">
                  <c:v>18.666666666666661</c:v>
                </c:pt>
                <c:pt idx="61">
                  <c:v>18.791858174655282</c:v>
                </c:pt>
                <c:pt idx="62">
                  <c:v>16.666666666666661</c:v>
                </c:pt>
                <c:pt idx="63">
                  <c:v>13.77269670477472</c:v>
                </c:pt>
                <c:pt idx="64">
                  <c:v>16.004264392324099</c:v>
                </c:pt>
                <c:pt idx="65">
                  <c:v>17.333333333333339</c:v>
                </c:pt>
                <c:pt idx="66">
                  <c:v>15.0003992015968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'Sugar (Adjusted)'!$AL$6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317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(Adjusted)'!$AL$7:$AL$107</c:f>
              <c:numCache>
                <c:formatCode>0.0000</c:formatCode>
                <c:ptCount val="92"/>
                <c:pt idx="34">
                  <c:v>22.986732186732198</c:v>
                </c:pt>
                <c:pt idx="35">
                  <c:v>22.0197126386836</c:v>
                </c:pt>
                <c:pt idx="36">
                  <c:v>22.9261036459874</c:v>
                </c:pt>
                <c:pt idx="37">
                  <c:v>23.3433151456464</c:v>
                </c:pt>
                <c:pt idx="38">
                  <c:v>20.350086075970403</c:v>
                </c:pt>
                <c:pt idx="39">
                  <c:v>23.9397305825728</c:v>
                </c:pt>
                <c:pt idx="40">
                  <c:v>23.940859862952003</c:v>
                </c:pt>
                <c:pt idx="41">
                  <c:v>24.458281547509802</c:v>
                </c:pt>
                <c:pt idx="42">
                  <c:v>23.245668362716199</c:v>
                </c:pt>
                <c:pt idx="43">
                  <c:v>22.868076754347801</c:v>
                </c:pt>
                <c:pt idx="44">
                  <c:v>22.866624663248398</c:v>
                </c:pt>
                <c:pt idx="45">
                  <c:v>15.41047169269638</c:v>
                </c:pt>
                <c:pt idx="46">
                  <c:v>15.01513384446406</c:v>
                </c:pt>
                <c:pt idx="47">
                  <c:v>14.55498012284874</c:v>
                </c:pt>
                <c:pt idx="48">
                  <c:v>14.045710192012439</c:v>
                </c:pt>
                <c:pt idx="49">
                  <c:v>14.294834535347182</c:v>
                </c:pt>
                <c:pt idx="50">
                  <c:v>19.957042809412059</c:v>
                </c:pt>
                <c:pt idx="51">
                  <c:v>15.835951917784721</c:v>
                </c:pt>
                <c:pt idx="52">
                  <c:v>17.143363353176099</c:v>
                </c:pt>
                <c:pt idx="53">
                  <c:v>13.116652058688661</c:v>
                </c:pt>
                <c:pt idx="54">
                  <c:v>12.91176159031224</c:v>
                </c:pt>
                <c:pt idx="55">
                  <c:v>13.465901190579642</c:v>
                </c:pt>
                <c:pt idx="56">
                  <c:v>13.917587603680841</c:v>
                </c:pt>
                <c:pt idx="57">
                  <c:v>13.07208709915704</c:v>
                </c:pt>
                <c:pt idx="58">
                  <c:v>12.167302752913681</c:v>
                </c:pt>
                <c:pt idx="59">
                  <c:v>12.315688797217641</c:v>
                </c:pt>
                <c:pt idx="60">
                  <c:v>11.350045860687722</c:v>
                </c:pt>
                <c:pt idx="61">
                  <c:v>10.277340287191381</c:v>
                </c:pt>
                <c:pt idx="62">
                  <c:v>9.2271240784219195</c:v>
                </c:pt>
                <c:pt idx="63">
                  <c:v>10.148226616301418</c:v>
                </c:pt>
                <c:pt idx="64">
                  <c:v>16.996465692983978</c:v>
                </c:pt>
                <c:pt idx="65">
                  <c:v>18</c:v>
                </c:pt>
                <c:pt idx="66">
                  <c:v>13.333023255813961</c:v>
                </c:pt>
                <c:pt idx="67">
                  <c:v>10.928431372549019</c:v>
                </c:pt>
                <c:pt idx="68">
                  <c:v>11.64516129032258</c:v>
                </c:pt>
                <c:pt idx="69">
                  <c:v>13.26602952393772</c:v>
                </c:pt>
                <c:pt idx="70">
                  <c:v>14.758822622900301</c:v>
                </c:pt>
                <c:pt idx="71">
                  <c:v>16.99236098774206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'Sugar (Adjusted)'!$AO$6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317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(Adjusted)'!$AO$7:$AO$107</c:f>
              <c:numCache>
                <c:formatCode>0.0000</c:formatCode>
                <c:ptCount val="92"/>
                <c:pt idx="34">
                  <c:v>18.81354568854568</c:v>
                </c:pt>
                <c:pt idx="35">
                  <c:v>22.0197126386836</c:v>
                </c:pt>
                <c:pt idx="36">
                  <c:v>20.4226785352188</c:v>
                </c:pt>
                <c:pt idx="37">
                  <c:v>21.2211955869512</c:v>
                </c:pt>
                <c:pt idx="38">
                  <c:v>20.350086075970403</c:v>
                </c:pt>
                <c:pt idx="39">
                  <c:v>21.826132747354599</c:v>
                </c:pt>
                <c:pt idx="40">
                  <c:v>36.412377559001399</c:v>
                </c:pt>
                <c:pt idx="41">
                  <c:v>36.020378279059997</c:v>
                </c:pt>
                <c:pt idx="42">
                  <c:v>19.987123779728279</c:v>
                </c:pt>
                <c:pt idx="43">
                  <c:v>32.7263581236394</c:v>
                </c:pt>
                <c:pt idx="44">
                  <c:v>15.297532875762021</c:v>
                </c:pt>
                <c:pt idx="45">
                  <c:v>15.0411575562701</c:v>
                </c:pt>
                <c:pt idx="46">
                  <c:v>14.27349229971818</c:v>
                </c:pt>
                <c:pt idx="47">
                  <c:v>13.84096223002976</c:v>
                </c:pt>
                <c:pt idx="48">
                  <c:v>13.279580545175399</c:v>
                </c:pt>
                <c:pt idx="49">
                  <c:v>16.526883222220839</c:v>
                </c:pt>
                <c:pt idx="50">
                  <c:v>16.176019669186861</c:v>
                </c:pt>
                <c:pt idx="51">
                  <c:v>17.446387706033999</c:v>
                </c:pt>
                <c:pt idx="52">
                  <c:v>15.389601360662459</c:v>
                </c:pt>
                <c:pt idx="53">
                  <c:v>15.288939817171322</c:v>
                </c:pt>
                <c:pt idx="54">
                  <c:v>13.444123452805119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'Sugar (Adjusted)'!$AP$6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317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(Adjusted)'!$AP$7:$AP$107</c:f>
              <c:numCache>
                <c:formatCode>0.0000</c:formatCode>
                <c:ptCount val="92"/>
                <c:pt idx="50">
                  <c:v>18.228571428571421</c:v>
                </c:pt>
                <c:pt idx="51">
                  <c:v>14.325102257233759</c:v>
                </c:pt>
                <c:pt idx="52">
                  <c:v>14.29439861050804</c:v>
                </c:pt>
                <c:pt idx="53">
                  <c:v>11.935538022494541</c:v>
                </c:pt>
                <c:pt idx="54">
                  <c:v>11.272585467307941</c:v>
                </c:pt>
                <c:pt idx="55">
                  <c:v>23.785134291068001</c:v>
                </c:pt>
                <c:pt idx="56">
                  <c:v>11.248296538566361</c:v>
                </c:pt>
                <c:pt idx="57">
                  <c:v>14.97058823529412</c:v>
                </c:pt>
                <c:pt idx="58">
                  <c:v>15.302039245863801</c:v>
                </c:pt>
                <c:pt idx="59">
                  <c:v>15.27251007913992</c:v>
                </c:pt>
                <c:pt idx="60">
                  <c:v>16.6805041889954</c:v>
                </c:pt>
                <c:pt idx="61">
                  <c:v>16.88607362526394</c:v>
                </c:pt>
                <c:pt idx="62">
                  <c:v>13.493745113025199</c:v>
                </c:pt>
                <c:pt idx="66">
                  <c:v>15.484409985629778</c:v>
                </c:pt>
                <c:pt idx="67">
                  <c:v>14.812642016112381</c:v>
                </c:pt>
                <c:pt idx="68">
                  <c:v>15.410625941062598</c:v>
                </c:pt>
                <c:pt idx="69">
                  <c:v>17.170607127655458</c:v>
                </c:pt>
                <c:pt idx="70">
                  <c:v>17.068483816013618</c:v>
                </c:pt>
                <c:pt idx="71">
                  <c:v>16.20897043832824</c:v>
                </c:pt>
                <c:pt idx="72">
                  <c:v>18.25722713864306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'Sugar (Adjusted)'!$AQ$6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6">
                  <a:lumMod val="80000"/>
                </a:schemeClr>
              </a:solidFill>
              <a:ln w="317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(Adjusted)'!$AQ$7:$AQ$107</c:f>
              <c:numCache>
                <c:formatCode>0.0000</c:formatCode>
                <c:ptCount val="92"/>
                <c:pt idx="47">
                  <c:v>21.716000000000001</c:v>
                </c:pt>
                <c:pt idx="48">
                  <c:v>18.669201520912541</c:v>
                </c:pt>
                <c:pt idx="49">
                  <c:v>24.616</c:v>
                </c:pt>
                <c:pt idx="50">
                  <c:v>21.537142857142801</c:v>
                </c:pt>
                <c:pt idx="51">
                  <c:v>19.286666666666662</c:v>
                </c:pt>
                <c:pt idx="52">
                  <c:v>21.249523809523797</c:v>
                </c:pt>
                <c:pt idx="53">
                  <c:v>22.154166666666598</c:v>
                </c:pt>
                <c:pt idx="54">
                  <c:v>16.664000000000001</c:v>
                </c:pt>
                <c:pt idx="55">
                  <c:v>14.444999999999999</c:v>
                </c:pt>
                <c:pt idx="56">
                  <c:v>15.29333333333334</c:v>
                </c:pt>
                <c:pt idx="57">
                  <c:v>16.248888888888878</c:v>
                </c:pt>
                <c:pt idx="58">
                  <c:v>15</c:v>
                </c:pt>
                <c:pt idx="59">
                  <c:v>16</c:v>
                </c:pt>
                <c:pt idx="60">
                  <c:v>16</c:v>
                </c:pt>
                <c:pt idx="61">
                  <c:v>13.334399999999999</c:v>
                </c:pt>
                <c:pt idx="66">
                  <c:v>14.46207553157728</c:v>
                </c:pt>
                <c:pt idx="67">
                  <c:v>14.033829604801619</c:v>
                </c:pt>
                <c:pt idx="68">
                  <c:v>14.35338796721966</c:v>
                </c:pt>
                <c:pt idx="69">
                  <c:v>14.869336632132359</c:v>
                </c:pt>
                <c:pt idx="70">
                  <c:v>15.797244094488182</c:v>
                </c:pt>
                <c:pt idx="71">
                  <c:v>16.252181305651263</c:v>
                </c:pt>
                <c:pt idx="72">
                  <c:v>17.048876281911419</c:v>
                </c:pt>
              </c:numCache>
            </c:numRef>
          </c:val>
          <c:smooth val="0"/>
        </c:ser>
        <c:ser>
          <c:idx val="24"/>
          <c:order val="20"/>
          <c:tx>
            <c:strRef>
              <c:f>'Sugar (Adjusted)'!$AR$6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(Adjusted)'!$AR$7:$AR$107</c:f>
              <c:numCache>
                <c:formatCode>General</c:formatCode>
                <c:ptCount val="92"/>
                <c:pt idx="47" formatCode="0.0000">
                  <c:v>22.457952425553799</c:v>
                </c:pt>
                <c:pt idx="48" formatCode="0.0000">
                  <c:v>23.332152713247602</c:v>
                </c:pt>
                <c:pt idx="49" formatCode="0.0000">
                  <c:v>34.579176935341401</c:v>
                </c:pt>
                <c:pt idx="50" formatCode="0.0000">
                  <c:v>23.6199836199836</c:v>
                </c:pt>
                <c:pt idx="51" formatCode="0.0000">
                  <c:v>16.668304668304661</c:v>
                </c:pt>
                <c:pt idx="52" formatCode="0.0000">
                  <c:v>16.87893333333334</c:v>
                </c:pt>
                <c:pt idx="53" formatCode="0.0000">
                  <c:v>16.896000000000001</c:v>
                </c:pt>
                <c:pt idx="54" formatCode="0.0000">
                  <c:v>15.644342857142862</c:v>
                </c:pt>
                <c:pt idx="55" formatCode="0.0000">
                  <c:v>16.666666666666661</c:v>
                </c:pt>
                <c:pt idx="56" formatCode="0.0000">
                  <c:v>12.549333333333339</c:v>
                </c:pt>
                <c:pt idx="57" formatCode="0.0000">
                  <c:v>13.23056389723056</c:v>
                </c:pt>
                <c:pt idx="58" formatCode="0.0000">
                  <c:v>17.606501041102099</c:v>
                </c:pt>
                <c:pt idx="59" formatCode="0.0000">
                  <c:v>22.388266667226404</c:v>
                </c:pt>
                <c:pt idx="60" formatCode="0.0000">
                  <c:v>16.357226792004958</c:v>
                </c:pt>
                <c:pt idx="61" formatCode="0.0000">
                  <c:v>16.426763636363638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090016"/>
        <c:axId val="622081056"/>
      </c:lineChart>
      <c:catAx>
        <c:axId val="62209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81056"/>
        <c:crosses val="autoZero"/>
        <c:auto val="1"/>
        <c:lblAlgn val="ctr"/>
        <c:lblOffset val="100"/>
        <c:noMultiLvlLbl val="0"/>
      </c:catAx>
      <c:valAx>
        <c:axId val="62208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9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87578856592549"/>
          <c:y val="8.2243069539737867E-2"/>
          <c:w val="0.26791122069337292"/>
          <c:h val="0.85348844219893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Sugar, UK, Black Sea, Caspian Sea, Persia and Persian Gulf, in pound/ton </a:t>
            </a:r>
            <a:endParaRPr lang="en-US" sz="11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348892788694668E-2"/>
          <c:y val="9.6437857514300576E-2"/>
          <c:w val="0.65141845813994648"/>
          <c:h val="0.82438058152247351"/>
        </c:manualLayout>
      </c:layout>
      <c:lineChart>
        <c:grouping val="standard"/>
        <c:varyColors val="0"/>
        <c:ser>
          <c:idx val="2"/>
          <c:order val="0"/>
          <c:tx>
            <c:strRef>
              <c:f>'Sugar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'Sugar (Adjusted)'!$AC$6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(Adjusted)'!$AC$7:$AC$107</c:f>
              <c:numCache>
                <c:formatCode>0.0000</c:formatCode>
                <c:ptCount val="92"/>
                <c:pt idx="60">
                  <c:v>24.600052261951603</c:v>
                </c:pt>
                <c:pt idx="61">
                  <c:v>25.4872505852898</c:v>
                </c:pt>
                <c:pt idx="62">
                  <c:v>20.848959578390598</c:v>
                </c:pt>
                <c:pt idx="63">
                  <c:v>21.810953482671799</c:v>
                </c:pt>
                <c:pt idx="64">
                  <c:v>21.5280808459474</c:v>
                </c:pt>
                <c:pt idx="65">
                  <c:v>26.441927609591602</c:v>
                </c:pt>
                <c:pt idx="67">
                  <c:v>30.821256038647398</c:v>
                </c:pt>
                <c:pt idx="68">
                  <c:v>26.297376093294396</c:v>
                </c:pt>
                <c:pt idx="69">
                  <c:v>29.798206278027003</c:v>
                </c:pt>
                <c:pt idx="70">
                  <c:v>31.414201183431999</c:v>
                </c:pt>
                <c:pt idx="71">
                  <c:v>31.2274527056754</c:v>
                </c:pt>
                <c:pt idx="72">
                  <c:v>37.638724911452201</c:v>
                </c:pt>
              </c:numCache>
            </c:numRef>
          </c:val>
          <c:smooth val="0"/>
        </c:ser>
        <c:ser>
          <c:idx val="10"/>
          <c:order val="2"/>
          <c:tx>
            <c:strRef>
              <c:f>'Sugar (Adjusted)'!$AE$6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(Adjusted)'!$AE$7:$AE$107</c:f>
              <c:numCache>
                <c:formatCode>0.0000</c:formatCode>
                <c:ptCount val="92"/>
                <c:pt idx="54">
                  <c:v>24.123076923076994</c:v>
                </c:pt>
                <c:pt idx="67">
                  <c:v>38.289066666666592</c:v>
                </c:pt>
                <c:pt idx="68">
                  <c:v>36.758974358974335</c:v>
                </c:pt>
                <c:pt idx="70">
                  <c:v>46.644381538461509</c:v>
                </c:pt>
                <c:pt idx="71">
                  <c:v>28</c:v>
                </c:pt>
                <c:pt idx="72">
                  <c:v>37.333333333333414</c:v>
                </c:pt>
              </c:numCache>
            </c:numRef>
          </c:val>
          <c:smooth val="0"/>
        </c:ser>
        <c:ser>
          <c:idx val="11"/>
          <c:order val="3"/>
          <c:tx>
            <c:strRef>
              <c:f>'Sugar (Adjusted)'!$AF$6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(Adjusted)'!$AF$7:$AF$107</c:f>
              <c:numCache>
                <c:formatCode>0.0000</c:formatCode>
                <c:ptCount val="92"/>
                <c:pt idx="70">
                  <c:v>33.608402100525055</c:v>
                </c:pt>
                <c:pt idx="71">
                  <c:v>33.608402100525055</c:v>
                </c:pt>
              </c:numCache>
            </c:numRef>
          </c:val>
          <c:smooth val="0"/>
        </c:ser>
        <c:ser>
          <c:idx val="12"/>
          <c:order val="4"/>
          <c:tx>
            <c:strRef>
              <c:f>'Sugar (Adjusted)'!$AG$6</c:f>
              <c:strCache>
                <c:ptCount val="1"/>
                <c:pt idx="0">
                  <c:v>Resht &amp; Mazandaran &amp; Ghilan &amp; Tunekabun,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(Adjusted)'!$AG$7:$AG$107</c:f>
              <c:numCache>
                <c:formatCode>0.0000</c:formatCode>
                <c:ptCount val="92"/>
                <c:pt idx="51">
                  <c:v>22.490589293358592</c:v>
                </c:pt>
                <c:pt idx="52">
                  <c:v>31.912078346028387</c:v>
                </c:pt>
                <c:pt idx="53">
                  <c:v>31.111111111111136</c:v>
                </c:pt>
                <c:pt idx="54">
                  <c:v>31.551580029635009</c:v>
                </c:pt>
                <c:pt idx="55">
                  <c:v>18.894424631991885</c:v>
                </c:pt>
                <c:pt idx="62">
                  <c:v>13.342630737451412</c:v>
                </c:pt>
                <c:pt idx="66">
                  <c:v>22.134768352429631</c:v>
                </c:pt>
                <c:pt idx="67">
                  <c:v>17.646754186083975</c:v>
                </c:pt>
                <c:pt idx="68">
                  <c:v>17.493504314222854</c:v>
                </c:pt>
                <c:pt idx="69">
                  <c:v>20.484021371717937</c:v>
                </c:pt>
                <c:pt idx="70">
                  <c:v>24.068590502027682</c:v>
                </c:pt>
              </c:numCache>
            </c:numRef>
          </c:val>
          <c:smooth val="0"/>
        </c:ser>
        <c:ser>
          <c:idx val="13"/>
          <c:order val="5"/>
          <c:tx>
            <c:strRef>
              <c:f>'Sugar (Adjusted)'!$AH$6</c:f>
              <c:strCache>
                <c:ptCount val="1"/>
                <c:pt idx="0">
                  <c:v>Bender Gez &amp; Astarabad &amp; Astara,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(Adjusted)'!$AH$7:$AH$107</c:f>
              <c:numCache>
                <c:formatCode>0.0000</c:formatCode>
                <c:ptCount val="92"/>
                <c:pt idx="52">
                  <c:v>24.577777777777726</c:v>
                </c:pt>
                <c:pt idx="66">
                  <c:v>23.084409223799838</c:v>
                </c:pt>
                <c:pt idx="67">
                  <c:v>17.073092010429818</c:v>
                </c:pt>
                <c:pt idx="68">
                  <c:v>18.176588270785125</c:v>
                </c:pt>
                <c:pt idx="69">
                  <c:v>21.491382526509035</c:v>
                </c:pt>
                <c:pt idx="70">
                  <c:v>25.059070857152641</c:v>
                </c:pt>
              </c:numCache>
            </c:numRef>
          </c:val>
          <c:smooth val="0"/>
        </c:ser>
        <c:ser>
          <c:idx val="14"/>
          <c:order val="6"/>
          <c:tx>
            <c:strRef>
              <c:f>'Sugar (Adjusted)'!$AI$6</c:f>
              <c:strCache>
                <c:ptCount val="1"/>
                <c:pt idx="0">
                  <c:v>Bender Gez &amp; Astarabad &amp; Astara,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(Adjusted)'!$AI$7:$AI$107</c:f>
              <c:numCache>
                <c:formatCode>0.0000</c:formatCode>
                <c:ptCount val="92"/>
                <c:pt idx="66">
                  <c:v>23.048340657675425</c:v>
                </c:pt>
                <c:pt idx="67">
                  <c:v>22.238964249699098</c:v>
                </c:pt>
                <c:pt idx="68">
                  <c:v>23.442050787741039</c:v>
                </c:pt>
                <c:pt idx="69">
                  <c:v>24.178904057706497</c:v>
                </c:pt>
                <c:pt idx="70">
                  <c:v>33.287311381269568</c:v>
                </c:pt>
              </c:numCache>
            </c:numRef>
          </c:val>
          <c:smooth val="0"/>
        </c:ser>
        <c:ser>
          <c:idx val="15"/>
          <c:order val="7"/>
          <c:tx>
            <c:strRef>
              <c:f>'Sugar (Adjusted)'!$AJ$6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(Adjusted)'!$AJ$7:$AJ$107</c:f>
              <c:numCache>
                <c:formatCode>0.0000</c:formatCode>
                <c:ptCount val="92"/>
                <c:pt idx="51">
                  <c:v>22.857142857142797</c:v>
                </c:pt>
                <c:pt idx="52">
                  <c:v>22.501650165016599</c:v>
                </c:pt>
                <c:pt idx="53">
                  <c:v>22.1533333333334</c:v>
                </c:pt>
                <c:pt idx="54">
                  <c:v>19.027692307692302</c:v>
                </c:pt>
                <c:pt idx="55">
                  <c:v>17.3201133144476</c:v>
                </c:pt>
                <c:pt idx="56">
                  <c:v>16.088311688311681</c:v>
                </c:pt>
                <c:pt idx="57">
                  <c:v>18.126829268292678</c:v>
                </c:pt>
                <c:pt idx="58">
                  <c:v>14.321649484536081</c:v>
                </c:pt>
                <c:pt idx="59">
                  <c:v>16.67885318452954</c:v>
                </c:pt>
                <c:pt idx="60">
                  <c:v>14.834548513740879</c:v>
                </c:pt>
                <c:pt idx="61">
                  <c:v>13.81330685203574</c:v>
                </c:pt>
                <c:pt idx="62">
                  <c:v>13.887640449438202</c:v>
                </c:pt>
                <c:pt idx="63">
                  <c:v>14.117296370817501</c:v>
                </c:pt>
                <c:pt idx="64">
                  <c:v>16.030869442084398</c:v>
                </c:pt>
                <c:pt idx="65">
                  <c:v>16.981732794640699</c:v>
                </c:pt>
                <c:pt idx="66">
                  <c:v>14.69217138155814</c:v>
                </c:pt>
                <c:pt idx="67">
                  <c:v>16.001638605546681</c:v>
                </c:pt>
                <c:pt idx="68">
                  <c:v>15.94446895496926</c:v>
                </c:pt>
                <c:pt idx="69">
                  <c:v>17.333333333333339</c:v>
                </c:pt>
                <c:pt idx="70">
                  <c:v>28.4355198572066</c:v>
                </c:pt>
                <c:pt idx="71">
                  <c:v>15.002478929102621</c:v>
                </c:pt>
                <c:pt idx="72">
                  <c:v>14.999456816947321</c:v>
                </c:pt>
                <c:pt idx="73">
                  <c:v>14.66694011484824</c:v>
                </c:pt>
              </c:numCache>
            </c:numRef>
          </c:val>
          <c:smooth val="0"/>
        </c:ser>
        <c:ser>
          <c:idx val="16"/>
          <c:order val="8"/>
          <c:tx>
            <c:strRef>
              <c:f>'Sugar (Adjusted)'!$AK$6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317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(Adjusted)'!$AK$7:$AK$107</c:f>
              <c:numCache>
                <c:formatCode>0.0000</c:formatCode>
                <c:ptCount val="92"/>
                <c:pt idx="48">
                  <c:v>19.466666666666661</c:v>
                </c:pt>
                <c:pt idx="49">
                  <c:v>21.124260355029598</c:v>
                </c:pt>
                <c:pt idx="51">
                  <c:v>22.853333333333403</c:v>
                </c:pt>
                <c:pt idx="52">
                  <c:v>22.5</c:v>
                </c:pt>
                <c:pt idx="54">
                  <c:v>14.324324324324319</c:v>
                </c:pt>
                <c:pt idx="55">
                  <c:v>19.433526011560701</c:v>
                </c:pt>
                <c:pt idx="56">
                  <c:v>17.793560606060602</c:v>
                </c:pt>
                <c:pt idx="57">
                  <c:v>18.88669950738916</c:v>
                </c:pt>
                <c:pt idx="58">
                  <c:v>16.250580046403719</c:v>
                </c:pt>
                <c:pt idx="59">
                  <c:v>19.32584269662922</c:v>
                </c:pt>
                <c:pt idx="60">
                  <c:v>18.666666666666661</c:v>
                </c:pt>
                <c:pt idx="61">
                  <c:v>18.791858174655282</c:v>
                </c:pt>
                <c:pt idx="62">
                  <c:v>16.666666666666661</c:v>
                </c:pt>
                <c:pt idx="63">
                  <c:v>13.77269670477472</c:v>
                </c:pt>
                <c:pt idx="64">
                  <c:v>16.004264392324099</c:v>
                </c:pt>
                <c:pt idx="65">
                  <c:v>17.333333333333339</c:v>
                </c:pt>
                <c:pt idx="66">
                  <c:v>15.0003992015968</c:v>
                </c:pt>
              </c:numCache>
            </c:numRef>
          </c:val>
          <c:smooth val="0"/>
        </c:ser>
        <c:ser>
          <c:idx val="17"/>
          <c:order val="9"/>
          <c:tx>
            <c:strRef>
              <c:f>'Sugar (Adjusted)'!$AL$6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317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(Adjusted)'!$AL$7:$AL$107</c:f>
              <c:numCache>
                <c:formatCode>0.0000</c:formatCode>
                <c:ptCount val="92"/>
                <c:pt idx="34">
                  <c:v>22.986732186732198</c:v>
                </c:pt>
                <c:pt idx="35">
                  <c:v>22.0197126386836</c:v>
                </c:pt>
                <c:pt idx="36">
                  <c:v>22.9261036459874</c:v>
                </c:pt>
                <c:pt idx="37">
                  <c:v>23.3433151456464</c:v>
                </c:pt>
                <c:pt idx="38">
                  <c:v>20.350086075970403</c:v>
                </c:pt>
                <c:pt idx="39">
                  <c:v>23.9397305825728</c:v>
                </c:pt>
                <c:pt idx="40">
                  <c:v>23.940859862952003</c:v>
                </c:pt>
                <c:pt idx="41">
                  <c:v>24.458281547509802</c:v>
                </c:pt>
                <c:pt idx="42">
                  <c:v>23.245668362716199</c:v>
                </c:pt>
                <c:pt idx="43">
                  <c:v>22.868076754347801</c:v>
                </c:pt>
                <c:pt idx="44">
                  <c:v>22.866624663248398</c:v>
                </c:pt>
                <c:pt idx="45">
                  <c:v>15.41047169269638</c:v>
                </c:pt>
                <c:pt idx="46">
                  <c:v>15.01513384446406</c:v>
                </c:pt>
                <c:pt idx="47">
                  <c:v>14.55498012284874</c:v>
                </c:pt>
                <c:pt idx="48">
                  <c:v>14.045710192012439</c:v>
                </c:pt>
                <c:pt idx="49">
                  <c:v>14.294834535347182</c:v>
                </c:pt>
                <c:pt idx="50">
                  <c:v>19.957042809412059</c:v>
                </c:pt>
                <c:pt idx="51">
                  <c:v>15.835951917784721</c:v>
                </c:pt>
                <c:pt idx="52">
                  <c:v>17.143363353176099</c:v>
                </c:pt>
                <c:pt idx="53">
                  <c:v>13.116652058688661</c:v>
                </c:pt>
                <c:pt idx="54">
                  <c:v>12.91176159031224</c:v>
                </c:pt>
                <c:pt idx="55">
                  <c:v>13.465901190579642</c:v>
                </c:pt>
                <c:pt idx="56">
                  <c:v>13.917587603680841</c:v>
                </c:pt>
                <c:pt idx="57">
                  <c:v>13.07208709915704</c:v>
                </c:pt>
                <c:pt idx="58">
                  <c:v>12.167302752913681</c:v>
                </c:pt>
                <c:pt idx="59">
                  <c:v>12.315688797217641</c:v>
                </c:pt>
                <c:pt idx="60">
                  <c:v>11.350045860687722</c:v>
                </c:pt>
                <c:pt idx="61">
                  <c:v>10.277340287191381</c:v>
                </c:pt>
                <c:pt idx="62">
                  <c:v>9.2271240784219195</c:v>
                </c:pt>
                <c:pt idx="63">
                  <c:v>10.148226616301418</c:v>
                </c:pt>
                <c:pt idx="64">
                  <c:v>16.996465692983978</c:v>
                </c:pt>
                <c:pt idx="65">
                  <c:v>18</c:v>
                </c:pt>
                <c:pt idx="66">
                  <c:v>13.333023255813961</c:v>
                </c:pt>
                <c:pt idx="67">
                  <c:v>10.928431372549019</c:v>
                </c:pt>
                <c:pt idx="68">
                  <c:v>11.64516129032258</c:v>
                </c:pt>
                <c:pt idx="69">
                  <c:v>13.26602952393772</c:v>
                </c:pt>
                <c:pt idx="70">
                  <c:v>14.758822622900301</c:v>
                </c:pt>
                <c:pt idx="71">
                  <c:v>16.99236098774206</c:v>
                </c:pt>
              </c:numCache>
            </c:numRef>
          </c:val>
          <c:smooth val="0"/>
        </c:ser>
        <c:ser>
          <c:idx val="18"/>
          <c:order val="10"/>
          <c:tx>
            <c:strRef>
              <c:f>'Sugar (Adjusted)'!$AO$6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317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(Adjusted)'!$AO$7:$AO$107</c:f>
              <c:numCache>
                <c:formatCode>0.0000</c:formatCode>
                <c:ptCount val="92"/>
                <c:pt idx="34">
                  <c:v>18.81354568854568</c:v>
                </c:pt>
                <c:pt idx="35">
                  <c:v>22.0197126386836</c:v>
                </c:pt>
                <c:pt idx="36">
                  <c:v>20.4226785352188</c:v>
                </c:pt>
                <c:pt idx="37">
                  <c:v>21.2211955869512</c:v>
                </c:pt>
                <c:pt idx="38">
                  <c:v>20.350086075970403</c:v>
                </c:pt>
                <c:pt idx="39">
                  <c:v>21.826132747354599</c:v>
                </c:pt>
                <c:pt idx="40">
                  <c:v>36.412377559001399</c:v>
                </c:pt>
                <c:pt idx="41">
                  <c:v>36.020378279059997</c:v>
                </c:pt>
                <c:pt idx="42">
                  <c:v>19.987123779728279</c:v>
                </c:pt>
                <c:pt idx="43">
                  <c:v>32.7263581236394</c:v>
                </c:pt>
                <c:pt idx="44">
                  <c:v>15.297532875762021</c:v>
                </c:pt>
                <c:pt idx="45">
                  <c:v>15.0411575562701</c:v>
                </c:pt>
                <c:pt idx="46">
                  <c:v>14.27349229971818</c:v>
                </c:pt>
                <c:pt idx="47">
                  <c:v>13.84096223002976</c:v>
                </c:pt>
                <c:pt idx="48">
                  <c:v>13.279580545175399</c:v>
                </c:pt>
                <c:pt idx="49">
                  <c:v>16.526883222220839</c:v>
                </c:pt>
                <c:pt idx="50">
                  <c:v>16.176019669186861</c:v>
                </c:pt>
                <c:pt idx="51">
                  <c:v>17.446387706033999</c:v>
                </c:pt>
                <c:pt idx="52">
                  <c:v>15.389601360662459</c:v>
                </c:pt>
                <c:pt idx="53">
                  <c:v>15.288939817171322</c:v>
                </c:pt>
                <c:pt idx="54">
                  <c:v>13.444123452805119</c:v>
                </c:pt>
              </c:numCache>
            </c:numRef>
          </c:val>
          <c:smooth val="0"/>
        </c:ser>
        <c:ser>
          <c:idx val="19"/>
          <c:order val="11"/>
          <c:tx>
            <c:strRef>
              <c:f>'Sugar (Adjusted)'!$AP$6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317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(Adjusted)'!$AP$7:$AP$107</c:f>
              <c:numCache>
                <c:formatCode>0.0000</c:formatCode>
                <c:ptCount val="92"/>
                <c:pt idx="50">
                  <c:v>18.228571428571421</c:v>
                </c:pt>
                <c:pt idx="51">
                  <c:v>14.325102257233759</c:v>
                </c:pt>
                <c:pt idx="52">
                  <c:v>14.29439861050804</c:v>
                </c:pt>
                <c:pt idx="53">
                  <c:v>11.935538022494541</c:v>
                </c:pt>
                <c:pt idx="54">
                  <c:v>11.272585467307941</c:v>
                </c:pt>
                <c:pt idx="55">
                  <c:v>23.785134291068001</c:v>
                </c:pt>
                <c:pt idx="56">
                  <c:v>11.248296538566361</c:v>
                </c:pt>
                <c:pt idx="57">
                  <c:v>14.97058823529412</c:v>
                </c:pt>
                <c:pt idx="58">
                  <c:v>15.302039245863801</c:v>
                </c:pt>
                <c:pt idx="59">
                  <c:v>15.27251007913992</c:v>
                </c:pt>
                <c:pt idx="60">
                  <c:v>16.6805041889954</c:v>
                </c:pt>
                <c:pt idx="61">
                  <c:v>16.88607362526394</c:v>
                </c:pt>
                <c:pt idx="62">
                  <c:v>13.493745113025199</c:v>
                </c:pt>
                <c:pt idx="66">
                  <c:v>15.484409985629778</c:v>
                </c:pt>
                <c:pt idx="67">
                  <c:v>14.812642016112381</c:v>
                </c:pt>
                <c:pt idx="68">
                  <c:v>15.410625941062598</c:v>
                </c:pt>
                <c:pt idx="69">
                  <c:v>17.170607127655458</c:v>
                </c:pt>
                <c:pt idx="70">
                  <c:v>17.068483816013618</c:v>
                </c:pt>
                <c:pt idx="71">
                  <c:v>16.20897043832824</c:v>
                </c:pt>
                <c:pt idx="72">
                  <c:v>18.25722713864306</c:v>
                </c:pt>
              </c:numCache>
            </c:numRef>
          </c:val>
          <c:smooth val="0"/>
        </c:ser>
        <c:ser>
          <c:idx val="20"/>
          <c:order val="12"/>
          <c:tx>
            <c:strRef>
              <c:f>'Sugar (Adjusted)'!$AQ$6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317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(Adjusted)'!$AQ$7:$AQ$107</c:f>
              <c:numCache>
                <c:formatCode>0.0000</c:formatCode>
                <c:ptCount val="92"/>
                <c:pt idx="47">
                  <c:v>21.716000000000001</c:v>
                </c:pt>
                <c:pt idx="48">
                  <c:v>18.669201520912541</c:v>
                </c:pt>
                <c:pt idx="49">
                  <c:v>24.616</c:v>
                </c:pt>
                <c:pt idx="50">
                  <c:v>21.537142857142801</c:v>
                </c:pt>
                <c:pt idx="51">
                  <c:v>19.286666666666662</c:v>
                </c:pt>
                <c:pt idx="52">
                  <c:v>21.249523809523797</c:v>
                </c:pt>
                <c:pt idx="53">
                  <c:v>22.154166666666598</c:v>
                </c:pt>
                <c:pt idx="54">
                  <c:v>16.664000000000001</c:v>
                </c:pt>
                <c:pt idx="55">
                  <c:v>14.444999999999999</c:v>
                </c:pt>
                <c:pt idx="56">
                  <c:v>15.29333333333334</c:v>
                </c:pt>
                <c:pt idx="57">
                  <c:v>16.248888888888878</c:v>
                </c:pt>
                <c:pt idx="58">
                  <c:v>15</c:v>
                </c:pt>
                <c:pt idx="59">
                  <c:v>16</c:v>
                </c:pt>
                <c:pt idx="60">
                  <c:v>16</c:v>
                </c:pt>
                <c:pt idx="61">
                  <c:v>13.334399999999999</c:v>
                </c:pt>
                <c:pt idx="66">
                  <c:v>14.46207553157728</c:v>
                </c:pt>
                <c:pt idx="67">
                  <c:v>14.033829604801619</c:v>
                </c:pt>
                <c:pt idx="68">
                  <c:v>14.35338796721966</c:v>
                </c:pt>
                <c:pt idx="69">
                  <c:v>14.869336632132359</c:v>
                </c:pt>
                <c:pt idx="70">
                  <c:v>15.797244094488182</c:v>
                </c:pt>
                <c:pt idx="71">
                  <c:v>16.252181305651263</c:v>
                </c:pt>
                <c:pt idx="72">
                  <c:v>17.048876281911419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'Sugar (Adjusted)'!$AR$6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317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(Adjusted)'!$AR$7:$AR$107</c:f>
              <c:numCache>
                <c:formatCode>General</c:formatCode>
                <c:ptCount val="92"/>
                <c:pt idx="47" formatCode="0.0000">
                  <c:v>22.457952425553799</c:v>
                </c:pt>
                <c:pt idx="48" formatCode="0.0000">
                  <c:v>23.332152713247602</c:v>
                </c:pt>
                <c:pt idx="49" formatCode="0.0000">
                  <c:v>34.579176935341401</c:v>
                </c:pt>
                <c:pt idx="50" formatCode="0.0000">
                  <c:v>23.6199836199836</c:v>
                </c:pt>
                <c:pt idx="51" formatCode="0.0000">
                  <c:v>16.668304668304661</c:v>
                </c:pt>
                <c:pt idx="52" formatCode="0.0000">
                  <c:v>16.87893333333334</c:v>
                </c:pt>
                <c:pt idx="53" formatCode="0.0000">
                  <c:v>16.896000000000001</c:v>
                </c:pt>
                <c:pt idx="54" formatCode="0.0000">
                  <c:v>15.644342857142862</c:v>
                </c:pt>
                <c:pt idx="55" formatCode="0.0000">
                  <c:v>16.666666666666661</c:v>
                </c:pt>
                <c:pt idx="56" formatCode="0.0000">
                  <c:v>12.549333333333339</c:v>
                </c:pt>
                <c:pt idx="57" formatCode="0.0000">
                  <c:v>13.23056389723056</c:v>
                </c:pt>
                <c:pt idx="58" formatCode="0.0000">
                  <c:v>17.606501041102099</c:v>
                </c:pt>
                <c:pt idx="59" formatCode="0.0000">
                  <c:v>22.388266667226404</c:v>
                </c:pt>
                <c:pt idx="60" formatCode="0.0000">
                  <c:v>16.357226792004958</c:v>
                </c:pt>
                <c:pt idx="61" formatCode="0.0000">
                  <c:v>16.426763636363638</c:v>
                </c:pt>
              </c:numCache>
            </c:numRef>
          </c:val>
          <c:smooth val="0"/>
        </c:ser>
        <c:ser>
          <c:idx val="0"/>
          <c:order val="14"/>
          <c:tx>
            <c:strRef>
              <c:f>'Sugar (Adjusted)'!$T$6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'Sugar (Adjusted)'!$T$7:$T$107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33.583333333333336</c:v>
                </c:pt>
                <c:pt idx="44">
                  <c:v>26</c:v>
                </c:pt>
                <c:pt idx="45">
                  <c:v>23.62954630671166</c:v>
                </c:pt>
                <c:pt idx="46">
                  <c:v>21.537463509568603</c:v>
                </c:pt>
                <c:pt idx="47">
                  <c:v>19.99768223432611</c:v>
                </c:pt>
                <c:pt idx="48">
                  <c:v>19.41562793191261</c:v>
                </c:pt>
                <c:pt idx="49">
                  <c:v>19.249399956360463</c:v>
                </c:pt>
                <c:pt idx="50">
                  <c:v>18.043596730245234</c:v>
                </c:pt>
                <c:pt idx="51">
                  <c:v>19.200755191944619</c:v>
                </c:pt>
                <c:pt idx="52">
                  <c:v>20</c:v>
                </c:pt>
                <c:pt idx="53">
                  <c:v>18.937397931409908</c:v>
                </c:pt>
                <c:pt idx="54">
                  <c:v>16.775542200156782</c:v>
                </c:pt>
                <c:pt idx="55">
                  <c:v>14.425962165688194</c:v>
                </c:pt>
                <c:pt idx="56">
                  <c:v>14.048938134810712</c:v>
                </c:pt>
                <c:pt idx="57">
                  <c:v>13.128413168981121</c:v>
                </c:pt>
                <c:pt idx="58">
                  <c:v>14.870077376140431</c:v>
                </c:pt>
                <c:pt idx="59">
                  <c:v>14.446543580936025</c:v>
                </c:pt>
                <c:pt idx="60">
                  <c:v>14.320486815415821</c:v>
                </c:pt>
                <c:pt idx="61">
                  <c:v>13.055899438148748</c:v>
                </c:pt>
                <c:pt idx="62">
                  <c:v>12.372333548804137</c:v>
                </c:pt>
                <c:pt idx="63">
                  <c:v>12.238229093464511</c:v>
                </c:pt>
                <c:pt idx="64">
                  <c:v>13.777179686946667</c:v>
                </c:pt>
                <c:pt idx="65">
                  <c:v>14.430274466315499</c:v>
                </c:pt>
                <c:pt idx="66">
                  <c:v>13.99592303485308</c:v>
                </c:pt>
                <c:pt idx="67">
                  <c:v>13.898464853218421</c:v>
                </c:pt>
                <c:pt idx="68">
                  <c:v>15.989291928791328</c:v>
                </c:pt>
                <c:pt idx="69">
                  <c:v>16.576486544364336</c:v>
                </c:pt>
              </c:numCache>
            </c:numRef>
          </c:val>
          <c:smooth val="0"/>
        </c:ser>
        <c:ser>
          <c:idx val="1"/>
          <c:order val="15"/>
          <c:tx>
            <c:strRef>
              <c:f>'Sugar (Adjusted)'!$U$6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'Sugar (Adjusted)'!$U$7:$U$107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3">
                  <c:v>34.25</c:v>
                </c:pt>
                <c:pt idx="44">
                  <c:v>26.666666666666664</c:v>
                </c:pt>
                <c:pt idx="45">
                  <c:v>24.663951120162935</c:v>
                </c:pt>
                <c:pt idx="46">
                  <c:v>24.847612597358619</c:v>
                </c:pt>
                <c:pt idx="47">
                  <c:v>20</c:v>
                </c:pt>
                <c:pt idx="48">
                  <c:v>20.804988662131517</c:v>
                </c:pt>
                <c:pt idx="49">
                  <c:v>20</c:v>
                </c:pt>
                <c:pt idx="50">
                  <c:v>18.799911758217515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16.888888888888889</c:v>
                </c:pt>
                <c:pt idx="55">
                  <c:v>15.99809885931559</c:v>
                </c:pt>
                <c:pt idx="56">
                  <c:v>16</c:v>
                </c:pt>
                <c:pt idx="57">
                  <c:v>16.002906976744185</c:v>
                </c:pt>
                <c:pt idx="58">
                  <c:v>16.001461988304094</c:v>
                </c:pt>
                <c:pt idx="59">
                  <c:v>16.001662510390691</c:v>
                </c:pt>
                <c:pt idx="60">
                  <c:v>15.997652582159624</c:v>
                </c:pt>
                <c:pt idx="61">
                  <c:v>14.014251781472684</c:v>
                </c:pt>
                <c:pt idx="62">
                  <c:v>13.980582524271846</c:v>
                </c:pt>
                <c:pt idx="63">
                  <c:v>10</c:v>
                </c:pt>
                <c:pt idx="66">
                  <c:v>14.986276303751144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070976"/>
        <c:axId val="622070416"/>
      </c:lineChart>
      <c:catAx>
        <c:axId val="62207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70416"/>
        <c:crosses val="autoZero"/>
        <c:auto val="1"/>
        <c:lblAlgn val="ctr"/>
        <c:lblOffset val="100"/>
        <c:noMultiLvlLbl val="0"/>
      </c:catAx>
      <c:valAx>
        <c:axId val="6220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7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70680390004317"/>
          <c:y val="0.13440320722104859"/>
          <c:w val="0.26929319609995672"/>
          <c:h val="0.80539098009090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Sugar, UK, Black Sea, Mediterranean Sea, Muscat &amp; India, in pound/ton </a:t>
            </a:r>
            <a:endParaRPr lang="en-US" sz="11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'Sugar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'Sugar (Adjusted)'!$D$6</c:f>
              <c:strCache>
                <c:ptCount val="1"/>
                <c:pt idx="0">
                  <c:v>UK,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(Adjusted)'!$D$7:$D$107</c:f>
              <c:numCache>
                <c:formatCode>0.0000</c:formatCode>
                <c:ptCount val="92"/>
                <c:pt idx="13">
                  <c:v>33.6535865308445</c:v>
                </c:pt>
                <c:pt idx="14">
                  <c:v>34.897354142193883</c:v>
                </c:pt>
                <c:pt idx="15">
                  <c:v>45.53952735808209</c:v>
                </c:pt>
                <c:pt idx="16">
                  <c:v>51.373613247842833</c:v>
                </c:pt>
                <c:pt idx="17">
                  <c:v>59.356588500375537</c:v>
                </c:pt>
                <c:pt idx="18">
                  <c:v>56.965582272512961</c:v>
                </c:pt>
                <c:pt idx="19">
                  <c:v>57.016567218907291</c:v>
                </c:pt>
                <c:pt idx="20">
                  <c:v>55.663936167701422</c:v>
                </c:pt>
                <c:pt idx="21">
                  <c:v>49.239794153565953</c:v>
                </c:pt>
                <c:pt idx="22">
                  <c:v>49.797805224184685</c:v>
                </c:pt>
                <c:pt idx="23">
                  <c:v>36.229260610495885</c:v>
                </c:pt>
                <c:pt idx="24">
                  <c:v>33.426332471920446</c:v>
                </c:pt>
                <c:pt idx="25">
                  <c:v>30.24</c:v>
                </c:pt>
                <c:pt idx="26">
                  <c:v>30.05</c:v>
                </c:pt>
                <c:pt idx="27">
                  <c:v>30.84</c:v>
                </c:pt>
                <c:pt idx="28">
                  <c:v>34.630000000000003</c:v>
                </c:pt>
                <c:pt idx="29">
                  <c:v>36.14</c:v>
                </c:pt>
                <c:pt idx="30">
                  <c:v>32.25</c:v>
                </c:pt>
                <c:pt idx="31">
                  <c:v>31.85</c:v>
                </c:pt>
                <c:pt idx="32">
                  <c:v>32.08</c:v>
                </c:pt>
                <c:pt idx="33">
                  <c:v>30.02</c:v>
                </c:pt>
                <c:pt idx="34">
                  <c:v>26.5</c:v>
                </c:pt>
                <c:pt idx="35">
                  <c:v>23.64</c:v>
                </c:pt>
                <c:pt idx="36">
                  <c:v>22.88</c:v>
                </c:pt>
                <c:pt idx="37">
                  <c:v>27.56</c:v>
                </c:pt>
                <c:pt idx="38">
                  <c:v>23.11</c:v>
                </c:pt>
                <c:pt idx="39">
                  <c:v>21.67</c:v>
                </c:pt>
                <c:pt idx="40">
                  <c:v>23.34</c:v>
                </c:pt>
                <c:pt idx="41">
                  <c:v>23.65</c:v>
                </c:pt>
                <c:pt idx="42">
                  <c:v>23.3</c:v>
                </c:pt>
                <c:pt idx="43">
                  <c:v>21.4</c:v>
                </c:pt>
                <c:pt idx="44">
                  <c:v>17.170000000000002</c:v>
                </c:pt>
                <c:pt idx="45">
                  <c:v>15.33</c:v>
                </c:pt>
                <c:pt idx="46">
                  <c:v>14.23</c:v>
                </c:pt>
                <c:pt idx="47">
                  <c:v>13.19</c:v>
                </c:pt>
                <c:pt idx="48">
                  <c:v>15.05</c:v>
                </c:pt>
                <c:pt idx="49">
                  <c:v>16.14</c:v>
                </c:pt>
                <c:pt idx="50">
                  <c:v>14.26</c:v>
                </c:pt>
                <c:pt idx="51">
                  <c:v>14.39</c:v>
                </c:pt>
                <c:pt idx="52">
                  <c:v>15.17</c:v>
                </c:pt>
                <c:pt idx="53">
                  <c:v>16.09</c:v>
                </c:pt>
                <c:pt idx="54">
                  <c:v>14.05</c:v>
                </c:pt>
                <c:pt idx="55">
                  <c:v>11.88</c:v>
                </c:pt>
                <c:pt idx="56">
                  <c:v>12.01</c:v>
                </c:pt>
                <c:pt idx="57">
                  <c:v>10.88</c:v>
                </c:pt>
                <c:pt idx="58">
                  <c:v>11.26</c:v>
                </c:pt>
                <c:pt idx="59">
                  <c:v>12.23</c:v>
                </c:pt>
                <c:pt idx="60">
                  <c:v>12.59</c:v>
                </c:pt>
                <c:pt idx="61">
                  <c:v>12.61</c:v>
                </c:pt>
                <c:pt idx="62">
                  <c:v>11.16</c:v>
                </c:pt>
                <c:pt idx="63">
                  <c:v>11.95</c:v>
                </c:pt>
                <c:pt idx="64">
                  <c:v>12.49</c:v>
                </c:pt>
                <c:pt idx="65">
                  <c:v>15.21</c:v>
                </c:pt>
                <c:pt idx="66">
                  <c:v>12.52</c:v>
                </c:pt>
                <c:pt idx="67">
                  <c:v>13.9</c:v>
                </c:pt>
                <c:pt idx="68">
                  <c:v>14.54</c:v>
                </c:pt>
                <c:pt idx="69">
                  <c:v>14.56</c:v>
                </c:pt>
                <c:pt idx="70">
                  <c:v>15.89</c:v>
                </c:pt>
                <c:pt idx="71">
                  <c:v>15.39</c:v>
                </c:pt>
                <c:pt idx="72">
                  <c:v>17.649999999999999</c:v>
                </c:pt>
                <c:pt idx="73">
                  <c:v>14.39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'Sugar (Adjusted)'!$K$6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(Adjusted)'!$K$7:$K$107</c:f>
              <c:numCache>
                <c:formatCode>0.0000</c:formatCode>
                <c:ptCount val="92"/>
                <c:pt idx="45">
                  <c:v>19.944038315830326</c:v>
                </c:pt>
                <c:pt idx="46">
                  <c:v>19.867353735308726</c:v>
                </c:pt>
                <c:pt idx="47">
                  <c:v>17.764804379256915</c:v>
                </c:pt>
                <c:pt idx="48">
                  <c:v>19.380984590096954</c:v>
                </c:pt>
                <c:pt idx="49">
                  <c:v>19.053879364947644</c:v>
                </c:pt>
                <c:pt idx="50">
                  <c:v>19.277698651014685</c:v>
                </c:pt>
                <c:pt idx="51">
                  <c:v>18.184306346950031</c:v>
                </c:pt>
                <c:pt idx="52">
                  <c:v>18.060488320648407</c:v>
                </c:pt>
                <c:pt idx="53">
                  <c:v>19.254556155635321</c:v>
                </c:pt>
                <c:pt idx="54">
                  <c:v>14.858999191598164</c:v>
                </c:pt>
                <c:pt idx="55">
                  <c:v>11.540299602036621</c:v>
                </c:pt>
                <c:pt idx="56">
                  <c:v>12.887469775949175</c:v>
                </c:pt>
                <c:pt idx="57">
                  <c:v>11.561926850166376</c:v>
                </c:pt>
                <c:pt idx="58">
                  <c:v>12.267247608464125</c:v>
                </c:pt>
                <c:pt idx="59">
                  <c:v>12.246014560073954</c:v>
                </c:pt>
                <c:pt idx="60">
                  <c:v>11.773442840507915</c:v>
                </c:pt>
                <c:pt idx="61">
                  <c:v>10.538214576974562</c:v>
                </c:pt>
                <c:pt idx="62">
                  <c:v>9.4133004482763898</c:v>
                </c:pt>
                <c:pt idx="63">
                  <c:v>9.531656603749834</c:v>
                </c:pt>
                <c:pt idx="64">
                  <c:v>11.433839540722561</c:v>
                </c:pt>
                <c:pt idx="65">
                  <c:v>12.530117103403153</c:v>
                </c:pt>
                <c:pt idx="66">
                  <c:v>11.416930516936914</c:v>
                </c:pt>
                <c:pt idx="67">
                  <c:v>11.348387969616775</c:v>
                </c:pt>
                <c:pt idx="68">
                  <c:v>11.084855056913323</c:v>
                </c:pt>
                <c:pt idx="69">
                  <c:v>12.088185079100736</c:v>
                </c:pt>
                <c:pt idx="70">
                  <c:v>12.111957190580195</c:v>
                </c:pt>
                <c:pt idx="71">
                  <c:v>13.253959837654421</c:v>
                </c:pt>
                <c:pt idx="72">
                  <c:v>12.290086488049331</c:v>
                </c:pt>
                <c:pt idx="73">
                  <c:v>11.723038849601229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'Sugar (Adjusted)'!$L$6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(Adjusted)'!$L$7:$L$107</c:f>
              <c:numCache>
                <c:formatCode>0.0000</c:formatCode>
                <c:ptCount val="92"/>
                <c:pt idx="45">
                  <c:v>13.172974312493501</c:v>
                </c:pt>
                <c:pt idx="46">
                  <c:v>12.032882723655129</c:v>
                </c:pt>
                <c:pt idx="47">
                  <c:v>11.156106782812158</c:v>
                </c:pt>
                <c:pt idx="48">
                  <c:v>12.977666242574502</c:v>
                </c:pt>
                <c:pt idx="49">
                  <c:v>15.32598604560105</c:v>
                </c:pt>
                <c:pt idx="50">
                  <c:v>12.813999691556822</c:v>
                </c:pt>
                <c:pt idx="51">
                  <c:v>12.470987300120646</c:v>
                </c:pt>
                <c:pt idx="52">
                  <c:v>12.941768100250453</c:v>
                </c:pt>
                <c:pt idx="53">
                  <c:v>14.029586796951152</c:v>
                </c:pt>
                <c:pt idx="54">
                  <c:v>11.332664213895786</c:v>
                </c:pt>
                <c:pt idx="55">
                  <c:v>8.7148797629066301</c:v>
                </c:pt>
                <c:pt idx="56">
                  <c:v>10.561256703519332</c:v>
                </c:pt>
                <c:pt idx="57">
                  <c:v>8.8480444655200134</c:v>
                </c:pt>
                <c:pt idx="58">
                  <c:v>9.5825345559524475</c:v>
                </c:pt>
                <c:pt idx="59">
                  <c:v>10.477488310139508</c:v>
                </c:pt>
                <c:pt idx="60">
                  <c:v>10.892510850197096</c:v>
                </c:pt>
                <c:pt idx="61">
                  <c:v>11.161969302706314</c:v>
                </c:pt>
                <c:pt idx="62">
                  <c:v>8.2306081812381748</c:v>
                </c:pt>
                <c:pt idx="63">
                  <c:v>8.6004786826040611</c:v>
                </c:pt>
                <c:pt idx="64">
                  <c:v>10.575998431926488</c:v>
                </c:pt>
                <c:pt idx="65">
                  <c:v>13.211300811180092</c:v>
                </c:pt>
                <c:pt idx="66">
                  <c:v>9.1766580627684977</c:v>
                </c:pt>
                <c:pt idx="67">
                  <c:v>9.0023420340100149</c:v>
                </c:pt>
                <c:pt idx="68">
                  <c:v>12.963104326815934</c:v>
                </c:pt>
                <c:pt idx="69">
                  <c:v>13.681884138032189</c:v>
                </c:pt>
                <c:pt idx="70">
                  <c:v>16.949002831941026</c:v>
                </c:pt>
                <c:pt idx="71">
                  <c:v>17.11753747280585</c:v>
                </c:pt>
                <c:pt idx="72">
                  <c:v>18.442227792190579</c:v>
                </c:pt>
                <c:pt idx="73">
                  <c:v>15.637600088394857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'Sugar (Adjusted)'!$M$6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(Adjusted)'!$M$7:$M$107</c:f>
              <c:numCache>
                <c:formatCode>0.0000</c:formatCode>
                <c:ptCount val="92"/>
                <c:pt idx="34">
                  <c:v>37.054028302219706</c:v>
                </c:pt>
                <c:pt idx="35">
                  <c:v>39.671975954007038</c:v>
                </c:pt>
                <c:pt idx="36">
                  <c:v>49.011763596539296</c:v>
                </c:pt>
                <c:pt idx="37">
                  <c:v>45.808364517921824</c:v>
                </c:pt>
                <c:pt idx="39">
                  <c:v>33.003453266713215</c:v>
                </c:pt>
                <c:pt idx="40">
                  <c:v>35.132708316178594</c:v>
                </c:pt>
                <c:pt idx="41">
                  <c:v>36.596571162686082</c:v>
                </c:pt>
                <c:pt idx="42">
                  <c:v>31.038135426672419</c:v>
                </c:pt>
                <c:pt idx="43">
                  <c:v>33.09734477166208</c:v>
                </c:pt>
                <c:pt idx="44">
                  <c:v>26.155784683919741</c:v>
                </c:pt>
                <c:pt idx="45">
                  <c:v>32.000000000000028</c:v>
                </c:pt>
                <c:pt idx="46">
                  <c:v>20.57142857142858</c:v>
                </c:pt>
                <c:pt idx="47">
                  <c:v>24.107142857142914</c:v>
                </c:pt>
                <c:pt idx="48">
                  <c:v>21.739130434782609</c:v>
                </c:pt>
                <c:pt idx="49">
                  <c:v>20.000000000000004</c:v>
                </c:pt>
                <c:pt idx="50">
                  <c:v>20.000000000000004</c:v>
                </c:pt>
                <c:pt idx="51">
                  <c:v>20.128205128205128</c:v>
                </c:pt>
                <c:pt idx="52">
                  <c:v>20.370370370370363</c:v>
                </c:pt>
                <c:pt idx="53">
                  <c:v>17.999999999999986</c:v>
                </c:pt>
                <c:pt idx="54">
                  <c:v>15.999999999999993</c:v>
                </c:pt>
                <c:pt idx="55">
                  <c:v>15.319148936170217</c:v>
                </c:pt>
                <c:pt idx="56">
                  <c:v>15.888888888888893</c:v>
                </c:pt>
                <c:pt idx="57">
                  <c:v>14.078310602727683</c:v>
                </c:pt>
                <c:pt idx="58">
                  <c:v>15.999999999999993</c:v>
                </c:pt>
                <c:pt idx="59">
                  <c:v>14.999999999999996</c:v>
                </c:pt>
                <c:pt idx="60">
                  <c:v>13.744053282588004</c:v>
                </c:pt>
                <c:pt idx="61">
                  <c:v>14.300960512273209</c:v>
                </c:pt>
                <c:pt idx="62">
                  <c:v>11.34751773049646</c:v>
                </c:pt>
                <c:pt idx="63">
                  <c:v>12.56118383608424</c:v>
                </c:pt>
                <c:pt idx="64">
                  <c:v>15.063636363636359</c:v>
                </c:pt>
                <c:pt idx="65">
                  <c:v>17.653333333333332</c:v>
                </c:pt>
                <c:pt idx="66">
                  <c:v>15.389162561576363</c:v>
                </c:pt>
                <c:pt idx="67">
                  <c:v>16.357889618283494</c:v>
                </c:pt>
                <c:pt idx="68">
                  <c:v>20.372708145476402</c:v>
                </c:pt>
                <c:pt idx="69">
                  <c:v>18.733627562642361</c:v>
                </c:pt>
                <c:pt idx="70">
                  <c:v>20.372844827586206</c:v>
                </c:pt>
                <c:pt idx="71">
                  <c:v>18.280545899317634</c:v>
                </c:pt>
                <c:pt idx="72">
                  <c:v>18.666666666666657</c:v>
                </c:pt>
                <c:pt idx="73">
                  <c:v>16.330945986272759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'Sugar (Adjusted)'!$O$6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(Adjusted)'!$O$7:$O$107</c:f>
              <c:numCache>
                <c:formatCode>0.0000</c:formatCode>
                <c:ptCount val="92"/>
                <c:pt idx="42">
                  <c:v>40.641999999999996</c:v>
                </c:pt>
                <c:pt idx="50">
                  <c:v>23.534469200524249</c:v>
                </c:pt>
                <c:pt idx="51">
                  <c:v>24.070588235294117</c:v>
                </c:pt>
                <c:pt idx="52">
                  <c:v>24</c:v>
                </c:pt>
                <c:pt idx="53">
                  <c:v>21.333333333333332</c:v>
                </c:pt>
                <c:pt idx="54">
                  <c:v>17.054263565891471</c:v>
                </c:pt>
                <c:pt idx="58">
                  <c:v>16.8</c:v>
                </c:pt>
                <c:pt idx="62">
                  <c:v>18.669778296382731</c:v>
                </c:pt>
                <c:pt idx="63">
                  <c:v>14.285714285714286</c:v>
                </c:pt>
                <c:pt idx="64">
                  <c:v>18.050541516245488</c:v>
                </c:pt>
                <c:pt idx="65">
                  <c:v>13.2</c:v>
                </c:pt>
                <c:pt idx="66">
                  <c:v>13.461538461538462</c:v>
                </c:pt>
                <c:pt idx="68">
                  <c:v>18.333333333333332</c:v>
                </c:pt>
                <c:pt idx="69">
                  <c:v>22.3</c:v>
                </c:pt>
                <c:pt idx="70">
                  <c:v>19.375</c:v>
                </c:pt>
                <c:pt idx="71">
                  <c:v>19.204545454545453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'Sugar (Adjusted)'!$P$6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(Adjusted)'!$P$7:$P$107</c:f>
              <c:numCache>
                <c:formatCode>0.0000</c:formatCode>
                <c:ptCount val="92"/>
                <c:pt idx="31">
                  <c:v>42.3229166666666</c:v>
                </c:pt>
                <c:pt idx="32">
                  <c:v>40.1145833333334</c:v>
                </c:pt>
                <c:pt idx="33">
                  <c:v>36.3333333333334</c:v>
                </c:pt>
                <c:pt idx="36">
                  <c:v>39.599734975446253</c:v>
                </c:pt>
                <c:pt idx="40">
                  <c:v>35.2770071869028</c:v>
                </c:pt>
                <c:pt idx="54">
                  <c:v>14.631092886756001</c:v>
                </c:pt>
                <c:pt idx="55">
                  <c:v>13.445378151260506</c:v>
                </c:pt>
                <c:pt idx="56">
                  <c:v>13.088529358298491</c:v>
                </c:pt>
                <c:pt idx="57">
                  <c:v>13</c:v>
                </c:pt>
                <c:pt idx="58">
                  <c:v>13</c:v>
                </c:pt>
                <c:pt idx="59">
                  <c:v>12.891891891891891</c:v>
                </c:pt>
                <c:pt idx="60">
                  <c:v>12</c:v>
                </c:pt>
                <c:pt idx="61">
                  <c:v>12.147651006711408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'Sugar (Adjusted)'!$T$6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(Adjusted)'!$T$7:$T$107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33.583333333333336</c:v>
                </c:pt>
                <c:pt idx="44">
                  <c:v>26</c:v>
                </c:pt>
                <c:pt idx="45">
                  <c:v>23.62954630671166</c:v>
                </c:pt>
                <c:pt idx="46">
                  <c:v>21.537463509568603</c:v>
                </c:pt>
                <c:pt idx="47">
                  <c:v>19.99768223432611</c:v>
                </c:pt>
                <c:pt idx="48">
                  <c:v>19.41562793191261</c:v>
                </c:pt>
                <c:pt idx="49">
                  <c:v>19.249399956360463</c:v>
                </c:pt>
                <c:pt idx="50">
                  <c:v>18.043596730245234</c:v>
                </c:pt>
                <c:pt idx="51">
                  <c:v>19.200755191944619</c:v>
                </c:pt>
                <c:pt idx="52">
                  <c:v>20</c:v>
                </c:pt>
                <c:pt idx="53">
                  <c:v>18.937397931409908</c:v>
                </c:pt>
                <c:pt idx="54">
                  <c:v>16.775542200156782</c:v>
                </c:pt>
                <c:pt idx="55">
                  <c:v>14.425962165688194</c:v>
                </c:pt>
                <c:pt idx="56">
                  <c:v>14.048938134810712</c:v>
                </c:pt>
                <c:pt idx="57">
                  <c:v>13.128413168981121</c:v>
                </c:pt>
                <c:pt idx="58">
                  <c:v>14.870077376140431</c:v>
                </c:pt>
                <c:pt idx="59">
                  <c:v>14.446543580936025</c:v>
                </c:pt>
                <c:pt idx="60">
                  <c:v>14.320486815415821</c:v>
                </c:pt>
                <c:pt idx="61">
                  <c:v>13.055899438148748</c:v>
                </c:pt>
                <c:pt idx="62">
                  <c:v>12.372333548804137</c:v>
                </c:pt>
                <c:pt idx="63">
                  <c:v>12.238229093464511</c:v>
                </c:pt>
                <c:pt idx="64">
                  <c:v>13.777179686946667</c:v>
                </c:pt>
                <c:pt idx="65">
                  <c:v>14.430274466315499</c:v>
                </c:pt>
                <c:pt idx="66">
                  <c:v>13.99592303485308</c:v>
                </c:pt>
                <c:pt idx="67">
                  <c:v>13.898464853218421</c:v>
                </c:pt>
                <c:pt idx="68">
                  <c:v>15.989291928791328</c:v>
                </c:pt>
                <c:pt idx="69">
                  <c:v>16.576486544364336</c:v>
                </c:pt>
              </c:numCache>
            </c:numRef>
          </c:val>
          <c:smooth val="0"/>
        </c:ser>
        <c:ser>
          <c:idx val="12"/>
          <c:order val="8"/>
          <c:tx>
            <c:strRef>
              <c:f>'Sugar (Adjusted)'!$U$6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(Adjusted)'!$U$7:$U$107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3">
                  <c:v>34.25</c:v>
                </c:pt>
                <c:pt idx="44">
                  <c:v>26.666666666666664</c:v>
                </c:pt>
                <c:pt idx="45">
                  <c:v>24.663951120162935</c:v>
                </c:pt>
                <c:pt idx="46">
                  <c:v>24.847612597358619</c:v>
                </c:pt>
                <c:pt idx="47">
                  <c:v>20</c:v>
                </c:pt>
                <c:pt idx="48">
                  <c:v>20.804988662131517</c:v>
                </c:pt>
                <c:pt idx="49">
                  <c:v>20</c:v>
                </c:pt>
                <c:pt idx="50">
                  <c:v>18.799911758217515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16.888888888888889</c:v>
                </c:pt>
                <c:pt idx="55">
                  <c:v>15.99809885931559</c:v>
                </c:pt>
                <c:pt idx="56">
                  <c:v>16</c:v>
                </c:pt>
                <c:pt idx="57">
                  <c:v>16.002906976744185</c:v>
                </c:pt>
                <c:pt idx="58">
                  <c:v>16.001461988304094</c:v>
                </c:pt>
                <c:pt idx="59">
                  <c:v>16.001662510390691</c:v>
                </c:pt>
                <c:pt idx="60">
                  <c:v>15.997652582159624</c:v>
                </c:pt>
                <c:pt idx="61">
                  <c:v>14.014251781472684</c:v>
                </c:pt>
                <c:pt idx="62">
                  <c:v>13.980582524271846</c:v>
                </c:pt>
                <c:pt idx="63">
                  <c:v>10</c:v>
                </c:pt>
                <c:pt idx="66">
                  <c:v>14.986276303751144</c:v>
                </c:pt>
              </c:numCache>
            </c:numRef>
          </c:val>
          <c:smooth val="0"/>
        </c:ser>
        <c:ser>
          <c:idx val="13"/>
          <c:order val="9"/>
          <c:tx>
            <c:strRef>
              <c:f>'Sugar (Adjusted)'!$V$6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(Adjusted)'!$V$7:$V$107</c:f>
              <c:numCache>
                <c:formatCode>0.0000</c:formatCode>
                <c:ptCount val="92"/>
                <c:pt idx="24">
                  <c:v>42</c:v>
                </c:pt>
                <c:pt idx="25">
                  <c:v>40</c:v>
                </c:pt>
                <c:pt idx="26">
                  <c:v>40</c:v>
                </c:pt>
                <c:pt idx="28">
                  <c:v>40</c:v>
                </c:pt>
                <c:pt idx="29">
                  <c:v>48</c:v>
                </c:pt>
                <c:pt idx="31">
                  <c:v>56</c:v>
                </c:pt>
                <c:pt idx="32">
                  <c:v>48</c:v>
                </c:pt>
                <c:pt idx="34">
                  <c:v>43</c:v>
                </c:pt>
                <c:pt idx="35">
                  <c:v>37</c:v>
                </c:pt>
                <c:pt idx="36">
                  <c:v>50</c:v>
                </c:pt>
                <c:pt idx="42">
                  <c:v>31.333333333333336</c:v>
                </c:pt>
                <c:pt idx="43">
                  <c:v>31.000000000000004</c:v>
                </c:pt>
                <c:pt idx="44">
                  <c:v>19.733333333333331</c:v>
                </c:pt>
                <c:pt idx="45">
                  <c:v>18.000000000000004</c:v>
                </c:pt>
                <c:pt idx="46">
                  <c:v>24.242424242424242</c:v>
                </c:pt>
                <c:pt idx="48">
                  <c:v>34.666616907996215</c:v>
                </c:pt>
                <c:pt idx="49">
                  <c:v>34.666143062844355</c:v>
                </c:pt>
                <c:pt idx="50">
                  <c:v>34.666666666666671</c:v>
                </c:pt>
                <c:pt idx="51">
                  <c:v>34.666610971292513</c:v>
                </c:pt>
                <c:pt idx="52">
                  <c:v>34.666167859835276</c:v>
                </c:pt>
                <c:pt idx="54">
                  <c:v>23.999918709100516</c:v>
                </c:pt>
                <c:pt idx="65">
                  <c:v>16.22762105263158</c:v>
                </c:pt>
                <c:pt idx="66">
                  <c:v>13.649410902875282</c:v>
                </c:pt>
                <c:pt idx="67">
                  <c:v>14.410941560605051</c:v>
                </c:pt>
                <c:pt idx="68">
                  <c:v>14.933459963198196</c:v>
                </c:pt>
                <c:pt idx="70">
                  <c:v>17.297409541608264</c:v>
                </c:pt>
              </c:numCache>
            </c:numRef>
          </c:val>
          <c:smooth val="0"/>
        </c:ser>
        <c:ser>
          <c:idx val="14"/>
          <c:order val="10"/>
          <c:tx>
            <c:strRef>
              <c:f>'Sugar (Adjusted)'!$W$6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(Adjusted)'!$W$7:$W$107</c:f>
              <c:numCache>
                <c:formatCode>0.0000</c:formatCode>
                <c:ptCount val="92"/>
                <c:pt idx="38">
                  <c:v>34.759036144578317</c:v>
                </c:pt>
                <c:pt idx="39">
                  <c:v>33.375999999999998</c:v>
                </c:pt>
                <c:pt idx="40">
                  <c:v>27.620137299771166</c:v>
                </c:pt>
                <c:pt idx="41">
                  <c:v>28.552447552447553</c:v>
                </c:pt>
                <c:pt idx="42">
                  <c:v>32.971014492753625</c:v>
                </c:pt>
                <c:pt idx="43">
                  <c:v>34.048657718120808</c:v>
                </c:pt>
                <c:pt idx="47">
                  <c:v>32.914117647058823</c:v>
                </c:pt>
                <c:pt idx="48">
                  <c:v>32.292704626334519</c:v>
                </c:pt>
                <c:pt idx="49">
                  <c:v>30.461267605633807</c:v>
                </c:pt>
                <c:pt idx="50">
                  <c:v>20.011997600479884</c:v>
                </c:pt>
                <c:pt idx="51">
                  <c:v>20.101010101010083</c:v>
                </c:pt>
                <c:pt idx="52">
                  <c:v>19.999999999999982</c:v>
                </c:pt>
                <c:pt idx="53">
                  <c:v>20.003617571059412</c:v>
                </c:pt>
                <c:pt idx="54">
                  <c:v>19.999999999999982</c:v>
                </c:pt>
                <c:pt idx="55">
                  <c:v>19.999999999999982</c:v>
                </c:pt>
                <c:pt idx="56">
                  <c:v>19.984381595609943</c:v>
                </c:pt>
                <c:pt idx="57">
                  <c:v>20.015032211882588</c:v>
                </c:pt>
                <c:pt idx="58">
                  <c:v>20.02430724355856</c:v>
                </c:pt>
                <c:pt idx="59">
                  <c:v>14.285586924219897</c:v>
                </c:pt>
                <c:pt idx="60">
                  <c:v>12.466206896551714</c:v>
                </c:pt>
                <c:pt idx="61">
                  <c:v>11.791481069042305</c:v>
                </c:pt>
                <c:pt idx="62">
                  <c:v>11.030940294899676</c:v>
                </c:pt>
                <c:pt idx="63">
                  <c:v>11.457943925233634</c:v>
                </c:pt>
                <c:pt idx="64">
                  <c:v>11.260264900662241</c:v>
                </c:pt>
                <c:pt idx="65">
                  <c:v>11.795501627700492</c:v>
                </c:pt>
                <c:pt idx="66">
                  <c:v>11.961949763740353</c:v>
                </c:pt>
                <c:pt idx="67">
                  <c:v>14.016312056737576</c:v>
                </c:pt>
                <c:pt idx="68">
                  <c:v>14.169767441860454</c:v>
                </c:pt>
                <c:pt idx="69">
                  <c:v>14.243548387096761</c:v>
                </c:pt>
                <c:pt idx="70">
                  <c:v>14.716235632183894</c:v>
                </c:pt>
                <c:pt idx="71">
                  <c:v>13.928595132743363</c:v>
                </c:pt>
                <c:pt idx="72">
                  <c:v>14.211078717201167</c:v>
                </c:pt>
                <c:pt idx="73">
                  <c:v>14.776032388663968</c:v>
                </c:pt>
              </c:numCache>
            </c:numRef>
          </c:val>
          <c:smooth val="0"/>
        </c:ser>
        <c:ser>
          <c:idx val="15"/>
          <c:order val="11"/>
          <c:tx>
            <c:strRef>
              <c:f>'Sugar (Adjusted)'!$AL$6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(Adjusted)'!$AL$7:$AL$107</c:f>
              <c:numCache>
                <c:formatCode>0.0000</c:formatCode>
                <c:ptCount val="92"/>
                <c:pt idx="34">
                  <c:v>22.986732186732198</c:v>
                </c:pt>
                <c:pt idx="35">
                  <c:v>22.0197126386836</c:v>
                </c:pt>
                <c:pt idx="36">
                  <c:v>22.9261036459874</c:v>
                </c:pt>
                <c:pt idx="37">
                  <c:v>23.3433151456464</c:v>
                </c:pt>
                <c:pt idx="38">
                  <c:v>20.350086075970403</c:v>
                </c:pt>
                <c:pt idx="39">
                  <c:v>23.9397305825728</c:v>
                </c:pt>
                <c:pt idx="40">
                  <c:v>23.940859862952003</c:v>
                </c:pt>
                <c:pt idx="41">
                  <c:v>24.458281547509802</c:v>
                </c:pt>
                <c:pt idx="42">
                  <c:v>23.245668362716199</c:v>
                </c:pt>
                <c:pt idx="43">
                  <c:v>22.868076754347801</c:v>
                </c:pt>
                <c:pt idx="44">
                  <c:v>22.866624663248398</c:v>
                </c:pt>
                <c:pt idx="45">
                  <c:v>15.41047169269638</c:v>
                </c:pt>
                <c:pt idx="46">
                  <c:v>15.01513384446406</c:v>
                </c:pt>
                <c:pt idx="47">
                  <c:v>14.55498012284874</c:v>
                </c:pt>
                <c:pt idx="48">
                  <c:v>14.045710192012439</c:v>
                </c:pt>
                <c:pt idx="49">
                  <c:v>14.294834535347182</c:v>
                </c:pt>
                <c:pt idx="50">
                  <c:v>19.957042809412059</c:v>
                </c:pt>
                <c:pt idx="51">
                  <c:v>15.835951917784721</c:v>
                </c:pt>
                <c:pt idx="52">
                  <c:v>17.143363353176099</c:v>
                </c:pt>
                <c:pt idx="53">
                  <c:v>13.116652058688661</c:v>
                </c:pt>
                <c:pt idx="54">
                  <c:v>12.91176159031224</c:v>
                </c:pt>
                <c:pt idx="55">
                  <c:v>13.465901190579642</c:v>
                </c:pt>
                <c:pt idx="56">
                  <c:v>13.917587603680841</c:v>
                </c:pt>
                <c:pt idx="57">
                  <c:v>13.07208709915704</c:v>
                </c:pt>
                <c:pt idx="58">
                  <c:v>12.167302752913681</c:v>
                </c:pt>
                <c:pt idx="59">
                  <c:v>12.315688797217641</c:v>
                </c:pt>
                <c:pt idx="60">
                  <c:v>11.350045860687722</c:v>
                </c:pt>
                <c:pt idx="61">
                  <c:v>10.277340287191381</c:v>
                </c:pt>
                <c:pt idx="62">
                  <c:v>9.2271240784219195</c:v>
                </c:pt>
                <c:pt idx="63">
                  <c:v>10.148226616301418</c:v>
                </c:pt>
                <c:pt idx="64">
                  <c:v>16.996465692983978</c:v>
                </c:pt>
                <c:pt idx="65">
                  <c:v>18</c:v>
                </c:pt>
                <c:pt idx="66">
                  <c:v>13.333023255813961</c:v>
                </c:pt>
                <c:pt idx="67">
                  <c:v>10.928431372549019</c:v>
                </c:pt>
                <c:pt idx="68">
                  <c:v>11.64516129032258</c:v>
                </c:pt>
                <c:pt idx="69">
                  <c:v>13.26602952393772</c:v>
                </c:pt>
                <c:pt idx="70">
                  <c:v>14.758822622900301</c:v>
                </c:pt>
                <c:pt idx="71">
                  <c:v>16.99236098774206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'Sugar (Adjusted)'!$AM$6</c:f>
              <c:strCache>
                <c:ptCount val="1"/>
                <c:pt idx="0">
                  <c:v>Muscat, Imports, Sugar, loaf,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317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(Adjusted)'!$AM$7:$AM$107</c:f>
              <c:numCache>
                <c:formatCode>0.0000</c:formatCode>
                <c:ptCount val="92"/>
                <c:pt idx="34">
                  <c:v>56.440637065636999</c:v>
                </c:pt>
                <c:pt idx="35">
                  <c:v>55.049281596709193</c:v>
                </c:pt>
                <c:pt idx="36">
                  <c:v>51.056696338046798</c:v>
                </c:pt>
                <c:pt idx="37">
                  <c:v>42.442391173902401</c:v>
                </c:pt>
                <c:pt idx="38">
                  <c:v>48.840206582328804</c:v>
                </c:pt>
                <c:pt idx="39">
                  <c:v>39.683877722463002</c:v>
                </c:pt>
                <c:pt idx="40">
                  <c:v>40.4581972877792</c:v>
                </c:pt>
                <c:pt idx="41">
                  <c:v>50.028303165360995</c:v>
                </c:pt>
                <c:pt idx="42">
                  <c:v>39.9742475594566</c:v>
                </c:pt>
                <c:pt idx="43">
                  <c:v>31.3212264170464</c:v>
                </c:pt>
                <c:pt idx="44">
                  <c:v>31.359942395312199</c:v>
                </c:pt>
                <c:pt idx="45">
                  <c:v>30.082315112540201</c:v>
                </c:pt>
                <c:pt idx="46">
                  <c:v>19.909691823196638</c:v>
                </c:pt>
                <c:pt idx="47">
                  <c:v>19.60802982587548</c:v>
                </c:pt>
                <c:pt idx="48">
                  <c:v>26.559161090350798</c:v>
                </c:pt>
                <c:pt idx="49">
                  <c:v>21.612078059827201</c:v>
                </c:pt>
                <c:pt idx="50">
                  <c:v>23.6632059160676</c:v>
                </c:pt>
                <c:pt idx="51">
                  <c:v>20.935665247240799</c:v>
                </c:pt>
                <c:pt idx="52">
                  <c:v>18.941047828507639</c:v>
                </c:pt>
                <c:pt idx="53">
                  <c:v>27.798072394857002</c:v>
                </c:pt>
                <c:pt idx="70">
                  <c:v>12.880434782608701</c:v>
                </c:pt>
                <c:pt idx="71">
                  <c:v>22.732240437158403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'Sugar (Adjusted)'!$AO$6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317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(Adjusted)'!$AO$7:$AO$107</c:f>
              <c:numCache>
                <c:formatCode>0.0000</c:formatCode>
                <c:ptCount val="92"/>
                <c:pt idx="34">
                  <c:v>18.81354568854568</c:v>
                </c:pt>
                <c:pt idx="35">
                  <c:v>22.0197126386836</c:v>
                </c:pt>
                <c:pt idx="36">
                  <c:v>20.4226785352188</c:v>
                </c:pt>
                <c:pt idx="37">
                  <c:v>21.2211955869512</c:v>
                </c:pt>
                <c:pt idx="38">
                  <c:v>20.350086075970403</c:v>
                </c:pt>
                <c:pt idx="39">
                  <c:v>21.826132747354599</c:v>
                </c:pt>
                <c:pt idx="40">
                  <c:v>36.412377559001399</c:v>
                </c:pt>
                <c:pt idx="41">
                  <c:v>36.020378279059997</c:v>
                </c:pt>
                <c:pt idx="42">
                  <c:v>19.987123779728279</c:v>
                </c:pt>
                <c:pt idx="43">
                  <c:v>32.7263581236394</c:v>
                </c:pt>
                <c:pt idx="44">
                  <c:v>15.297532875762021</c:v>
                </c:pt>
                <c:pt idx="45">
                  <c:v>15.0411575562701</c:v>
                </c:pt>
                <c:pt idx="46">
                  <c:v>14.27349229971818</c:v>
                </c:pt>
                <c:pt idx="47">
                  <c:v>13.84096223002976</c:v>
                </c:pt>
                <c:pt idx="48">
                  <c:v>13.279580545175399</c:v>
                </c:pt>
                <c:pt idx="49">
                  <c:v>16.526883222220839</c:v>
                </c:pt>
                <c:pt idx="50">
                  <c:v>16.176019669186861</c:v>
                </c:pt>
                <c:pt idx="51">
                  <c:v>17.446387706033999</c:v>
                </c:pt>
                <c:pt idx="52">
                  <c:v>15.389601360662459</c:v>
                </c:pt>
                <c:pt idx="53">
                  <c:v>15.288939817171322</c:v>
                </c:pt>
                <c:pt idx="54">
                  <c:v>13.444123452805119</c:v>
                </c:pt>
              </c:numCache>
            </c:numRef>
          </c:val>
          <c:smooth val="0"/>
        </c:ser>
        <c:ser>
          <c:idx val="0"/>
          <c:order val="14"/>
          <c:tx>
            <c:strRef>
              <c:f>'Sugar (Adjusted)'!$R$6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'Sugar (Adjusted)'!$R$7:$R$107</c:f>
              <c:numCache>
                <c:formatCode>0.0000</c:formatCode>
                <c:ptCount val="92"/>
                <c:pt idx="45">
                  <c:v>24.972678448330424</c:v>
                </c:pt>
                <c:pt idx="47">
                  <c:v>21.189297552029366</c:v>
                </c:pt>
                <c:pt idx="59">
                  <c:v>12.263295371434541</c:v>
                </c:pt>
                <c:pt idx="61">
                  <c:v>9.2203443719137184</c:v>
                </c:pt>
                <c:pt idx="63">
                  <c:v>10.668928419971877</c:v>
                </c:pt>
                <c:pt idx="64">
                  <c:v>16.397714743910996</c:v>
                </c:pt>
                <c:pt idx="67">
                  <c:v>15.765576389472798</c:v>
                </c:pt>
                <c:pt idx="70">
                  <c:v>16.087092188745999</c:v>
                </c:pt>
                <c:pt idx="71">
                  <c:v>16.571092897703434</c:v>
                </c:pt>
              </c:numCache>
            </c:numRef>
          </c:val>
          <c:smooth val="0"/>
        </c:ser>
        <c:ser>
          <c:idx val="1"/>
          <c:order val="15"/>
          <c:tx>
            <c:strRef>
              <c:f>'Sugar (Adjusted)'!$S$6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'Sugar (Adjusted)'!$S$7:$S$107</c:f>
              <c:numCache>
                <c:formatCode>0.0000</c:formatCode>
                <c:ptCount val="92"/>
                <c:pt idx="67">
                  <c:v>21.691176470588236</c:v>
                </c:pt>
                <c:pt idx="70">
                  <c:v>27.545233594382932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'Sugar (Adjusted)'!$AS$6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'Sugar (Adjusted)'!$AS$7:$AS$107</c:f>
              <c:numCache>
                <c:formatCode>General</c:formatCode>
                <c:ptCount val="92"/>
                <c:pt idx="28" formatCode="0.0000">
                  <c:v>24.723766192500221</c:v>
                </c:pt>
                <c:pt idx="29" formatCode="0.0000">
                  <c:v>24.852838008688462</c:v>
                </c:pt>
                <c:pt idx="30" formatCode="0.0000">
                  <c:v>28.227400490682861</c:v>
                </c:pt>
                <c:pt idx="31" formatCode="0.0000">
                  <c:v>29.143223000977518</c:v>
                </c:pt>
                <c:pt idx="32" formatCode="0.0000">
                  <c:v>27.68417542250851</c:v>
                </c:pt>
                <c:pt idx="33" formatCode="0.0000">
                  <c:v>29.836883915333306</c:v>
                </c:pt>
                <c:pt idx="34" formatCode="0.0000">
                  <c:v>28.115808261410574</c:v>
                </c:pt>
                <c:pt idx="35" formatCode="0.0000">
                  <c:v>31.22040225230969</c:v>
                </c:pt>
                <c:pt idx="36" formatCode="0.0000">
                  <c:v>27.572537244143422</c:v>
                </c:pt>
                <c:pt idx="37" formatCode="0.0000">
                  <c:v>32.918562926412207</c:v>
                </c:pt>
                <c:pt idx="38" formatCode="0.0000">
                  <c:v>29.313641206416875</c:v>
                </c:pt>
                <c:pt idx="39" formatCode="0.0000">
                  <c:v>27.734262334416552</c:v>
                </c:pt>
                <c:pt idx="40" formatCode="0.0000">
                  <c:v>30.344136332356499</c:v>
                </c:pt>
                <c:pt idx="41" formatCode="0.0000">
                  <c:v>28.381573817976104</c:v>
                </c:pt>
                <c:pt idx="42" formatCode="0.0000">
                  <c:v>27.770660597264904</c:v>
                </c:pt>
                <c:pt idx="43" formatCode="0.0000">
                  <c:v>26.530906556271816</c:v>
                </c:pt>
                <c:pt idx="44" formatCode="0.0000">
                  <c:v>25.412926284157294</c:v>
                </c:pt>
                <c:pt idx="45" formatCode="0.0000">
                  <c:v>19.351075139529438</c:v>
                </c:pt>
                <c:pt idx="46" formatCode="0.0000">
                  <c:v>18.77296048332342</c:v>
                </c:pt>
                <c:pt idx="47" formatCode="0.0000">
                  <c:v>17.5147789403986</c:v>
                </c:pt>
                <c:pt idx="48" formatCode="0.0000">
                  <c:v>16.767139319320258</c:v>
                </c:pt>
                <c:pt idx="49" formatCode="0.0000">
                  <c:v>16.785209102519335</c:v>
                </c:pt>
                <c:pt idx="50" formatCode="0.0000">
                  <c:v>20.393994595642464</c:v>
                </c:pt>
                <c:pt idx="51" formatCode="0.0000">
                  <c:v>16.532026244842267</c:v>
                </c:pt>
                <c:pt idx="52" formatCode="0.0000">
                  <c:v>16.22481590821884</c:v>
                </c:pt>
                <c:pt idx="53" formatCode="0.0000">
                  <c:v>18.587318040504503</c:v>
                </c:pt>
                <c:pt idx="54" formatCode="0.0000">
                  <c:v>13.406381884338854</c:v>
                </c:pt>
                <c:pt idx="55" formatCode="0.0000">
                  <c:v>12.48864810871536</c:v>
                </c:pt>
                <c:pt idx="56" formatCode="0.0000">
                  <c:v>14.259756347350024</c:v>
                </c:pt>
                <c:pt idx="57" formatCode="0.0000">
                  <c:v>13.755659255588769</c:v>
                </c:pt>
                <c:pt idx="58" formatCode="0.0000">
                  <c:v>13.057254328822872</c:v>
                </c:pt>
                <c:pt idx="59" formatCode="0.0000">
                  <c:v>13.031110173746168</c:v>
                </c:pt>
                <c:pt idx="60" formatCode="0.0000">
                  <c:v>13.996592885227827</c:v>
                </c:pt>
                <c:pt idx="61" formatCode="0.0000">
                  <c:v>14.423713620561537</c:v>
                </c:pt>
                <c:pt idx="62" formatCode="0.0000">
                  <c:v>12.35794290804731</c:v>
                </c:pt>
                <c:pt idx="63" formatCode="0.0000">
                  <c:v>12.042927750595078</c:v>
                </c:pt>
                <c:pt idx="64" formatCode="0.0000">
                  <c:v>11.912004450290457</c:v>
                </c:pt>
                <c:pt idx="65" formatCode="0.0000">
                  <c:v>14.540824658150829</c:v>
                </c:pt>
                <c:pt idx="66" formatCode="0.0000">
                  <c:v>11.086421812960154</c:v>
                </c:pt>
                <c:pt idx="67" formatCode="0.0000">
                  <c:v>11.425879287311739</c:v>
                </c:pt>
                <c:pt idx="68" formatCode="0.0000">
                  <c:v>11.732814229333387</c:v>
                </c:pt>
                <c:pt idx="69" formatCode="0.0000">
                  <c:v>11.870319596561723</c:v>
                </c:pt>
                <c:pt idx="70" formatCode="0.0000">
                  <c:v>12.203275852379385</c:v>
                </c:pt>
                <c:pt idx="71" formatCode="0.0000">
                  <c:v>11.117461583754942</c:v>
                </c:pt>
                <c:pt idx="72" formatCode="0.0000">
                  <c:v>13.981217015677361</c:v>
                </c:pt>
                <c:pt idx="73" formatCode="0.0000">
                  <c:v>11.224429772037848</c:v>
                </c:pt>
                <c:pt idx="74" formatCode="0.0000">
                  <c:v>7.777506707227543</c:v>
                </c:pt>
                <c:pt idx="75" formatCode="0.0000">
                  <c:v>11.938079759607104</c:v>
                </c:pt>
                <c:pt idx="76" formatCode="0.0000">
                  <c:v>15.276686018822531</c:v>
                </c:pt>
                <c:pt idx="77" formatCode="0.0000">
                  <c:v>17.019639196147629</c:v>
                </c:pt>
                <c:pt idx="78" formatCode="0.0000">
                  <c:v>15.611650371295196</c:v>
                </c:pt>
                <c:pt idx="79" formatCode="0.0000">
                  <c:v>18.534001287617944</c:v>
                </c:pt>
                <c:pt idx="80" formatCode="0.0000">
                  <c:v>36.276829501498362</c:v>
                </c:pt>
                <c:pt idx="81" formatCode="0.0000">
                  <c:v>21.890625000000004</c:v>
                </c:pt>
                <c:pt idx="82" formatCode="0.0000">
                  <c:v>15.750000000000002</c:v>
                </c:pt>
                <c:pt idx="83" formatCode="0.0000">
                  <c:v>16.6875</c:v>
                </c:pt>
                <c:pt idx="84" formatCode="0.0000">
                  <c:v>18.796875</c:v>
                </c:pt>
                <c:pt idx="85" formatCode="0.0000">
                  <c:v>8.8125</c:v>
                </c:pt>
                <c:pt idx="86" formatCode="0.0000">
                  <c:v>9.12890625</c:v>
                </c:pt>
                <c:pt idx="87" formatCode="0.0000">
                  <c:v>8.6484375</c:v>
                </c:pt>
                <c:pt idx="88" formatCode="0.0000">
                  <c:v>7.5351562500000009</c:v>
                </c:pt>
                <c:pt idx="89" formatCode="0.0000">
                  <c:v>7.1455078125000009</c:v>
                </c:pt>
                <c:pt idx="90" formatCode="0.0000">
                  <c:v>6.1737132352941178</c:v>
                </c:pt>
                <c:pt idx="91" formatCode="0.0000">
                  <c:v>6.1709558823529411</c:v>
                </c:pt>
              </c:numCache>
            </c:numRef>
          </c:val>
          <c:smooth val="0"/>
        </c:ser>
        <c:ser>
          <c:idx val="10"/>
          <c:order val="17"/>
          <c:tx>
            <c:strRef>
              <c:f>'Sugar (Adjusted)'!$AT$6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'Sugar (Adjusted)'!$AT$7:$AT$107</c:f>
              <c:numCache>
                <c:formatCode>General</c:formatCode>
                <c:ptCount val="92"/>
                <c:pt idx="3" formatCode="0.0000">
                  <c:v>28.196617412227337</c:v>
                </c:pt>
                <c:pt idx="4" formatCode="0.0000">
                  <c:v>27.949604045363685</c:v>
                </c:pt>
                <c:pt idx="5" formatCode="0.0000">
                  <c:v>28.005627009646297</c:v>
                </c:pt>
                <c:pt idx="6" formatCode="0.0000">
                  <c:v>27.914146122106828</c:v>
                </c:pt>
                <c:pt idx="7" formatCode="0.0000">
                  <c:v>23.732744878117664</c:v>
                </c:pt>
                <c:pt idx="8" formatCode="0.0000">
                  <c:v>19.662374894991448</c:v>
                </c:pt>
                <c:pt idx="9" formatCode="0.0000">
                  <c:v>18.737862913154306</c:v>
                </c:pt>
                <c:pt idx="10" formatCode="0.0000">
                  <c:v>19.821616733292771</c:v>
                </c:pt>
                <c:pt idx="11" formatCode="0.0000">
                  <c:v>22.501270965499252</c:v>
                </c:pt>
                <c:pt idx="12" formatCode="0.0000">
                  <c:v>17.98013346948234</c:v>
                </c:pt>
                <c:pt idx="13" formatCode="0.0000">
                  <c:v>21.376287259928738</c:v>
                </c:pt>
                <c:pt idx="14" formatCode="0.0000">
                  <c:v>19.11753715129921</c:v>
                </c:pt>
                <c:pt idx="15" formatCode="0.0000">
                  <c:v>16.888977565286346</c:v>
                </c:pt>
                <c:pt idx="16" formatCode="0.0000">
                  <c:v>22.301065384114015</c:v>
                </c:pt>
                <c:pt idx="17" formatCode="0.0000">
                  <c:v>31.882522594942198</c:v>
                </c:pt>
                <c:pt idx="18" formatCode="0.0000">
                  <c:v>28.284278048144603</c:v>
                </c:pt>
                <c:pt idx="19" formatCode="0.0000">
                  <c:v>25.767236790649164</c:v>
                </c:pt>
                <c:pt idx="20" formatCode="0.0000">
                  <c:v>23.860326866255317</c:v>
                </c:pt>
                <c:pt idx="21" formatCode="0.0000">
                  <c:v>22.334998533501341</c:v>
                </c:pt>
                <c:pt idx="22" formatCode="0.0000">
                  <c:v>23.349400093421391</c:v>
                </c:pt>
                <c:pt idx="23" formatCode="0.0000">
                  <c:v>22.574260504475529</c:v>
                </c:pt>
                <c:pt idx="24" formatCode="0.0000">
                  <c:v>23.249419284638325</c:v>
                </c:pt>
                <c:pt idx="25" formatCode="0.0000">
                  <c:v>25.31142643472451</c:v>
                </c:pt>
                <c:pt idx="26" formatCode="0.0000">
                  <c:v>23.968114517250367</c:v>
                </c:pt>
                <c:pt idx="27" formatCode="0.0000">
                  <c:v>22.619271829104019</c:v>
                </c:pt>
                <c:pt idx="28" formatCode="0.0000">
                  <c:v>21.576160163378809</c:v>
                </c:pt>
                <c:pt idx="29" formatCode="0.0000">
                  <c:v>22.828430019260598</c:v>
                </c:pt>
                <c:pt idx="30" formatCode="0.0000">
                  <c:v>21.859108675750942</c:v>
                </c:pt>
                <c:pt idx="31" formatCode="0.0000">
                  <c:v>20.935006250036015</c:v>
                </c:pt>
                <c:pt idx="32" formatCode="0.0000">
                  <c:v>19.625016861734178</c:v>
                </c:pt>
                <c:pt idx="33" formatCode="0.0000">
                  <c:v>22.684614563761073</c:v>
                </c:pt>
                <c:pt idx="34" formatCode="0.0000">
                  <c:v>20.467272784683193</c:v>
                </c:pt>
                <c:pt idx="35" formatCode="0.0000">
                  <c:v>16.981560026828127</c:v>
                </c:pt>
                <c:pt idx="36" formatCode="0.0000">
                  <c:v>16.311295907533946</c:v>
                </c:pt>
                <c:pt idx="37" formatCode="0.0000">
                  <c:v>18.371442674301239</c:v>
                </c:pt>
                <c:pt idx="38" formatCode="0.0000">
                  <c:v>17.701409686917525</c:v>
                </c:pt>
                <c:pt idx="39" formatCode="0.0000">
                  <c:v>18.371792195638442</c:v>
                </c:pt>
                <c:pt idx="40" formatCode="0.0000">
                  <c:v>21.258362383306121</c:v>
                </c:pt>
                <c:pt idx="41" formatCode="0.0000">
                  <c:v>19.204822171303324</c:v>
                </c:pt>
                <c:pt idx="42" formatCode="0.0000">
                  <c:v>18.374495188767387</c:v>
                </c:pt>
                <c:pt idx="43" formatCode="0.0000">
                  <c:v>17.267128990482966</c:v>
                </c:pt>
                <c:pt idx="44" formatCode="0.0000">
                  <c:v>16.321697242109604</c:v>
                </c:pt>
                <c:pt idx="45" formatCode="0.0000">
                  <c:v>13.844958314745501</c:v>
                </c:pt>
                <c:pt idx="46" formatCode="0.0000">
                  <c:v>14.579778664710719</c:v>
                </c:pt>
                <c:pt idx="47" formatCode="0.0000">
                  <c:v>13.754509856475238</c:v>
                </c:pt>
                <c:pt idx="48" formatCode="0.0000">
                  <c:v>12.202365298967639</c:v>
                </c:pt>
                <c:pt idx="49" formatCode="0.0000">
                  <c:v>14.122962432552697</c:v>
                </c:pt>
                <c:pt idx="50" formatCode="0.0000">
                  <c:v>18.132216432493781</c:v>
                </c:pt>
                <c:pt idx="51" formatCode="0.0000">
                  <c:v>14.005353096691174</c:v>
                </c:pt>
                <c:pt idx="52" formatCode="0.0000">
                  <c:v>12.294539095809549</c:v>
                </c:pt>
                <c:pt idx="53" formatCode="0.0000">
                  <c:v>12.436674493358293</c:v>
                </c:pt>
                <c:pt idx="54" formatCode="0.0000">
                  <c:v>11.017185954817593</c:v>
                </c:pt>
                <c:pt idx="55" formatCode="0.0000">
                  <c:v>8.7881702428286843</c:v>
                </c:pt>
                <c:pt idx="56" formatCode="0.0000">
                  <c:v>9.8089215031317831</c:v>
                </c:pt>
                <c:pt idx="57" formatCode="0.0000">
                  <c:v>9.6155154279792789</c:v>
                </c:pt>
                <c:pt idx="58" formatCode="0.0000">
                  <c:v>8.9184606074293278</c:v>
                </c:pt>
                <c:pt idx="59" formatCode="0.0000">
                  <c:v>10.297846272295217</c:v>
                </c:pt>
                <c:pt idx="60" formatCode="0.0000">
                  <c:v>10.675389276304514</c:v>
                </c:pt>
                <c:pt idx="61" formatCode="0.0000">
                  <c:v>11.233178337141371</c:v>
                </c:pt>
                <c:pt idx="62" formatCode="0.0000">
                  <c:v>9.4640263358361878</c:v>
                </c:pt>
                <c:pt idx="63" formatCode="0.0000">
                  <c:v>8.273625776316706</c:v>
                </c:pt>
                <c:pt idx="64" formatCode="0.0000">
                  <c:v>9.2198009199810791</c:v>
                </c:pt>
                <c:pt idx="65" formatCode="0.0000">
                  <c:v>11.387233483814104</c:v>
                </c:pt>
                <c:pt idx="66" formatCode="0.0000">
                  <c:v>11.406277020544206</c:v>
                </c:pt>
                <c:pt idx="67" formatCode="0.0000">
                  <c:v>11.809386820760526</c:v>
                </c:pt>
                <c:pt idx="68" formatCode="0.0000">
                  <c:v>11.174862103670669</c:v>
                </c:pt>
                <c:pt idx="69" formatCode="0.0000">
                  <c:v>11.892622663971354</c:v>
                </c:pt>
                <c:pt idx="70" formatCode="0.0000">
                  <c:v>11.85835734990339</c:v>
                </c:pt>
                <c:pt idx="71" formatCode="0.0000">
                  <c:v>11.722005098603528</c:v>
                </c:pt>
                <c:pt idx="72" formatCode="0.0000">
                  <c:v>11.43133378656597</c:v>
                </c:pt>
                <c:pt idx="73" formatCode="0.0000">
                  <c:v>12.482230121673528</c:v>
                </c:pt>
                <c:pt idx="74" formatCode="0.0000">
                  <c:v>8.5144729390568532</c:v>
                </c:pt>
                <c:pt idx="75" formatCode="0.0000">
                  <c:v>10.739134850770771</c:v>
                </c:pt>
                <c:pt idx="76" formatCode="0.0000">
                  <c:v>13.944502723174843</c:v>
                </c:pt>
                <c:pt idx="77" formatCode="0.0000">
                  <c:v>12.451333003167692</c:v>
                </c:pt>
                <c:pt idx="78" formatCode="0.0000">
                  <c:v>15.381746828985372</c:v>
                </c:pt>
                <c:pt idx="79" formatCode="0.0000">
                  <c:v>21.337093563370935</c:v>
                </c:pt>
                <c:pt idx="80" formatCode="0.0000">
                  <c:v>27.118314687688414</c:v>
                </c:pt>
                <c:pt idx="81" formatCode="0.0000">
                  <c:v>17.386363636363637</c:v>
                </c:pt>
                <c:pt idx="82" formatCode="0.0000">
                  <c:v>12.272727272727273</c:v>
                </c:pt>
                <c:pt idx="83" formatCode="0.0000">
                  <c:v>15.596590909090908</c:v>
                </c:pt>
                <c:pt idx="84" formatCode="0.0000">
                  <c:v>9.4602272727272734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123616"/>
        <c:axId val="721437456"/>
      </c:lineChart>
      <c:catAx>
        <c:axId val="62212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437456"/>
        <c:crosses val="autoZero"/>
        <c:auto val="1"/>
        <c:lblAlgn val="ctr"/>
        <c:lblOffset val="100"/>
        <c:noMultiLvlLbl val="0"/>
      </c:catAx>
      <c:valAx>
        <c:axId val="7214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12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608715898591206"/>
          <c:y val="0.14633419468077327"/>
          <c:w val="0.23391284101408782"/>
          <c:h val="0.78367421564564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Sugar, UK, Black Sea, Mediterranean Sea, Muscat &amp; India, in pound/ton</a:t>
            </a:r>
          </a:p>
          <a:p>
            <a:pPr algn="l">
              <a:defRPr b="1"/>
            </a:pPr>
            <a:r>
              <a:rPr lang="en-US" sz="800" b="1" i="1" baseline="0">
                <a:solidFill>
                  <a:schemeClr val="tx1"/>
                </a:solidFill>
                <a:effectLst/>
              </a:rPr>
              <a:t>Note: Muscat prices are average of loaf and crystallized/moist for years both are available,</a:t>
            </a:r>
          </a:p>
          <a:p>
            <a:pPr algn="l">
              <a:defRPr b="1"/>
            </a:pPr>
            <a:r>
              <a:rPr lang="en-US" sz="800" b="1" i="1" baseline="0">
                <a:solidFill>
                  <a:schemeClr val="tx1"/>
                </a:solidFill>
                <a:effectLst/>
              </a:rPr>
              <a:t>Damascus and Beirut prices are averaged.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'Sugar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'Sugar (Adjusted)'!$D$6</c:f>
              <c:strCache>
                <c:ptCount val="1"/>
                <c:pt idx="0">
                  <c:v>UK,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(Adjusted)'!$D$7:$D$107</c:f>
              <c:numCache>
                <c:formatCode>0.0000</c:formatCode>
                <c:ptCount val="92"/>
                <c:pt idx="13">
                  <c:v>33.6535865308445</c:v>
                </c:pt>
                <c:pt idx="14">
                  <c:v>34.897354142193883</c:v>
                </c:pt>
                <c:pt idx="15">
                  <c:v>45.53952735808209</c:v>
                </c:pt>
                <c:pt idx="16">
                  <c:v>51.373613247842833</c:v>
                </c:pt>
                <c:pt idx="17">
                  <c:v>59.356588500375537</c:v>
                </c:pt>
                <c:pt idx="18">
                  <c:v>56.965582272512961</c:v>
                </c:pt>
                <c:pt idx="19">
                  <c:v>57.016567218907291</c:v>
                </c:pt>
                <c:pt idx="20">
                  <c:v>55.663936167701422</c:v>
                </c:pt>
                <c:pt idx="21">
                  <c:v>49.239794153565953</c:v>
                </c:pt>
                <c:pt idx="22">
                  <c:v>49.797805224184685</c:v>
                </c:pt>
                <c:pt idx="23">
                  <c:v>36.229260610495885</c:v>
                </c:pt>
                <c:pt idx="24">
                  <c:v>33.426332471920446</c:v>
                </c:pt>
                <c:pt idx="25">
                  <c:v>30.24</c:v>
                </c:pt>
                <c:pt idx="26">
                  <c:v>30.05</c:v>
                </c:pt>
                <c:pt idx="27">
                  <c:v>30.84</c:v>
                </c:pt>
                <c:pt idx="28">
                  <c:v>34.630000000000003</c:v>
                </c:pt>
                <c:pt idx="29">
                  <c:v>36.14</c:v>
                </c:pt>
                <c:pt idx="30">
                  <c:v>32.25</c:v>
                </c:pt>
                <c:pt idx="31">
                  <c:v>31.85</c:v>
                </c:pt>
                <c:pt idx="32">
                  <c:v>32.08</c:v>
                </c:pt>
                <c:pt idx="33">
                  <c:v>30.02</c:v>
                </c:pt>
                <c:pt idx="34">
                  <c:v>26.5</c:v>
                </c:pt>
                <c:pt idx="35">
                  <c:v>23.64</c:v>
                </c:pt>
                <c:pt idx="36">
                  <c:v>22.88</c:v>
                </c:pt>
                <c:pt idx="37">
                  <c:v>27.56</c:v>
                </c:pt>
                <c:pt idx="38">
                  <c:v>23.11</c:v>
                </c:pt>
                <c:pt idx="39">
                  <c:v>21.67</c:v>
                </c:pt>
                <c:pt idx="40">
                  <c:v>23.34</c:v>
                </c:pt>
                <c:pt idx="41">
                  <c:v>23.65</c:v>
                </c:pt>
                <c:pt idx="42">
                  <c:v>23.3</c:v>
                </c:pt>
                <c:pt idx="43">
                  <c:v>21.4</c:v>
                </c:pt>
                <c:pt idx="44">
                  <c:v>17.170000000000002</c:v>
                </c:pt>
                <c:pt idx="45">
                  <c:v>15.33</c:v>
                </c:pt>
                <c:pt idx="46">
                  <c:v>14.23</c:v>
                </c:pt>
                <c:pt idx="47">
                  <c:v>13.19</c:v>
                </c:pt>
                <c:pt idx="48">
                  <c:v>15.05</c:v>
                </c:pt>
                <c:pt idx="49">
                  <c:v>16.14</c:v>
                </c:pt>
                <c:pt idx="50">
                  <c:v>14.26</c:v>
                </c:pt>
                <c:pt idx="51">
                  <c:v>14.39</c:v>
                </c:pt>
                <c:pt idx="52">
                  <c:v>15.17</c:v>
                </c:pt>
                <c:pt idx="53">
                  <c:v>16.09</c:v>
                </c:pt>
                <c:pt idx="54">
                  <c:v>14.05</c:v>
                </c:pt>
                <c:pt idx="55">
                  <c:v>11.88</c:v>
                </c:pt>
                <c:pt idx="56">
                  <c:v>12.01</c:v>
                </c:pt>
                <c:pt idx="57">
                  <c:v>10.88</c:v>
                </c:pt>
                <c:pt idx="58">
                  <c:v>11.26</c:v>
                </c:pt>
                <c:pt idx="59">
                  <c:v>12.23</c:v>
                </c:pt>
                <c:pt idx="60">
                  <c:v>12.59</c:v>
                </c:pt>
                <c:pt idx="61">
                  <c:v>12.61</c:v>
                </c:pt>
                <c:pt idx="62">
                  <c:v>11.16</c:v>
                </c:pt>
                <c:pt idx="63">
                  <c:v>11.95</c:v>
                </c:pt>
                <c:pt idx="64">
                  <c:v>12.49</c:v>
                </c:pt>
                <c:pt idx="65">
                  <c:v>15.21</c:v>
                </c:pt>
                <c:pt idx="66">
                  <c:v>12.52</c:v>
                </c:pt>
                <c:pt idx="67">
                  <c:v>13.9</c:v>
                </c:pt>
                <c:pt idx="68">
                  <c:v>14.54</c:v>
                </c:pt>
                <c:pt idx="69">
                  <c:v>14.56</c:v>
                </c:pt>
                <c:pt idx="70">
                  <c:v>15.89</c:v>
                </c:pt>
                <c:pt idx="71">
                  <c:v>15.39</c:v>
                </c:pt>
                <c:pt idx="72">
                  <c:v>17.649999999999999</c:v>
                </c:pt>
                <c:pt idx="73">
                  <c:v>14.39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'Sugar (Adjusted)'!$K$6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(Adjusted)'!$K$7:$K$107</c:f>
              <c:numCache>
                <c:formatCode>0.0000</c:formatCode>
                <c:ptCount val="92"/>
                <c:pt idx="45">
                  <c:v>19.944038315830326</c:v>
                </c:pt>
                <c:pt idx="46">
                  <c:v>19.867353735308726</c:v>
                </c:pt>
                <c:pt idx="47">
                  <c:v>17.764804379256915</c:v>
                </c:pt>
                <c:pt idx="48">
                  <c:v>19.380984590096954</c:v>
                </c:pt>
                <c:pt idx="49">
                  <c:v>19.053879364947644</c:v>
                </c:pt>
                <c:pt idx="50">
                  <c:v>19.277698651014685</c:v>
                </c:pt>
                <c:pt idx="51">
                  <c:v>18.184306346950031</c:v>
                </c:pt>
                <c:pt idx="52">
                  <c:v>18.060488320648407</c:v>
                </c:pt>
                <c:pt idx="53">
                  <c:v>19.254556155635321</c:v>
                </c:pt>
                <c:pt idx="54">
                  <c:v>14.858999191598164</c:v>
                </c:pt>
                <c:pt idx="55">
                  <c:v>11.540299602036621</c:v>
                </c:pt>
                <c:pt idx="56">
                  <c:v>12.887469775949175</c:v>
                </c:pt>
                <c:pt idx="57">
                  <c:v>11.561926850166376</c:v>
                </c:pt>
                <c:pt idx="58">
                  <c:v>12.267247608464125</c:v>
                </c:pt>
                <c:pt idx="59">
                  <c:v>12.246014560073954</c:v>
                </c:pt>
                <c:pt idx="60">
                  <c:v>11.773442840507915</c:v>
                </c:pt>
                <c:pt idx="61">
                  <c:v>10.538214576974562</c:v>
                </c:pt>
                <c:pt idx="62">
                  <c:v>9.4133004482763898</c:v>
                </c:pt>
                <c:pt idx="63">
                  <c:v>9.531656603749834</c:v>
                </c:pt>
                <c:pt idx="64">
                  <c:v>11.433839540722561</c:v>
                </c:pt>
                <c:pt idx="65">
                  <c:v>12.530117103403153</c:v>
                </c:pt>
                <c:pt idx="66">
                  <c:v>11.416930516936914</c:v>
                </c:pt>
                <c:pt idx="67">
                  <c:v>11.348387969616775</c:v>
                </c:pt>
                <c:pt idx="68">
                  <c:v>11.084855056913323</c:v>
                </c:pt>
                <c:pt idx="69">
                  <c:v>12.088185079100736</c:v>
                </c:pt>
                <c:pt idx="70">
                  <c:v>12.111957190580195</c:v>
                </c:pt>
                <c:pt idx="71">
                  <c:v>13.253959837654421</c:v>
                </c:pt>
                <c:pt idx="72">
                  <c:v>12.290086488049331</c:v>
                </c:pt>
                <c:pt idx="73">
                  <c:v>11.723038849601229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'Sugar (Adjusted)'!$L$6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(Adjusted)'!$L$7:$L$107</c:f>
              <c:numCache>
                <c:formatCode>0.0000</c:formatCode>
                <c:ptCount val="92"/>
                <c:pt idx="45">
                  <c:v>13.172974312493501</c:v>
                </c:pt>
                <c:pt idx="46">
                  <c:v>12.032882723655129</c:v>
                </c:pt>
                <c:pt idx="47">
                  <c:v>11.156106782812158</c:v>
                </c:pt>
                <c:pt idx="48">
                  <c:v>12.977666242574502</c:v>
                </c:pt>
                <c:pt idx="49">
                  <c:v>15.32598604560105</c:v>
                </c:pt>
                <c:pt idx="50">
                  <c:v>12.813999691556822</c:v>
                </c:pt>
                <c:pt idx="51">
                  <c:v>12.470987300120646</c:v>
                </c:pt>
                <c:pt idx="52">
                  <c:v>12.941768100250453</c:v>
                </c:pt>
                <c:pt idx="53">
                  <c:v>14.029586796951152</c:v>
                </c:pt>
                <c:pt idx="54">
                  <c:v>11.332664213895786</c:v>
                </c:pt>
                <c:pt idx="55">
                  <c:v>8.7148797629066301</c:v>
                </c:pt>
                <c:pt idx="56">
                  <c:v>10.561256703519332</c:v>
                </c:pt>
                <c:pt idx="57">
                  <c:v>8.8480444655200134</c:v>
                </c:pt>
                <c:pt idx="58">
                  <c:v>9.5825345559524475</c:v>
                </c:pt>
                <c:pt idx="59">
                  <c:v>10.477488310139508</c:v>
                </c:pt>
                <c:pt idx="60">
                  <c:v>10.892510850197096</c:v>
                </c:pt>
                <c:pt idx="61">
                  <c:v>11.161969302706314</c:v>
                </c:pt>
                <c:pt idx="62">
                  <c:v>8.2306081812381748</c:v>
                </c:pt>
                <c:pt idx="63">
                  <c:v>8.6004786826040611</c:v>
                </c:pt>
                <c:pt idx="64">
                  <c:v>10.575998431926488</c:v>
                </c:pt>
                <c:pt idx="65">
                  <c:v>13.211300811180092</c:v>
                </c:pt>
                <c:pt idx="66">
                  <c:v>9.1766580627684977</c:v>
                </c:pt>
                <c:pt idx="67">
                  <c:v>9.0023420340100149</c:v>
                </c:pt>
                <c:pt idx="68">
                  <c:v>12.963104326815934</c:v>
                </c:pt>
                <c:pt idx="69">
                  <c:v>13.681884138032189</c:v>
                </c:pt>
                <c:pt idx="70">
                  <c:v>16.949002831941026</c:v>
                </c:pt>
                <c:pt idx="71">
                  <c:v>17.11753747280585</c:v>
                </c:pt>
                <c:pt idx="72">
                  <c:v>18.442227792190579</c:v>
                </c:pt>
                <c:pt idx="73">
                  <c:v>15.637600088394857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'Sugar (Adjusted)'!$M$6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(Adjusted)'!$M$7:$M$107</c:f>
              <c:numCache>
                <c:formatCode>0.0000</c:formatCode>
                <c:ptCount val="92"/>
                <c:pt idx="34">
                  <c:v>37.054028302219706</c:v>
                </c:pt>
                <c:pt idx="35">
                  <c:v>39.671975954007038</c:v>
                </c:pt>
                <c:pt idx="36">
                  <c:v>49.011763596539296</c:v>
                </c:pt>
                <c:pt idx="37">
                  <c:v>45.808364517921824</c:v>
                </c:pt>
                <c:pt idx="39">
                  <c:v>33.003453266713215</c:v>
                </c:pt>
                <c:pt idx="40">
                  <c:v>35.132708316178594</c:v>
                </c:pt>
                <c:pt idx="41">
                  <c:v>36.596571162686082</c:v>
                </c:pt>
                <c:pt idx="42">
                  <c:v>31.038135426672419</c:v>
                </c:pt>
                <c:pt idx="43">
                  <c:v>33.09734477166208</c:v>
                </c:pt>
                <c:pt idx="44">
                  <c:v>26.155784683919741</c:v>
                </c:pt>
                <c:pt idx="45">
                  <c:v>32.000000000000028</c:v>
                </c:pt>
                <c:pt idx="46">
                  <c:v>20.57142857142858</c:v>
                </c:pt>
                <c:pt idx="47">
                  <c:v>24.107142857142914</c:v>
                </c:pt>
                <c:pt idx="48">
                  <c:v>21.739130434782609</c:v>
                </c:pt>
                <c:pt idx="49">
                  <c:v>20.000000000000004</c:v>
                </c:pt>
                <c:pt idx="50">
                  <c:v>20.000000000000004</c:v>
                </c:pt>
                <c:pt idx="51">
                  <c:v>20.128205128205128</c:v>
                </c:pt>
                <c:pt idx="52">
                  <c:v>20.370370370370363</c:v>
                </c:pt>
                <c:pt idx="53">
                  <c:v>17.999999999999986</c:v>
                </c:pt>
                <c:pt idx="54">
                  <c:v>15.999999999999993</c:v>
                </c:pt>
                <c:pt idx="55">
                  <c:v>15.319148936170217</c:v>
                </c:pt>
                <c:pt idx="56">
                  <c:v>15.888888888888893</c:v>
                </c:pt>
                <c:pt idx="57">
                  <c:v>14.078310602727683</c:v>
                </c:pt>
                <c:pt idx="58">
                  <c:v>15.999999999999993</c:v>
                </c:pt>
                <c:pt idx="59">
                  <c:v>14.999999999999996</c:v>
                </c:pt>
                <c:pt idx="60">
                  <c:v>13.744053282588004</c:v>
                </c:pt>
                <c:pt idx="61">
                  <c:v>14.300960512273209</c:v>
                </c:pt>
                <c:pt idx="62">
                  <c:v>11.34751773049646</c:v>
                </c:pt>
                <c:pt idx="63">
                  <c:v>12.56118383608424</c:v>
                </c:pt>
                <c:pt idx="64">
                  <c:v>15.063636363636359</c:v>
                </c:pt>
                <c:pt idx="65">
                  <c:v>17.653333333333332</c:v>
                </c:pt>
                <c:pt idx="66">
                  <c:v>15.389162561576363</c:v>
                </c:pt>
                <c:pt idx="67">
                  <c:v>16.357889618283494</c:v>
                </c:pt>
                <c:pt idx="68">
                  <c:v>20.372708145476402</c:v>
                </c:pt>
                <c:pt idx="69">
                  <c:v>18.733627562642361</c:v>
                </c:pt>
                <c:pt idx="70">
                  <c:v>20.372844827586206</c:v>
                </c:pt>
                <c:pt idx="71">
                  <c:v>18.280545899317634</c:v>
                </c:pt>
                <c:pt idx="72">
                  <c:v>18.666666666666657</c:v>
                </c:pt>
                <c:pt idx="73">
                  <c:v>16.330945986272759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'Sugar (Adjusted)'!$Q$6</c:f>
              <c:strCache>
                <c:ptCount val="1"/>
                <c:pt idx="0">
                  <c:v>Damascus &amp; Beirut,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(Adjusted)'!$Q$7:$Q$107</c:f>
              <c:numCache>
                <c:formatCode>0.0000</c:formatCode>
                <c:ptCount val="92"/>
                <c:pt idx="31">
                  <c:v>42.3229166666666</c:v>
                </c:pt>
                <c:pt idx="32">
                  <c:v>40.1145833333334</c:v>
                </c:pt>
                <c:pt idx="33">
                  <c:v>36.3333333333334</c:v>
                </c:pt>
                <c:pt idx="36">
                  <c:v>39.599734975446253</c:v>
                </c:pt>
                <c:pt idx="40">
                  <c:v>35.2770071869028</c:v>
                </c:pt>
                <c:pt idx="42">
                  <c:v>40.641999999999996</c:v>
                </c:pt>
                <c:pt idx="50">
                  <c:v>23.534469200524249</c:v>
                </c:pt>
                <c:pt idx="51">
                  <c:v>24.070588235294117</c:v>
                </c:pt>
                <c:pt idx="52">
                  <c:v>24</c:v>
                </c:pt>
                <c:pt idx="53">
                  <c:v>21.333333333333332</c:v>
                </c:pt>
                <c:pt idx="54">
                  <c:v>15.842678226323736</c:v>
                </c:pt>
                <c:pt idx="55">
                  <c:v>13.445378151260506</c:v>
                </c:pt>
                <c:pt idx="56">
                  <c:v>13.088529358298491</c:v>
                </c:pt>
                <c:pt idx="57">
                  <c:v>13</c:v>
                </c:pt>
                <c:pt idx="58">
                  <c:v>14.9</c:v>
                </c:pt>
                <c:pt idx="59">
                  <c:v>12.891891891891891</c:v>
                </c:pt>
                <c:pt idx="60">
                  <c:v>12</c:v>
                </c:pt>
                <c:pt idx="61">
                  <c:v>12.147651006711408</c:v>
                </c:pt>
                <c:pt idx="62">
                  <c:v>18.669778296382731</c:v>
                </c:pt>
                <c:pt idx="63">
                  <c:v>14.285714285714286</c:v>
                </c:pt>
                <c:pt idx="64">
                  <c:v>18.050541516245488</c:v>
                </c:pt>
                <c:pt idx="65">
                  <c:v>13.2</c:v>
                </c:pt>
                <c:pt idx="66">
                  <c:v>13.461538461538462</c:v>
                </c:pt>
                <c:pt idx="68">
                  <c:v>18.333333333333332</c:v>
                </c:pt>
                <c:pt idx="69">
                  <c:v>22.3</c:v>
                </c:pt>
                <c:pt idx="70">
                  <c:v>19.375</c:v>
                </c:pt>
                <c:pt idx="71">
                  <c:v>19.204545454545453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'Sugar (Adjusted)'!$T$6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(Adjusted)'!$T$7:$T$107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33.583333333333336</c:v>
                </c:pt>
                <c:pt idx="44">
                  <c:v>26</c:v>
                </c:pt>
                <c:pt idx="45">
                  <c:v>23.62954630671166</c:v>
                </c:pt>
                <c:pt idx="46">
                  <c:v>21.537463509568603</c:v>
                </c:pt>
                <c:pt idx="47">
                  <c:v>19.99768223432611</c:v>
                </c:pt>
                <c:pt idx="48">
                  <c:v>19.41562793191261</c:v>
                </c:pt>
                <c:pt idx="49">
                  <c:v>19.249399956360463</c:v>
                </c:pt>
                <c:pt idx="50">
                  <c:v>18.043596730245234</c:v>
                </c:pt>
                <c:pt idx="51">
                  <c:v>19.200755191944619</c:v>
                </c:pt>
                <c:pt idx="52">
                  <c:v>20</c:v>
                </c:pt>
                <c:pt idx="53">
                  <c:v>18.937397931409908</c:v>
                </c:pt>
                <c:pt idx="54">
                  <c:v>16.775542200156782</c:v>
                </c:pt>
                <c:pt idx="55">
                  <c:v>14.425962165688194</c:v>
                </c:pt>
                <c:pt idx="56">
                  <c:v>14.048938134810712</c:v>
                </c:pt>
                <c:pt idx="57">
                  <c:v>13.128413168981121</c:v>
                </c:pt>
                <c:pt idx="58">
                  <c:v>14.870077376140431</c:v>
                </c:pt>
                <c:pt idx="59">
                  <c:v>14.446543580936025</c:v>
                </c:pt>
                <c:pt idx="60">
                  <c:v>14.320486815415821</c:v>
                </c:pt>
                <c:pt idx="61">
                  <c:v>13.055899438148748</c:v>
                </c:pt>
                <c:pt idx="62">
                  <c:v>12.372333548804137</c:v>
                </c:pt>
                <c:pt idx="63">
                  <c:v>12.238229093464511</c:v>
                </c:pt>
                <c:pt idx="64">
                  <c:v>13.777179686946667</c:v>
                </c:pt>
                <c:pt idx="65">
                  <c:v>14.430274466315499</c:v>
                </c:pt>
                <c:pt idx="66">
                  <c:v>13.99592303485308</c:v>
                </c:pt>
                <c:pt idx="67">
                  <c:v>13.898464853218421</c:v>
                </c:pt>
                <c:pt idx="68">
                  <c:v>15.989291928791328</c:v>
                </c:pt>
                <c:pt idx="69">
                  <c:v>16.576486544364336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'Sugar (Adjusted)'!$U$6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(Adjusted)'!$U$7:$U$107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3">
                  <c:v>34.25</c:v>
                </c:pt>
                <c:pt idx="44">
                  <c:v>26.666666666666664</c:v>
                </c:pt>
                <c:pt idx="45">
                  <c:v>24.663951120162935</c:v>
                </c:pt>
                <c:pt idx="46">
                  <c:v>24.847612597358619</c:v>
                </c:pt>
                <c:pt idx="47">
                  <c:v>20</c:v>
                </c:pt>
                <c:pt idx="48">
                  <c:v>20.804988662131517</c:v>
                </c:pt>
                <c:pt idx="49">
                  <c:v>20</c:v>
                </c:pt>
                <c:pt idx="50">
                  <c:v>18.799911758217515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16.888888888888889</c:v>
                </c:pt>
                <c:pt idx="55">
                  <c:v>15.99809885931559</c:v>
                </c:pt>
                <c:pt idx="56">
                  <c:v>16</c:v>
                </c:pt>
                <c:pt idx="57">
                  <c:v>16.002906976744185</c:v>
                </c:pt>
                <c:pt idx="58">
                  <c:v>16.001461988304094</c:v>
                </c:pt>
                <c:pt idx="59">
                  <c:v>16.001662510390691</c:v>
                </c:pt>
                <c:pt idx="60">
                  <c:v>15.997652582159624</c:v>
                </c:pt>
                <c:pt idx="61">
                  <c:v>14.014251781472684</c:v>
                </c:pt>
                <c:pt idx="62">
                  <c:v>13.980582524271846</c:v>
                </c:pt>
                <c:pt idx="63">
                  <c:v>10</c:v>
                </c:pt>
                <c:pt idx="66">
                  <c:v>14.986276303751144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'Sugar (Adjusted)'!$V$6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(Adjusted)'!$V$7:$V$107</c:f>
              <c:numCache>
                <c:formatCode>0.0000</c:formatCode>
                <c:ptCount val="92"/>
                <c:pt idx="24">
                  <c:v>42</c:v>
                </c:pt>
                <c:pt idx="25">
                  <c:v>40</c:v>
                </c:pt>
                <c:pt idx="26">
                  <c:v>40</c:v>
                </c:pt>
                <c:pt idx="28">
                  <c:v>40</c:v>
                </c:pt>
                <c:pt idx="29">
                  <c:v>48</c:v>
                </c:pt>
                <c:pt idx="31">
                  <c:v>56</c:v>
                </c:pt>
                <c:pt idx="32">
                  <c:v>48</c:v>
                </c:pt>
                <c:pt idx="34">
                  <c:v>43</c:v>
                </c:pt>
                <c:pt idx="35">
                  <c:v>37</c:v>
                </c:pt>
                <c:pt idx="36">
                  <c:v>50</c:v>
                </c:pt>
                <c:pt idx="42">
                  <c:v>31.333333333333336</c:v>
                </c:pt>
                <c:pt idx="43">
                  <c:v>31.000000000000004</c:v>
                </c:pt>
                <c:pt idx="44">
                  <c:v>19.733333333333331</c:v>
                </c:pt>
                <c:pt idx="45">
                  <c:v>18.000000000000004</c:v>
                </c:pt>
                <c:pt idx="46">
                  <c:v>24.242424242424242</c:v>
                </c:pt>
                <c:pt idx="48">
                  <c:v>34.666616907996215</c:v>
                </c:pt>
                <c:pt idx="49">
                  <c:v>34.666143062844355</c:v>
                </c:pt>
                <c:pt idx="50">
                  <c:v>34.666666666666671</c:v>
                </c:pt>
                <c:pt idx="51">
                  <c:v>34.666610971292513</c:v>
                </c:pt>
                <c:pt idx="52">
                  <c:v>34.666167859835276</c:v>
                </c:pt>
                <c:pt idx="54">
                  <c:v>23.999918709100516</c:v>
                </c:pt>
                <c:pt idx="65">
                  <c:v>16.22762105263158</c:v>
                </c:pt>
                <c:pt idx="66">
                  <c:v>13.649410902875282</c:v>
                </c:pt>
                <c:pt idx="67">
                  <c:v>14.410941560605051</c:v>
                </c:pt>
                <c:pt idx="68">
                  <c:v>14.933459963198196</c:v>
                </c:pt>
                <c:pt idx="70">
                  <c:v>17.297409541608264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'Sugar (Adjusted)'!$W$6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(Adjusted)'!$W$7:$W$107</c:f>
              <c:numCache>
                <c:formatCode>0.0000</c:formatCode>
                <c:ptCount val="92"/>
                <c:pt idx="38">
                  <c:v>34.759036144578317</c:v>
                </c:pt>
                <c:pt idx="39">
                  <c:v>33.375999999999998</c:v>
                </c:pt>
                <c:pt idx="40">
                  <c:v>27.620137299771166</c:v>
                </c:pt>
                <c:pt idx="41">
                  <c:v>28.552447552447553</c:v>
                </c:pt>
                <c:pt idx="42">
                  <c:v>32.971014492753625</c:v>
                </c:pt>
                <c:pt idx="43">
                  <c:v>34.048657718120808</c:v>
                </c:pt>
                <c:pt idx="47">
                  <c:v>32.914117647058823</c:v>
                </c:pt>
                <c:pt idx="48">
                  <c:v>32.292704626334519</c:v>
                </c:pt>
                <c:pt idx="49">
                  <c:v>30.461267605633807</c:v>
                </c:pt>
                <c:pt idx="50">
                  <c:v>20.011997600479884</c:v>
                </c:pt>
                <c:pt idx="51">
                  <c:v>20.101010101010083</c:v>
                </c:pt>
                <c:pt idx="52">
                  <c:v>19.999999999999982</c:v>
                </c:pt>
                <c:pt idx="53">
                  <c:v>20.003617571059412</c:v>
                </c:pt>
                <c:pt idx="54">
                  <c:v>19.999999999999982</c:v>
                </c:pt>
                <c:pt idx="55">
                  <c:v>19.999999999999982</c:v>
                </c:pt>
                <c:pt idx="56">
                  <c:v>19.984381595609943</c:v>
                </c:pt>
                <c:pt idx="57">
                  <c:v>20.015032211882588</c:v>
                </c:pt>
                <c:pt idx="58">
                  <c:v>20.02430724355856</c:v>
                </c:pt>
                <c:pt idx="59">
                  <c:v>14.285586924219897</c:v>
                </c:pt>
                <c:pt idx="60">
                  <c:v>12.466206896551714</c:v>
                </c:pt>
                <c:pt idx="61">
                  <c:v>11.791481069042305</c:v>
                </c:pt>
                <c:pt idx="62">
                  <c:v>11.030940294899676</c:v>
                </c:pt>
                <c:pt idx="63">
                  <c:v>11.457943925233634</c:v>
                </c:pt>
                <c:pt idx="64">
                  <c:v>11.260264900662241</c:v>
                </c:pt>
                <c:pt idx="65">
                  <c:v>11.795501627700492</c:v>
                </c:pt>
                <c:pt idx="66">
                  <c:v>11.961949763740353</c:v>
                </c:pt>
                <c:pt idx="67">
                  <c:v>14.016312056737576</c:v>
                </c:pt>
                <c:pt idx="68">
                  <c:v>14.169767441860454</c:v>
                </c:pt>
                <c:pt idx="69">
                  <c:v>14.243548387096761</c:v>
                </c:pt>
                <c:pt idx="70">
                  <c:v>14.716235632183894</c:v>
                </c:pt>
                <c:pt idx="71">
                  <c:v>13.928595132743363</c:v>
                </c:pt>
                <c:pt idx="72">
                  <c:v>14.211078717201167</c:v>
                </c:pt>
                <c:pt idx="73">
                  <c:v>14.776032388663968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'Sugar (Adjusted)'!$AN$6</c:f>
              <c:strCache>
                <c:ptCount val="1"/>
                <c:pt idx="0">
                  <c:v>Muscat, Imports, Sugar (average),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317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(Adjusted)'!$AN$7:$AN$107</c:f>
              <c:numCache>
                <c:formatCode>0.0000</c:formatCode>
                <c:ptCount val="92"/>
                <c:pt idx="34">
                  <c:v>39.713684626184602</c:v>
                </c:pt>
                <c:pt idx="35">
                  <c:v>38.534497117696397</c:v>
                </c:pt>
                <c:pt idx="36">
                  <c:v>36.991399992017101</c:v>
                </c:pt>
                <c:pt idx="37">
                  <c:v>32.892853159774404</c:v>
                </c:pt>
                <c:pt idx="38">
                  <c:v>34.5951463291496</c:v>
                </c:pt>
                <c:pt idx="39">
                  <c:v>31.811804152517901</c:v>
                </c:pt>
                <c:pt idx="40">
                  <c:v>32.199528575365605</c:v>
                </c:pt>
                <c:pt idx="41">
                  <c:v>37.243292356435397</c:v>
                </c:pt>
                <c:pt idx="42">
                  <c:v>31.609957961086401</c:v>
                </c:pt>
                <c:pt idx="43">
                  <c:v>27.0946515856971</c:v>
                </c:pt>
                <c:pt idx="44">
                  <c:v>27.113283529280299</c:v>
                </c:pt>
                <c:pt idx="45">
                  <c:v>22.746393402618288</c:v>
                </c:pt>
                <c:pt idx="46">
                  <c:v>17.462412833830349</c:v>
                </c:pt>
                <c:pt idx="47">
                  <c:v>17.081504974362112</c:v>
                </c:pt>
                <c:pt idx="48">
                  <c:v>20.302435641181617</c:v>
                </c:pt>
                <c:pt idx="49">
                  <c:v>17.953456297587191</c:v>
                </c:pt>
                <c:pt idx="50">
                  <c:v>21.810124362739828</c:v>
                </c:pt>
                <c:pt idx="51">
                  <c:v>18.385808582512759</c:v>
                </c:pt>
                <c:pt idx="52">
                  <c:v>18.042205590841867</c:v>
                </c:pt>
                <c:pt idx="53">
                  <c:v>20.45736222677283</c:v>
                </c:pt>
                <c:pt idx="54">
                  <c:v>12.91176159031224</c:v>
                </c:pt>
                <c:pt idx="55">
                  <c:v>13.465901190579642</c:v>
                </c:pt>
                <c:pt idx="56">
                  <c:v>13.917587603680841</c:v>
                </c:pt>
                <c:pt idx="57">
                  <c:v>13.07208709915704</c:v>
                </c:pt>
                <c:pt idx="58">
                  <c:v>12.167302752913681</c:v>
                </c:pt>
                <c:pt idx="59">
                  <c:v>12.315688797217641</c:v>
                </c:pt>
                <c:pt idx="60">
                  <c:v>11.350045860687722</c:v>
                </c:pt>
                <c:pt idx="61">
                  <c:v>10.277340287191381</c:v>
                </c:pt>
                <c:pt idx="62">
                  <c:v>9.2271240784219195</c:v>
                </c:pt>
                <c:pt idx="63">
                  <c:v>10.148226616301418</c:v>
                </c:pt>
                <c:pt idx="64">
                  <c:v>16.996465692983978</c:v>
                </c:pt>
                <c:pt idx="65">
                  <c:v>18</c:v>
                </c:pt>
                <c:pt idx="66">
                  <c:v>13.333023255813961</c:v>
                </c:pt>
                <c:pt idx="67">
                  <c:v>10.928431372549019</c:v>
                </c:pt>
                <c:pt idx="68">
                  <c:v>11.64516129032258</c:v>
                </c:pt>
                <c:pt idx="69">
                  <c:v>13.26602952393772</c:v>
                </c:pt>
                <c:pt idx="70">
                  <c:v>13.8196287027545</c:v>
                </c:pt>
                <c:pt idx="71">
                  <c:v>19.862300712450232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'Sugar (Adjusted)'!$AO$6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317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'Sugar (Adjusted)'!$AO$7:$AO$107</c:f>
              <c:numCache>
                <c:formatCode>0.0000</c:formatCode>
                <c:ptCount val="92"/>
                <c:pt idx="34">
                  <c:v>18.81354568854568</c:v>
                </c:pt>
                <c:pt idx="35">
                  <c:v>22.0197126386836</c:v>
                </c:pt>
                <c:pt idx="36">
                  <c:v>20.4226785352188</c:v>
                </c:pt>
                <c:pt idx="37">
                  <c:v>21.2211955869512</c:v>
                </c:pt>
                <c:pt idx="38">
                  <c:v>20.350086075970403</c:v>
                </c:pt>
                <c:pt idx="39">
                  <c:v>21.826132747354599</c:v>
                </c:pt>
                <c:pt idx="40">
                  <c:v>36.412377559001399</c:v>
                </c:pt>
                <c:pt idx="41">
                  <c:v>36.020378279059997</c:v>
                </c:pt>
                <c:pt idx="42">
                  <c:v>19.987123779728279</c:v>
                </c:pt>
                <c:pt idx="43">
                  <c:v>32.7263581236394</c:v>
                </c:pt>
                <c:pt idx="44">
                  <c:v>15.297532875762021</c:v>
                </c:pt>
                <c:pt idx="45">
                  <c:v>15.0411575562701</c:v>
                </c:pt>
                <c:pt idx="46">
                  <c:v>14.27349229971818</c:v>
                </c:pt>
                <c:pt idx="47">
                  <c:v>13.84096223002976</c:v>
                </c:pt>
                <c:pt idx="48">
                  <c:v>13.279580545175399</c:v>
                </c:pt>
                <c:pt idx="49">
                  <c:v>16.526883222220839</c:v>
                </c:pt>
                <c:pt idx="50">
                  <c:v>16.176019669186861</c:v>
                </c:pt>
                <c:pt idx="51">
                  <c:v>17.446387706033999</c:v>
                </c:pt>
                <c:pt idx="52">
                  <c:v>15.389601360662459</c:v>
                </c:pt>
                <c:pt idx="53">
                  <c:v>15.288939817171322</c:v>
                </c:pt>
                <c:pt idx="54">
                  <c:v>13.444123452805119</c:v>
                </c:pt>
              </c:numCache>
            </c:numRef>
          </c:val>
          <c:smooth val="0"/>
        </c:ser>
        <c:ser>
          <c:idx val="0"/>
          <c:order val="12"/>
          <c:tx>
            <c:strRef>
              <c:f>'Sugar (Adjusted)'!$R$6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'Sugar (Adjusted)'!$R$7:$R$107</c:f>
              <c:numCache>
                <c:formatCode>0.0000</c:formatCode>
                <c:ptCount val="92"/>
                <c:pt idx="45">
                  <c:v>24.972678448330424</c:v>
                </c:pt>
                <c:pt idx="47">
                  <c:v>21.189297552029366</c:v>
                </c:pt>
                <c:pt idx="59">
                  <c:v>12.263295371434541</c:v>
                </c:pt>
                <c:pt idx="61">
                  <c:v>9.2203443719137184</c:v>
                </c:pt>
                <c:pt idx="63">
                  <c:v>10.668928419971877</c:v>
                </c:pt>
                <c:pt idx="64">
                  <c:v>16.397714743910996</c:v>
                </c:pt>
                <c:pt idx="67">
                  <c:v>15.765576389472798</c:v>
                </c:pt>
                <c:pt idx="70">
                  <c:v>16.087092188745999</c:v>
                </c:pt>
                <c:pt idx="71">
                  <c:v>16.571092897703434</c:v>
                </c:pt>
              </c:numCache>
            </c:numRef>
          </c:val>
          <c:smooth val="0"/>
        </c:ser>
        <c:ser>
          <c:idx val="1"/>
          <c:order val="13"/>
          <c:tx>
            <c:strRef>
              <c:f>'Sugar (Adjusted)'!$S$6</c:f>
              <c:strCache>
                <c:ptCount val="1"/>
                <c:pt idx="0">
                  <c:v>Turkey &amp; Constantinople, Exports,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'Sugar (Adjusted)'!$S$7:$S$107</c:f>
              <c:numCache>
                <c:formatCode>0.0000</c:formatCode>
                <c:ptCount val="92"/>
                <c:pt idx="67">
                  <c:v>21.691176470588236</c:v>
                </c:pt>
                <c:pt idx="70">
                  <c:v>27.545233594382932</c:v>
                </c:pt>
              </c:numCache>
            </c:numRef>
          </c:val>
          <c:smooth val="0"/>
        </c:ser>
        <c:ser>
          <c:idx val="7"/>
          <c:order val="14"/>
          <c:tx>
            <c:strRef>
              <c:f>'Sugar (Adjusted)'!$AS$6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'Sugar (Adjusted)'!$AS$7:$AS$107</c:f>
              <c:numCache>
                <c:formatCode>General</c:formatCode>
                <c:ptCount val="92"/>
                <c:pt idx="28" formatCode="0.0000">
                  <c:v>24.723766192500221</c:v>
                </c:pt>
                <c:pt idx="29" formatCode="0.0000">
                  <c:v>24.852838008688462</c:v>
                </c:pt>
                <c:pt idx="30" formatCode="0.0000">
                  <c:v>28.227400490682861</c:v>
                </c:pt>
                <c:pt idx="31" formatCode="0.0000">
                  <c:v>29.143223000977518</c:v>
                </c:pt>
                <c:pt idx="32" formatCode="0.0000">
                  <c:v>27.68417542250851</c:v>
                </c:pt>
                <c:pt idx="33" formatCode="0.0000">
                  <c:v>29.836883915333306</c:v>
                </c:pt>
                <c:pt idx="34" formatCode="0.0000">
                  <c:v>28.115808261410574</c:v>
                </c:pt>
                <c:pt idx="35" formatCode="0.0000">
                  <c:v>31.22040225230969</c:v>
                </c:pt>
                <c:pt idx="36" formatCode="0.0000">
                  <c:v>27.572537244143422</c:v>
                </c:pt>
                <c:pt idx="37" formatCode="0.0000">
                  <c:v>32.918562926412207</c:v>
                </c:pt>
                <c:pt idx="38" formatCode="0.0000">
                  <c:v>29.313641206416875</c:v>
                </c:pt>
                <c:pt idx="39" formatCode="0.0000">
                  <c:v>27.734262334416552</c:v>
                </c:pt>
                <c:pt idx="40" formatCode="0.0000">
                  <c:v>30.344136332356499</c:v>
                </c:pt>
                <c:pt idx="41" formatCode="0.0000">
                  <c:v>28.381573817976104</c:v>
                </c:pt>
                <c:pt idx="42" formatCode="0.0000">
                  <c:v>27.770660597264904</c:v>
                </c:pt>
                <c:pt idx="43" formatCode="0.0000">
                  <c:v>26.530906556271816</c:v>
                </c:pt>
                <c:pt idx="44" formatCode="0.0000">
                  <c:v>25.412926284157294</c:v>
                </c:pt>
                <c:pt idx="45" formatCode="0.0000">
                  <c:v>19.351075139529438</c:v>
                </c:pt>
                <c:pt idx="46" formatCode="0.0000">
                  <c:v>18.77296048332342</c:v>
                </c:pt>
                <c:pt idx="47" formatCode="0.0000">
                  <c:v>17.5147789403986</c:v>
                </c:pt>
                <c:pt idx="48" formatCode="0.0000">
                  <c:v>16.767139319320258</c:v>
                </c:pt>
                <c:pt idx="49" formatCode="0.0000">
                  <c:v>16.785209102519335</c:v>
                </c:pt>
                <c:pt idx="50" formatCode="0.0000">
                  <c:v>20.393994595642464</c:v>
                </c:pt>
                <c:pt idx="51" formatCode="0.0000">
                  <c:v>16.532026244842267</c:v>
                </c:pt>
                <c:pt idx="52" formatCode="0.0000">
                  <c:v>16.22481590821884</c:v>
                </c:pt>
                <c:pt idx="53" formatCode="0.0000">
                  <c:v>18.587318040504503</c:v>
                </c:pt>
                <c:pt idx="54" formatCode="0.0000">
                  <c:v>13.406381884338854</c:v>
                </c:pt>
                <c:pt idx="55" formatCode="0.0000">
                  <c:v>12.48864810871536</c:v>
                </c:pt>
                <c:pt idx="56" formatCode="0.0000">
                  <c:v>14.259756347350024</c:v>
                </c:pt>
                <c:pt idx="57" formatCode="0.0000">
                  <c:v>13.755659255588769</c:v>
                </c:pt>
                <c:pt idx="58" formatCode="0.0000">
                  <c:v>13.057254328822872</c:v>
                </c:pt>
                <c:pt idx="59" formatCode="0.0000">
                  <c:v>13.031110173746168</c:v>
                </c:pt>
                <c:pt idx="60" formatCode="0.0000">
                  <c:v>13.996592885227827</c:v>
                </c:pt>
                <c:pt idx="61" formatCode="0.0000">
                  <c:v>14.423713620561537</c:v>
                </c:pt>
                <c:pt idx="62" formatCode="0.0000">
                  <c:v>12.35794290804731</c:v>
                </c:pt>
                <c:pt idx="63" formatCode="0.0000">
                  <c:v>12.042927750595078</c:v>
                </c:pt>
                <c:pt idx="64" formatCode="0.0000">
                  <c:v>11.912004450290457</c:v>
                </c:pt>
                <c:pt idx="65" formatCode="0.0000">
                  <c:v>14.540824658150829</c:v>
                </c:pt>
                <c:pt idx="66" formatCode="0.0000">
                  <c:v>11.086421812960154</c:v>
                </c:pt>
                <c:pt idx="67" formatCode="0.0000">
                  <c:v>11.425879287311739</c:v>
                </c:pt>
                <c:pt idx="68" formatCode="0.0000">
                  <c:v>11.732814229333387</c:v>
                </c:pt>
                <c:pt idx="69" formatCode="0.0000">
                  <c:v>11.870319596561723</c:v>
                </c:pt>
                <c:pt idx="70" formatCode="0.0000">
                  <c:v>12.203275852379385</c:v>
                </c:pt>
                <c:pt idx="71" formatCode="0.0000">
                  <c:v>11.117461583754942</c:v>
                </c:pt>
                <c:pt idx="72" formatCode="0.0000">
                  <c:v>13.981217015677361</c:v>
                </c:pt>
                <c:pt idx="73" formatCode="0.0000">
                  <c:v>11.224429772037848</c:v>
                </c:pt>
                <c:pt idx="74" formatCode="0.0000">
                  <c:v>7.777506707227543</c:v>
                </c:pt>
                <c:pt idx="75" formatCode="0.0000">
                  <c:v>11.938079759607104</c:v>
                </c:pt>
                <c:pt idx="76" formatCode="0.0000">
                  <c:v>15.276686018822531</c:v>
                </c:pt>
                <c:pt idx="77" formatCode="0.0000">
                  <c:v>17.019639196147629</c:v>
                </c:pt>
                <c:pt idx="78" formatCode="0.0000">
                  <c:v>15.611650371295196</c:v>
                </c:pt>
                <c:pt idx="79" formatCode="0.0000">
                  <c:v>18.534001287617944</c:v>
                </c:pt>
                <c:pt idx="80" formatCode="0.0000">
                  <c:v>36.276829501498362</c:v>
                </c:pt>
                <c:pt idx="81" formatCode="0.0000">
                  <c:v>21.890625000000004</c:v>
                </c:pt>
                <c:pt idx="82" formatCode="0.0000">
                  <c:v>15.750000000000002</c:v>
                </c:pt>
                <c:pt idx="83" formatCode="0.0000">
                  <c:v>16.6875</c:v>
                </c:pt>
                <c:pt idx="84" formatCode="0.0000">
                  <c:v>18.796875</c:v>
                </c:pt>
                <c:pt idx="85" formatCode="0.0000">
                  <c:v>8.8125</c:v>
                </c:pt>
                <c:pt idx="86" formatCode="0.0000">
                  <c:v>9.12890625</c:v>
                </c:pt>
                <c:pt idx="87" formatCode="0.0000">
                  <c:v>8.6484375</c:v>
                </c:pt>
                <c:pt idx="88" formatCode="0.0000">
                  <c:v>7.5351562500000009</c:v>
                </c:pt>
                <c:pt idx="89" formatCode="0.0000">
                  <c:v>7.1455078125000009</c:v>
                </c:pt>
                <c:pt idx="90" formatCode="0.0000">
                  <c:v>6.1737132352941178</c:v>
                </c:pt>
                <c:pt idx="91" formatCode="0.0000">
                  <c:v>6.1709558823529411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'Sugar (Adjusted)'!$AT$6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'Sugar (Adjusted)'!$AT$7:$AT$107</c:f>
              <c:numCache>
                <c:formatCode>General</c:formatCode>
                <c:ptCount val="92"/>
                <c:pt idx="3" formatCode="0.0000">
                  <c:v>28.196617412227337</c:v>
                </c:pt>
                <c:pt idx="4" formatCode="0.0000">
                  <c:v>27.949604045363685</c:v>
                </c:pt>
                <c:pt idx="5" formatCode="0.0000">
                  <c:v>28.005627009646297</c:v>
                </c:pt>
                <c:pt idx="6" formatCode="0.0000">
                  <c:v>27.914146122106828</c:v>
                </c:pt>
                <c:pt idx="7" formatCode="0.0000">
                  <c:v>23.732744878117664</c:v>
                </c:pt>
                <c:pt idx="8" formatCode="0.0000">
                  <c:v>19.662374894991448</c:v>
                </c:pt>
                <c:pt idx="9" formatCode="0.0000">
                  <c:v>18.737862913154306</c:v>
                </c:pt>
                <c:pt idx="10" formatCode="0.0000">
                  <c:v>19.821616733292771</c:v>
                </c:pt>
                <c:pt idx="11" formatCode="0.0000">
                  <c:v>22.501270965499252</c:v>
                </c:pt>
                <c:pt idx="12" formatCode="0.0000">
                  <c:v>17.98013346948234</c:v>
                </c:pt>
                <c:pt idx="13" formatCode="0.0000">
                  <c:v>21.376287259928738</c:v>
                </c:pt>
                <c:pt idx="14" formatCode="0.0000">
                  <c:v>19.11753715129921</c:v>
                </c:pt>
                <c:pt idx="15" formatCode="0.0000">
                  <c:v>16.888977565286346</c:v>
                </c:pt>
                <c:pt idx="16" formatCode="0.0000">
                  <c:v>22.301065384114015</c:v>
                </c:pt>
                <c:pt idx="17" formatCode="0.0000">
                  <c:v>31.882522594942198</c:v>
                </c:pt>
                <c:pt idx="18" formatCode="0.0000">
                  <c:v>28.284278048144603</c:v>
                </c:pt>
                <c:pt idx="19" formatCode="0.0000">
                  <c:v>25.767236790649164</c:v>
                </c:pt>
                <c:pt idx="20" formatCode="0.0000">
                  <c:v>23.860326866255317</c:v>
                </c:pt>
                <c:pt idx="21" formatCode="0.0000">
                  <c:v>22.334998533501341</c:v>
                </c:pt>
                <c:pt idx="22" formatCode="0.0000">
                  <c:v>23.349400093421391</c:v>
                </c:pt>
                <c:pt idx="23" formatCode="0.0000">
                  <c:v>22.574260504475529</c:v>
                </c:pt>
                <c:pt idx="24" formatCode="0.0000">
                  <c:v>23.249419284638325</c:v>
                </c:pt>
                <c:pt idx="25" formatCode="0.0000">
                  <c:v>25.31142643472451</c:v>
                </c:pt>
                <c:pt idx="26" formatCode="0.0000">
                  <c:v>23.968114517250367</c:v>
                </c:pt>
                <c:pt idx="27" formatCode="0.0000">
                  <c:v>22.619271829104019</c:v>
                </c:pt>
                <c:pt idx="28" formatCode="0.0000">
                  <c:v>21.576160163378809</c:v>
                </c:pt>
                <c:pt idx="29" formatCode="0.0000">
                  <c:v>22.828430019260598</c:v>
                </c:pt>
                <c:pt idx="30" formatCode="0.0000">
                  <c:v>21.859108675750942</c:v>
                </c:pt>
                <c:pt idx="31" formatCode="0.0000">
                  <c:v>20.935006250036015</c:v>
                </c:pt>
                <c:pt idx="32" formatCode="0.0000">
                  <c:v>19.625016861734178</c:v>
                </c:pt>
                <c:pt idx="33" formatCode="0.0000">
                  <c:v>22.684614563761073</c:v>
                </c:pt>
                <c:pt idx="34" formatCode="0.0000">
                  <c:v>20.467272784683193</c:v>
                </c:pt>
                <c:pt idx="35" formatCode="0.0000">
                  <c:v>16.981560026828127</c:v>
                </c:pt>
                <c:pt idx="36" formatCode="0.0000">
                  <c:v>16.311295907533946</c:v>
                </c:pt>
                <c:pt idx="37" formatCode="0.0000">
                  <c:v>18.371442674301239</c:v>
                </c:pt>
                <c:pt idx="38" formatCode="0.0000">
                  <c:v>17.701409686917525</c:v>
                </c:pt>
                <c:pt idx="39" formatCode="0.0000">
                  <c:v>18.371792195638442</c:v>
                </c:pt>
                <c:pt idx="40" formatCode="0.0000">
                  <c:v>21.258362383306121</c:v>
                </c:pt>
                <c:pt idx="41" formatCode="0.0000">
                  <c:v>19.204822171303324</c:v>
                </c:pt>
                <c:pt idx="42" formatCode="0.0000">
                  <c:v>18.374495188767387</c:v>
                </c:pt>
                <c:pt idx="43" formatCode="0.0000">
                  <c:v>17.267128990482966</c:v>
                </c:pt>
                <c:pt idx="44" formatCode="0.0000">
                  <c:v>16.321697242109604</c:v>
                </c:pt>
                <c:pt idx="45" formatCode="0.0000">
                  <c:v>13.844958314745501</c:v>
                </c:pt>
                <c:pt idx="46" formatCode="0.0000">
                  <c:v>14.579778664710719</c:v>
                </c:pt>
                <c:pt idx="47" formatCode="0.0000">
                  <c:v>13.754509856475238</c:v>
                </c:pt>
                <c:pt idx="48" formatCode="0.0000">
                  <c:v>12.202365298967639</c:v>
                </c:pt>
                <c:pt idx="49" formatCode="0.0000">
                  <c:v>14.122962432552697</c:v>
                </c:pt>
                <c:pt idx="50" formatCode="0.0000">
                  <c:v>18.132216432493781</c:v>
                </c:pt>
                <c:pt idx="51" formatCode="0.0000">
                  <c:v>14.005353096691174</c:v>
                </c:pt>
                <c:pt idx="52" formatCode="0.0000">
                  <c:v>12.294539095809549</c:v>
                </c:pt>
                <c:pt idx="53" formatCode="0.0000">
                  <c:v>12.436674493358293</c:v>
                </c:pt>
                <c:pt idx="54" formatCode="0.0000">
                  <c:v>11.017185954817593</c:v>
                </c:pt>
                <c:pt idx="55" formatCode="0.0000">
                  <c:v>8.7881702428286843</c:v>
                </c:pt>
                <c:pt idx="56" formatCode="0.0000">
                  <c:v>9.8089215031317831</c:v>
                </c:pt>
                <c:pt idx="57" formatCode="0.0000">
                  <c:v>9.6155154279792789</c:v>
                </c:pt>
                <c:pt idx="58" formatCode="0.0000">
                  <c:v>8.9184606074293278</c:v>
                </c:pt>
                <c:pt idx="59" formatCode="0.0000">
                  <c:v>10.297846272295217</c:v>
                </c:pt>
                <c:pt idx="60" formatCode="0.0000">
                  <c:v>10.675389276304514</c:v>
                </c:pt>
                <c:pt idx="61" formatCode="0.0000">
                  <c:v>11.233178337141371</c:v>
                </c:pt>
                <c:pt idx="62" formatCode="0.0000">
                  <c:v>9.4640263358361878</c:v>
                </c:pt>
                <c:pt idx="63" formatCode="0.0000">
                  <c:v>8.273625776316706</c:v>
                </c:pt>
                <c:pt idx="64" formatCode="0.0000">
                  <c:v>9.2198009199810791</c:v>
                </c:pt>
                <c:pt idx="65" formatCode="0.0000">
                  <c:v>11.387233483814104</c:v>
                </c:pt>
                <c:pt idx="66" formatCode="0.0000">
                  <c:v>11.406277020544206</c:v>
                </c:pt>
                <c:pt idx="67" formatCode="0.0000">
                  <c:v>11.809386820760526</c:v>
                </c:pt>
                <c:pt idx="68" formatCode="0.0000">
                  <c:v>11.174862103670669</c:v>
                </c:pt>
                <c:pt idx="69" formatCode="0.0000">
                  <c:v>11.892622663971354</c:v>
                </c:pt>
                <c:pt idx="70" formatCode="0.0000">
                  <c:v>11.85835734990339</c:v>
                </c:pt>
                <c:pt idx="71" formatCode="0.0000">
                  <c:v>11.722005098603528</c:v>
                </c:pt>
                <c:pt idx="72" formatCode="0.0000">
                  <c:v>11.43133378656597</c:v>
                </c:pt>
                <c:pt idx="73" formatCode="0.0000">
                  <c:v>12.482230121673528</c:v>
                </c:pt>
                <c:pt idx="74" formatCode="0.0000">
                  <c:v>8.5144729390568532</c:v>
                </c:pt>
                <c:pt idx="75" formatCode="0.0000">
                  <c:v>10.739134850770771</c:v>
                </c:pt>
                <c:pt idx="76" formatCode="0.0000">
                  <c:v>13.944502723174843</c:v>
                </c:pt>
                <c:pt idx="77" formatCode="0.0000">
                  <c:v>12.451333003167692</c:v>
                </c:pt>
                <c:pt idx="78" formatCode="0.0000">
                  <c:v>15.381746828985372</c:v>
                </c:pt>
                <c:pt idx="79" formatCode="0.0000">
                  <c:v>21.337093563370935</c:v>
                </c:pt>
                <c:pt idx="80" formatCode="0.0000">
                  <c:v>27.118314687688414</c:v>
                </c:pt>
                <c:pt idx="81" formatCode="0.0000">
                  <c:v>17.386363636363637</c:v>
                </c:pt>
                <c:pt idx="82" formatCode="0.0000">
                  <c:v>12.272727272727273</c:v>
                </c:pt>
                <c:pt idx="83" formatCode="0.0000">
                  <c:v>15.596590909090908</c:v>
                </c:pt>
                <c:pt idx="84" formatCode="0.0000">
                  <c:v>9.4602272727272734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59296"/>
        <c:axId val="721458736"/>
      </c:lineChart>
      <c:catAx>
        <c:axId val="72145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458736"/>
        <c:crosses val="autoZero"/>
        <c:auto val="1"/>
        <c:lblAlgn val="ctr"/>
        <c:lblOffset val="100"/>
        <c:noMultiLvlLbl val="0"/>
      </c:catAx>
      <c:valAx>
        <c:axId val="7214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45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chemeClr val="tx1"/>
                </a:solidFill>
                <a:effectLst/>
              </a:rPr>
              <a:t>Sugar, Trebizond, Persia and Persian Gulf, in pound/ton</a:t>
            </a:r>
            <a:endParaRPr lang="en-US" sz="800">
              <a:solidFill>
                <a:schemeClr val="tx1"/>
              </a:solidFill>
              <a:effectLst/>
            </a:endParaRPr>
          </a:p>
          <a:p>
            <a:pPr algn="l">
              <a:defRPr>
                <a:solidFill>
                  <a:schemeClr val="tx1"/>
                </a:solidFill>
              </a:defRPr>
            </a:pPr>
            <a:r>
              <a:rPr lang="en-US" sz="800" b="1" i="1" baseline="0">
                <a:solidFill>
                  <a:schemeClr val="tx1"/>
                </a:solidFill>
                <a:effectLst/>
              </a:rPr>
              <a:t>Note: Muscat prices are average of loaf and crystallized/moist for years both are available</a:t>
            </a:r>
            <a:endParaRPr lang="en-US" sz="8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1419421125081626"/>
          <c:y val="1.2960082944530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090206591164387E-2"/>
          <c:y val="0.11512451884416469"/>
          <c:w val="0.67070397644126323"/>
          <c:h val="0.80594020809607192"/>
        </c:manualLayout>
      </c:layout>
      <c:lineChart>
        <c:grouping val="standard"/>
        <c:varyColors val="0"/>
        <c:ser>
          <c:idx val="2"/>
          <c:order val="0"/>
          <c:tx>
            <c:strRef>
              <c:f>'Sugar (Adjusted)'!$T$6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(Adjusted)'!$T$47:$T$82</c:f>
              <c:numCache>
                <c:formatCode>0.0000</c:formatCode>
                <c:ptCount val="3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33.583333333333336</c:v>
                </c:pt>
                <c:pt idx="4">
                  <c:v>26</c:v>
                </c:pt>
                <c:pt idx="5">
                  <c:v>23.62954630671166</c:v>
                </c:pt>
                <c:pt idx="6">
                  <c:v>21.537463509568603</c:v>
                </c:pt>
                <c:pt idx="7">
                  <c:v>19.99768223432611</c:v>
                </c:pt>
                <c:pt idx="8">
                  <c:v>19.41562793191261</c:v>
                </c:pt>
                <c:pt idx="9">
                  <c:v>19.249399956360463</c:v>
                </c:pt>
                <c:pt idx="10">
                  <c:v>18.043596730245234</c:v>
                </c:pt>
                <c:pt idx="11">
                  <c:v>19.200755191944619</c:v>
                </c:pt>
                <c:pt idx="12">
                  <c:v>20</c:v>
                </c:pt>
                <c:pt idx="13">
                  <c:v>18.937397931409908</c:v>
                </c:pt>
                <c:pt idx="14">
                  <c:v>16.775542200156782</c:v>
                </c:pt>
                <c:pt idx="15">
                  <c:v>14.425962165688194</c:v>
                </c:pt>
                <c:pt idx="16">
                  <c:v>14.048938134810712</c:v>
                </c:pt>
                <c:pt idx="17">
                  <c:v>13.128413168981121</c:v>
                </c:pt>
                <c:pt idx="18">
                  <c:v>14.870077376140431</c:v>
                </c:pt>
                <c:pt idx="19">
                  <c:v>14.446543580936025</c:v>
                </c:pt>
                <c:pt idx="20">
                  <c:v>14.320486815415821</c:v>
                </c:pt>
                <c:pt idx="21">
                  <c:v>13.055899438148748</c:v>
                </c:pt>
                <c:pt idx="22">
                  <c:v>12.372333548804137</c:v>
                </c:pt>
                <c:pt idx="23">
                  <c:v>12.238229093464511</c:v>
                </c:pt>
                <c:pt idx="24">
                  <c:v>13.777179686946667</c:v>
                </c:pt>
                <c:pt idx="25">
                  <c:v>14.430274466315499</c:v>
                </c:pt>
                <c:pt idx="26">
                  <c:v>13.99592303485308</c:v>
                </c:pt>
                <c:pt idx="27">
                  <c:v>13.898464853218421</c:v>
                </c:pt>
                <c:pt idx="28">
                  <c:v>15.989291928791328</c:v>
                </c:pt>
                <c:pt idx="29">
                  <c:v>16.576486544364336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'Sugar (Adjusted)'!$U$6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(Adjusted)'!$U$47:$U$82</c:f>
              <c:numCache>
                <c:formatCode>0.0000</c:formatCode>
                <c:ptCount val="36"/>
                <c:pt idx="0">
                  <c:v>50</c:v>
                </c:pt>
                <c:pt idx="3">
                  <c:v>34.25</c:v>
                </c:pt>
                <c:pt idx="4">
                  <c:v>26.666666666666664</c:v>
                </c:pt>
                <c:pt idx="5">
                  <c:v>24.663951120162935</c:v>
                </c:pt>
                <c:pt idx="6">
                  <c:v>24.847612597358619</c:v>
                </c:pt>
                <c:pt idx="7">
                  <c:v>20</c:v>
                </c:pt>
                <c:pt idx="8">
                  <c:v>20.804988662131517</c:v>
                </c:pt>
                <c:pt idx="9">
                  <c:v>20</c:v>
                </c:pt>
                <c:pt idx="10">
                  <c:v>18.799911758217515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16.888888888888889</c:v>
                </c:pt>
                <c:pt idx="15">
                  <c:v>15.99809885931559</c:v>
                </c:pt>
                <c:pt idx="16">
                  <c:v>16</c:v>
                </c:pt>
                <c:pt idx="17">
                  <c:v>16.002906976744185</c:v>
                </c:pt>
                <c:pt idx="18">
                  <c:v>16.001461988304094</c:v>
                </c:pt>
                <c:pt idx="19">
                  <c:v>16.001662510390691</c:v>
                </c:pt>
                <c:pt idx="20">
                  <c:v>15.997652582159624</c:v>
                </c:pt>
                <c:pt idx="21">
                  <c:v>14.014251781472684</c:v>
                </c:pt>
                <c:pt idx="22">
                  <c:v>13.980582524271846</c:v>
                </c:pt>
                <c:pt idx="23">
                  <c:v>10</c:v>
                </c:pt>
                <c:pt idx="26">
                  <c:v>14.986276303751144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'Sugar (Adjusted)'!$X$6</c:f>
              <c:strCache>
                <c:ptCount val="1"/>
                <c:pt idx="0">
                  <c:v>Ispahan &amp; Yezd,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(Adjusted)'!$X$47:$X$82</c:f>
              <c:numCache>
                <c:formatCode>0.0000</c:formatCode>
                <c:ptCount val="36"/>
                <c:pt idx="25">
                  <c:v>27.926692432364991</c:v>
                </c:pt>
                <c:pt idx="26">
                  <c:v>28.242074927953823</c:v>
                </c:pt>
                <c:pt idx="30">
                  <c:v>37.663551401869199</c:v>
                </c:pt>
                <c:pt idx="31">
                  <c:v>37.392303273980396</c:v>
                </c:pt>
                <c:pt idx="32">
                  <c:v>41.726423425517154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'Sugar (Adjusted)'!$Z$6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(Adjusted)'!$Z$47:$Z$82</c:f>
              <c:numCache>
                <c:formatCode>0.0000</c:formatCode>
                <c:ptCount val="36"/>
                <c:pt idx="22">
                  <c:v>20.836937405850698</c:v>
                </c:pt>
                <c:pt idx="23">
                  <c:v>19.498457388830381</c:v>
                </c:pt>
                <c:pt idx="24">
                  <c:v>20.907706534800401</c:v>
                </c:pt>
                <c:pt idx="25">
                  <c:v>29.250835850956609</c:v>
                </c:pt>
                <c:pt idx="26">
                  <c:v>27.802321295322336</c:v>
                </c:pt>
                <c:pt idx="27">
                  <c:v>22.345732411308074</c:v>
                </c:pt>
                <c:pt idx="28">
                  <c:v>21.187151890563143</c:v>
                </c:pt>
                <c:pt idx="29">
                  <c:v>26.689145872889696</c:v>
                </c:pt>
                <c:pt idx="30">
                  <c:v>32.196726834741952</c:v>
                </c:pt>
                <c:pt idx="31">
                  <c:v>30.013164766392638</c:v>
                </c:pt>
                <c:pt idx="32">
                  <c:v>32.899508168128449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'Sugar (Adjusted)'!$AA$6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(Adjusted)'!$AA$47:$AA$82</c:f>
              <c:numCache>
                <c:formatCode>0.0000</c:formatCode>
                <c:ptCount val="36"/>
                <c:pt idx="22">
                  <c:v>20.131020675964397</c:v>
                </c:pt>
                <c:pt idx="23">
                  <c:v>28.299390608915104</c:v>
                </c:pt>
                <c:pt idx="24">
                  <c:v>27.917217508352703</c:v>
                </c:pt>
                <c:pt idx="25">
                  <c:v>31.130681870487361</c:v>
                </c:pt>
                <c:pt idx="26">
                  <c:v>32.778850635946014</c:v>
                </c:pt>
                <c:pt idx="27">
                  <c:v>24.763510503409666</c:v>
                </c:pt>
                <c:pt idx="28">
                  <c:v>25.858237134534559</c:v>
                </c:pt>
                <c:pt idx="29">
                  <c:v>34.7588944522848</c:v>
                </c:pt>
                <c:pt idx="30">
                  <c:v>32.640443106252128</c:v>
                </c:pt>
                <c:pt idx="31">
                  <c:v>29.662252640976032</c:v>
                </c:pt>
                <c:pt idx="32">
                  <c:v>34.461538461538495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'Sugar (Adjusted)'!$AC$6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(Adjusted)'!$AC$47:$AC$82</c:f>
              <c:numCache>
                <c:formatCode>0.0000</c:formatCode>
                <c:ptCount val="36"/>
                <c:pt idx="20">
                  <c:v>24.600052261951603</c:v>
                </c:pt>
                <c:pt idx="21">
                  <c:v>25.4872505852898</c:v>
                </c:pt>
                <c:pt idx="22">
                  <c:v>20.848959578390598</c:v>
                </c:pt>
                <c:pt idx="23">
                  <c:v>21.810953482671799</c:v>
                </c:pt>
                <c:pt idx="24">
                  <c:v>21.5280808459474</c:v>
                </c:pt>
                <c:pt idx="25">
                  <c:v>26.441927609591602</c:v>
                </c:pt>
                <c:pt idx="27">
                  <c:v>30.821256038647398</c:v>
                </c:pt>
                <c:pt idx="28">
                  <c:v>26.297376093294396</c:v>
                </c:pt>
                <c:pt idx="29">
                  <c:v>29.798206278027003</c:v>
                </c:pt>
                <c:pt idx="30">
                  <c:v>31.414201183431999</c:v>
                </c:pt>
                <c:pt idx="31">
                  <c:v>31.2274527056754</c:v>
                </c:pt>
                <c:pt idx="32">
                  <c:v>37.638724911452201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'Sugar (Adjusted)'!$AE$6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(Adjusted)'!$AE$47:$AE$82</c:f>
              <c:numCache>
                <c:formatCode>0.0000</c:formatCode>
                <c:ptCount val="36"/>
                <c:pt idx="14">
                  <c:v>24.123076923076994</c:v>
                </c:pt>
                <c:pt idx="27">
                  <c:v>38.289066666666592</c:v>
                </c:pt>
                <c:pt idx="28">
                  <c:v>36.758974358974335</c:v>
                </c:pt>
                <c:pt idx="30">
                  <c:v>46.644381538461509</c:v>
                </c:pt>
                <c:pt idx="31">
                  <c:v>28</c:v>
                </c:pt>
                <c:pt idx="32">
                  <c:v>37.333333333333414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'Sugar (Adjusted)'!$AG$6</c:f>
              <c:strCache>
                <c:ptCount val="1"/>
                <c:pt idx="0">
                  <c:v>Resht &amp; Mazandaran &amp; Ghilan &amp; Tunekabun,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(Adjusted)'!$AG$47:$AG$82</c:f>
              <c:numCache>
                <c:formatCode>0.0000</c:formatCode>
                <c:ptCount val="36"/>
                <c:pt idx="11">
                  <c:v>22.490589293358592</c:v>
                </c:pt>
                <c:pt idx="12">
                  <c:v>31.912078346028387</c:v>
                </c:pt>
                <c:pt idx="13">
                  <c:v>31.111111111111136</c:v>
                </c:pt>
                <c:pt idx="14">
                  <c:v>31.551580029635009</c:v>
                </c:pt>
                <c:pt idx="15">
                  <c:v>18.894424631991885</c:v>
                </c:pt>
                <c:pt idx="22">
                  <c:v>13.342630737451412</c:v>
                </c:pt>
                <c:pt idx="26">
                  <c:v>22.134768352429631</c:v>
                </c:pt>
                <c:pt idx="27">
                  <c:v>17.646754186083975</c:v>
                </c:pt>
                <c:pt idx="28">
                  <c:v>17.493504314222854</c:v>
                </c:pt>
                <c:pt idx="29">
                  <c:v>20.484021371717937</c:v>
                </c:pt>
                <c:pt idx="30">
                  <c:v>24.068590502027682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'Sugar (Adjusted)'!$AH$6</c:f>
              <c:strCache>
                <c:ptCount val="1"/>
                <c:pt idx="0">
                  <c:v>Bender Gez &amp; Astarabad &amp; Astara,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(Adjusted)'!$AH$47:$AH$82</c:f>
              <c:numCache>
                <c:formatCode>0.0000</c:formatCode>
                <c:ptCount val="36"/>
                <c:pt idx="12">
                  <c:v>24.577777777777726</c:v>
                </c:pt>
                <c:pt idx="26">
                  <c:v>23.084409223799838</c:v>
                </c:pt>
                <c:pt idx="27">
                  <c:v>17.073092010429818</c:v>
                </c:pt>
                <c:pt idx="28">
                  <c:v>18.176588270785125</c:v>
                </c:pt>
                <c:pt idx="29">
                  <c:v>21.491382526509035</c:v>
                </c:pt>
                <c:pt idx="30">
                  <c:v>25.059070857152641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'Sugar (Adjusted)'!$AI$6</c:f>
              <c:strCache>
                <c:ptCount val="1"/>
                <c:pt idx="0">
                  <c:v>Bender Gez &amp; Astarabad &amp; Astara,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(Adjusted)'!$AI$47:$AI$82</c:f>
              <c:numCache>
                <c:formatCode>0.0000</c:formatCode>
                <c:ptCount val="36"/>
                <c:pt idx="26">
                  <c:v>23.048340657675425</c:v>
                </c:pt>
                <c:pt idx="27">
                  <c:v>22.238964249699098</c:v>
                </c:pt>
                <c:pt idx="28">
                  <c:v>23.442050787741039</c:v>
                </c:pt>
                <c:pt idx="29">
                  <c:v>24.178904057706497</c:v>
                </c:pt>
                <c:pt idx="30">
                  <c:v>33.287311381269568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'Sugar (Adjusted)'!$AJ$6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(Adjusted)'!$AJ$47:$AJ$82</c:f>
              <c:numCache>
                <c:formatCode>0.0000</c:formatCode>
                <c:ptCount val="36"/>
                <c:pt idx="11">
                  <c:v>22.857142857142797</c:v>
                </c:pt>
                <c:pt idx="12">
                  <c:v>22.501650165016599</c:v>
                </c:pt>
                <c:pt idx="13">
                  <c:v>22.1533333333334</c:v>
                </c:pt>
                <c:pt idx="14">
                  <c:v>19.027692307692302</c:v>
                </c:pt>
                <c:pt idx="15">
                  <c:v>17.3201133144476</c:v>
                </c:pt>
                <c:pt idx="16">
                  <c:v>16.088311688311681</c:v>
                </c:pt>
                <c:pt idx="17">
                  <c:v>18.126829268292678</c:v>
                </c:pt>
                <c:pt idx="18">
                  <c:v>14.321649484536081</c:v>
                </c:pt>
                <c:pt idx="19">
                  <c:v>16.67885318452954</c:v>
                </c:pt>
                <c:pt idx="20">
                  <c:v>14.834548513740879</c:v>
                </c:pt>
                <c:pt idx="21">
                  <c:v>13.81330685203574</c:v>
                </c:pt>
                <c:pt idx="22">
                  <c:v>13.887640449438202</c:v>
                </c:pt>
                <c:pt idx="23">
                  <c:v>14.117296370817501</c:v>
                </c:pt>
                <c:pt idx="24">
                  <c:v>16.030869442084398</c:v>
                </c:pt>
                <c:pt idx="25">
                  <c:v>16.981732794640699</c:v>
                </c:pt>
                <c:pt idx="26">
                  <c:v>14.69217138155814</c:v>
                </c:pt>
                <c:pt idx="27">
                  <c:v>16.001638605546681</c:v>
                </c:pt>
                <c:pt idx="28">
                  <c:v>15.94446895496926</c:v>
                </c:pt>
                <c:pt idx="29">
                  <c:v>17.333333333333339</c:v>
                </c:pt>
                <c:pt idx="30">
                  <c:v>28.4355198572066</c:v>
                </c:pt>
                <c:pt idx="31">
                  <c:v>15.002478929102621</c:v>
                </c:pt>
                <c:pt idx="32">
                  <c:v>14.999456816947321</c:v>
                </c:pt>
                <c:pt idx="33">
                  <c:v>14.66694011484824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'Sugar (Adjusted)'!$AK$6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(Adjusted)'!$AK$47:$AK$82</c:f>
              <c:numCache>
                <c:formatCode>0.0000</c:formatCode>
                <c:ptCount val="36"/>
                <c:pt idx="8">
                  <c:v>19.466666666666661</c:v>
                </c:pt>
                <c:pt idx="9">
                  <c:v>21.124260355029598</c:v>
                </c:pt>
                <c:pt idx="11">
                  <c:v>22.853333333333403</c:v>
                </c:pt>
                <c:pt idx="12">
                  <c:v>22.5</c:v>
                </c:pt>
                <c:pt idx="14">
                  <c:v>14.324324324324319</c:v>
                </c:pt>
                <c:pt idx="15">
                  <c:v>19.433526011560701</c:v>
                </c:pt>
                <c:pt idx="16">
                  <c:v>17.793560606060602</c:v>
                </c:pt>
                <c:pt idx="17">
                  <c:v>18.88669950738916</c:v>
                </c:pt>
                <c:pt idx="18">
                  <c:v>16.250580046403719</c:v>
                </c:pt>
                <c:pt idx="19">
                  <c:v>19.32584269662922</c:v>
                </c:pt>
                <c:pt idx="20">
                  <c:v>18.666666666666661</c:v>
                </c:pt>
                <c:pt idx="21">
                  <c:v>18.791858174655282</c:v>
                </c:pt>
                <c:pt idx="22">
                  <c:v>16.666666666666661</c:v>
                </c:pt>
                <c:pt idx="23">
                  <c:v>13.77269670477472</c:v>
                </c:pt>
                <c:pt idx="24">
                  <c:v>16.004264392324099</c:v>
                </c:pt>
                <c:pt idx="25">
                  <c:v>17.333333333333339</c:v>
                </c:pt>
                <c:pt idx="26">
                  <c:v>15.0003992015968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'Sugar (Adjusted)'!$AN$6</c:f>
              <c:strCache>
                <c:ptCount val="1"/>
                <c:pt idx="0">
                  <c:v>Muscat, Imports, Sugar (average),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(Adjusted)'!$AN$47:$AN$82</c:f>
              <c:numCache>
                <c:formatCode>0.0000</c:formatCode>
                <c:ptCount val="36"/>
                <c:pt idx="0">
                  <c:v>32.199528575365605</c:v>
                </c:pt>
                <c:pt idx="1">
                  <c:v>37.243292356435397</c:v>
                </c:pt>
                <c:pt idx="2">
                  <c:v>31.609957961086401</c:v>
                </c:pt>
                <c:pt idx="3">
                  <c:v>27.0946515856971</c:v>
                </c:pt>
                <c:pt idx="4">
                  <c:v>27.113283529280299</c:v>
                </c:pt>
                <c:pt idx="5">
                  <c:v>22.746393402618288</c:v>
                </c:pt>
                <c:pt idx="6">
                  <c:v>17.462412833830349</c:v>
                </c:pt>
                <c:pt idx="7">
                  <c:v>17.081504974362112</c:v>
                </c:pt>
                <c:pt idx="8">
                  <c:v>20.302435641181617</c:v>
                </c:pt>
                <c:pt idx="9">
                  <c:v>17.953456297587191</c:v>
                </c:pt>
                <c:pt idx="10">
                  <c:v>21.810124362739828</c:v>
                </c:pt>
                <c:pt idx="11">
                  <c:v>18.385808582512759</c:v>
                </c:pt>
                <c:pt idx="12">
                  <c:v>18.042205590841867</c:v>
                </c:pt>
                <c:pt idx="13">
                  <c:v>20.45736222677283</c:v>
                </c:pt>
                <c:pt idx="14">
                  <c:v>12.91176159031224</c:v>
                </c:pt>
                <c:pt idx="15">
                  <c:v>13.465901190579642</c:v>
                </c:pt>
                <c:pt idx="16">
                  <c:v>13.917587603680841</c:v>
                </c:pt>
                <c:pt idx="17">
                  <c:v>13.07208709915704</c:v>
                </c:pt>
                <c:pt idx="18">
                  <c:v>12.167302752913681</c:v>
                </c:pt>
                <c:pt idx="19">
                  <c:v>12.315688797217641</c:v>
                </c:pt>
                <c:pt idx="20">
                  <c:v>11.350045860687722</c:v>
                </c:pt>
                <c:pt idx="21">
                  <c:v>10.277340287191381</c:v>
                </c:pt>
                <c:pt idx="22">
                  <c:v>9.2271240784219195</c:v>
                </c:pt>
                <c:pt idx="23">
                  <c:v>10.148226616301418</c:v>
                </c:pt>
                <c:pt idx="24">
                  <c:v>16.996465692983978</c:v>
                </c:pt>
                <c:pt idx="25">
                  <c:v>18</c:v>
                </c:pt>
                <c:pt idx="26">
                  <c:v>13.333023255813961</c:v>
                </c:pt>
                <c:pt idx="27">
                  <c:v>10.928431372549019</c:v>
                </c:pt>
                <c:pt idx="28">
                  <c:v>11.64516129032258</c:v>
                </c:pt>
                <c:pt idx="29">
                  <c:v>13.26602952393772</c:v>
                </c:pt>
                <c:pt idx="30">
                  <c:v>13.8196287027545</c:v>
                </c:pt>
                <c:pt idx="31">
                  <c:v>19.862300712450232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'Sugar (Adjusted)'!$AO$6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317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(Adjusted)'!$AO$47:$AO$82</c:f>
              <c:numCache>
                <c:formatCode>0.0000</c:formatCode>
                <c:ptCount val="36"/>
                <c:pt idx="0">
                  <c:v>36.412377559001399</c:v>
                </c:pt>
                <c:pt idx="1">
                  <c:v>36.020378279059997</c:v>
                </c:pt>
                <c:pt idx="2">
                  <c:v>19.987123779728279</c:v>
                </c:pt>
                <c:pt idx="3">
                  <c:v>32.7263581236394</c:v>
                </c:pt>
                <c:pt idx="4">
                  <c:v>15.297532875762021</c:v>
                </c:pt>
                <c:pt idx="5">
                  <c:v>15.0411575562701</c:v>
                </c:pt>
                <c:pt idx="6">
                  <c:v>14.27349229971818</c:v>
                </c:pt>
                <c:pt idx="7">
                  <c:v>13.84096223002976</c:v>
                </c:pt>
                <c:pt idx="8">
                  <c:v>13.279580545175399</c:v>
                </c:pt>
                <c:pt idx="9">
                  <c:v>16.526883222220839</c:v>
                </c:pt>
                <c:pt idx="10">
                  <c:v>16.176019669186861</c:v>
                </c:pt>
                <c:pt idx="11">
                  <c:v>17.446387706033999</c:v>
                </c:pt>
                <c:pt idx="12">
                  <c:v>15.389601360662459</c:v>
                </c:pt>
                <c:pt idx="13">
                  <c:v>15.288939817171322</c:v>
                </c:pt>
                <c:pt idx="14">
                  <c:v>13.444123452805119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'Sugar (Adjusted)'!$AR$6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'Sugar (Adjusted)'!$A$47:$A$82</c:f>
              <c:numCache>
                <c:formatCode>General</c:formatCode>
                <c:ptCount val="3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</c:numCache>
            </c:numRef>
          </c:cat>
          <c:val>
            <c:numRef>
              <c:f>'Sugar (Adjusted)'!$AR$47:$AR$82</c:f>
              <c:numCache>
                <c:formatCode>General</c:formatCode>
                <c:ptCount val="36"/>
                <c:pt idx="7" formatCode="0.0000">
                  <c:v>22.457952425553799</c:v>
                </c:pt>
                <c:pt idx="8" formatCode="0.0000">
                  <c:v>23.332152713247602</c:v>
                </c:pt>
                <c:pt idx="9" formatCode="0.0000">
                  <c:v>34.579176935341401</c:v>
                </c:pt>
                <c:pt idx="10" formatCode="0.0000">
                  <c:v>23.6199836199836</c:v>
                </c:pt>
                <c:pt idx="11" formatCode="0.0000">
                  <c:v>16.668304668304661</c:v>
                </c:pt>
                <c:pt idx="12" formatCode="0.0000">
                  <c:v>16.87893333333334</c:v>
                </c:pt>
                <c:pt idx="13" formatCode="0.0000">
                  <c:v>16.896000000000001</c:v>
                </c:pt>
                <c:pt idx="14" formatCode="0.0000">
                  <c:v>15.644342857142862</c:v>
                </c:pt>
                <c:pt idx="15" formatCode="0.0000">
                  <c:v>16.666666666666661</c:v>
                </c:pt>
                <c:pt idx="16" formatCode="0.0000">
                  <c:v>12.549333333333339</c:v>
                </c:pt>
                <c:pt idx="17" formatCode="0.0000">
                  <c:v>13.23056389723056</c:v>
                </c:pt>
                <c:pt idx="18" formatCode="0.0000">
                  <c:v>17.606501041102099</c:v>
                </c:pt>
                <c:pt idx="19" formatCode="0.0000">
                  <c:v>22.388266667226404</c:v>
                </c:pt>
                <c:pt idx="20" formatCode="0.0000">
                  <c:v>16.357226792004958</c:v>
                </c:pt>
                <c:pt idx="21" formatCode="0.0000">
                  <c:v>16.426763636363638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02176"/>
        <c:axId val="721445856"/>
        <c:extLst>
          <c:ext xmlns:c15="http://schemas.microsoft.com/office/drawing/2012/chart" uri="{02D57815-91ED-43cb-92C2-25804820EDAC}">
            <c15:filteredLineSeries>
              <c15:ser>
                <c:idx val="14"/>
                <c:order val="12"/>
                <c:tx>
                  <c:strRef>
                    <c:extLst>
                      <c:ext uri="{02D57815-91ED-43cb-92C2-25804820EDAC}">
                        <c15:formulaRef>
                          <c15:sqref>'Sugar (Adjusted)'!$AL$6</c15:sqref>
                        </c15:formulaRef>
                      </c:ext>
                    </c:extLst>
                    <c:strCache>
                      <c:ptCount val="1"/>
                      <c:pt idx="0">
                        <c:v>Muscat, Imports, in pound/ton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'Sugar (Adjusted)'!$A$47:$A$82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1880</c:v>
                      </c:pt>
                      <c:pt idx="1">
                        <c:v>1881</c:v>
                      </c:pt>
                      <c:pt idx="2">
                        <c:v>1882</c:v>
                      </c:pt>
                      <c:pt idx="3">
                        <c:v>1883</c:v>
                      </c:pt>
                      <c:pt idx="4">
                        <c:v>1884</c:v>
                      </c:pt>
                      <c:pt idx="5">
                        <c:v>1885</c:v>
                      </c:pt>
                      <c:pt idx="6">
                        <c:v>1886</c:v>
                      </c:pt>
                      <c:pt idx="7">
                        <c:v>1887</c:v>
                      </c:pt>
                      <c:pt idx="8">
                        <c:v>1888</c:v>
                      </c:pt>
                      <c:pt idx="9">
                        <c:v>1889</c:v>
                      </c:pt>
                      <c:pt idx="10">
                        <c:v>1890</c:v>
                      </c:pt>
                      <c:pt idx="11">
                        <c:v>1891</c:v>
                      </c:pt>
                      <c:pt idx="12">
                        <c:v>1892</c:v>
                      </c:pt>
                      <c:pt idx="13">
                        <c:v>1893</c:v>
                      </c:pt>
                      <c:pt idx="14">
                        <c:v>1894</c:v>
                      </c:pt>
                      <c:pt idx="15">
                        <c:v>1895</c:v>
                      </c:pt>
                      <c:pt idx="16">
                        <c:v>1896</c:v>
                      </c:pt>
                      <c:pt idx="17">
                        <c:v>1897</c:v>
                      </c:pt>
                      <c:pt idx="18">
                        <c:v>1898</c:v>
                      </c:pt>
                      <c:pt idx="19">
                        <c:v>1899</c:v>
                      </c:pt>
                      <c:pt idx="20">
                        <c:v>1900</c:v>
                      </c:pt>
                      <c:pt idx="21">
                        <c:v>1901</c:v>
                      </c:pt>
                      <c:pt idx="22">
                        <c:v>1902</c:v>
                      </c:pt>
                      <c:pt idx="23">
                        <c:v>1903</c:v>
                      </c:pt>
                      <c:pt idx="24">
                        <c:v>1904</c:v>
                      </c:pt>
                      <c:pt idx="25">
                        <c:v>1905</c:v>
                      </c:pt>
                      <c:pt idx="26">
                        <c:v>1906</c:v>
                      </c:pt>
                      <c:pt idx="27">
                        <c:v>1907</c:v>
                      </c:pt>
                      <c:pt idx="28">
                        <c:v>1908</c:v>
                      </c:pt>
                      <c:pt idx="29">
                        <c:v>1909</c:v>
                      </c:pt>
                      <c:pt idx="30">
                        <c:v>1910</c:v>
                      </c:pt>
                      <c:pt idx="31">
                        <c:v>1911</c:v>
                      </c:pt>
                      <c:pt idx="32">
                        <c:v>1912</c:v>
                      </c:pt>
                      <c:pt idx="33">
                        <c:v>1913</c:v>
                      </c:pt>
                      <c:pt idx="34">
                        <c:v>1914</c:v>
                      </c:pt>
                      <c:pt idx="35">
                        <c:v>1915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'Sugar (Adjusted)'!$AL$47:$AL$82</c15:sqref>
                        </c15:formulaRef>
                      </c:ext>
                    </c:extLst>
                    <c:numCache>
                      <c:formatCode>0.0000</c:formatCode>
                      <c:ptCount val="36"/>
                      <c:pt idx="0">
                        <c:v>23.940859862952003</c:v>
                      </c:pt>
                      <c:pt idx="1">
                        <c:v>24.458281547509802</c:v>
                      </c:pt>
                      <c:pt idx="2">
                        <c:v>23.245668362716199</c:v>
                      </c:pt>
                      <c:pt idx="3">
                        <c:v>22.868076754347801</c:v>
                      </c:pt>
                      <c:pt idx="4">
                        <c:v>22.866624663248398</c:v>
                      </c:pt>
                      <c:pt idx="5">
                        <c:v>15.41047169269638</c:v>
                      </c:pt>
                      <c:pt idx="6">
                        <c:v>15.01513384446406</c:v>
                      </c:pt>
                      <c:pt idx="7">
                        <c:v>14.55498012284874</c:v>
                      </c:pt>
                      <c:pt idx="8">
                        <c:v>14.045710192012439</c:v>
                      </c:pt>
                      <c:pt idx="9">
                        <c:v>14.294834535347182</c:v>
                      </c:pt>
                      <c:pt idx="10">
                        <c:v>19.957042809412059</c:v>
                      </c:pt>
                      <c:pt idx="11">
                        <c:v>15.835951917784721</c:v>
                      </c:pt>
                      <c:pt idx="12">
                        <c:v>17.143363353176099</c:v>
                      </c:pt>
                      <c:pt idx="13">
                        <c:v>13.116652058688661</c:v>
                      </c:pt>
                      <c:pt idx="14">
                        <c:v>12.91176159031224</c:v>
                      </c:pt>
                      <c:pt idx="15">
                        <c:v>13.465901190579642</c:v>
                      </c:pt>
                      <c:pt idx="16">
                        <c:v>13.917587603680841</c:v>
                      </c:pt>
                      <c:pt idx="17">
                        <c:v>13.07208709915704</c:v>
                      </c:pt>
                      <c:pt idx="18">
                        <c:v>12.167302752913681</c:v>
                      </c:pt>
                      <c:pt idx="19">
                        <c:v>12.315688797217641</c:v>
                      </c:pt>
                      <c:pt idx="20">
                        <c:v>11.350045860687722</c:v>
                      </c:pt>
                      <c:pt idx="21">
                        <c:v>10.277340287191381</c:v>
                      </c:pt>
                      <c:pt idx="22">
                        <c:v>9.2271240784219195</c:v>
                      </c:pt>
                      <c:pt idx="23">
                        <c:v>10.148226616301418</c:v>
                      </c:pt>
                      <c:pt idx="24">
                        <c:v>16.996465692983978</c:v>
                      </c:pt>
                      <c:pt idx="25">
                        <c:v>18</c:v>
                      </c:pt>
                      <c:pt idx="26">
                        <c:v>13.333023255813961</c:v>
                      </c:pt>
                      <c:pt idx="27">
                        <c:v>10.928431372549019</c:v>
                      </c:pt>
                      <c:pt idx="28">
                        <c:v>11.64516129032258</c:v>
                      </c:pt>
                      <c:pt idx="29">
                        <c:v>13.26602952393772</c:v>
                      </c:pt>
                      <c:pt idx="30">
                        <c:v>14.758822622900301</c:v>
                      </c:pt>
                      <c:pt idx="31">
                        <c:v>16.99236098774206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'Sugar (Adjusted)'!$AP$6</c15:sqref>
                        </c15:formulaRef>
                      </c:ext>
                    </c:extLst>
                    <c:strCache>
                      <c:ptCount val="1"/>
                      <c:pt idx="0">
                        <c:v>Mohammerah, Imports, in pound/ton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'Sugar (Adjusted)'!$A$47:$A$82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1880</c:v>
                      </c:pt>
                      <c:pt idx="1">
                        <c:v>1881</c:v>
                      </c:pt>
                      <c:pt idx="2">
                        <c:v>1882</c:v>
                      </c:pt>
                      <c:pt idx="3">
                        <c:v>1883</c:v>
                      </c:pt>
                      <c:pt idx="4">
                        <c:v>1884</c:v>
                      </c:pt>
                      <c:pt idx="5">
                        <c:v>1885</c:v>
                      </c:pt>
                      <c:pt idx="6">
                        <c:v>1886</c:v>
                      </c:pt>
                      <c:pt idx="7">
                        <c:v>1887</c:v>
                      </c:pt>
                      <c:pt idx="8">
                        <c:v>1888</c:v>
                      </c:pt>
                      <c:pt idx="9">
                        <c:v>1889</c:v>
                      </c:pt>
                      <c:pt idx="10">
                        <c:v>1890</c:v>
                      </c:pt>
                      <c:pt idx="11">
                        <c:v>1891</c:v>
                      </c:pt>
                      <c:pt idx="12">
                        <c:v>1892</c:v>
                      </c:pt>
                      <c:pt idx="13">
                        <c:v>1893</c:v>
                      </c:pt>
                      <c:pt idx="14">
                        <c:v>1894</c:v>
                      </c:pt>
                      <c:pt idx="15">
                        <c:v>1895</c:v>
                      </c:pt>
                      <c:pt idx="16">
                        <c:v>1896</c:v>
                      </c:pt>
                      <c:pt idx="17">
                        <c:v>1897</c:v>
                      </c:pt>
                      <c:pt idx="18">
                        <c:v>1898</c:v>
                      </c:pt>
                      <c:pt idx="19">
                        <c:v>1899</c:v>
                      </c:pt>
                      <c:pt idx="20">
                        <c:v>1900</c:v>
                      </c:pt>
                      <c:pt idx="21">
                        <c:v>1901</c:v>
                      </c:pt>
                      <c:pt idx="22">
                        <c:v>1902</c:v>
                      </c:pt>
                      <c:pt idx="23">
                        <c:v>1903</c:v>
                      </c:pt>
                      <c:pt idx="24">
                        <c:v>1904</c:v>
                      </c:pt>
                      <c:pt idx="25">
                        <c:v>1905</c:v>
                      </c:pt>
                      <c:pt idx="26">
                        <c:v>1906</c:v>
                      </c:pt>
                      <c:pt idx="27">
                        <c:v>1907</c:v>
                      </c:pt>
                      <c:pt idx="28">
                        <c:v>1908</c:v>
                      </c:pt>
                      <c:pt idx="29">
                        <c:v>1909</c:v>
                      </c:pt>
                      <c:pt idx="30">
                        <c:v>1910</c:v>
                      </c:pt>
                      <c:pt idx="31">
                        <c:v>1911</c:v>
                      </c:pt>
                      <c:pt idx="32">
                        <c:v>1912</c:v>
                      </c:pt>
                      <c:pt idx="33">
                        <c:v>1913</c:v>
                      </c:pt>
                      <c:pt idx="34">
                        <c:v>1914</c:v>
                      </c:pt>
                      <c:pt idx="35">
                        <c:v>1915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'Sugar (Adjusted)'!$AP$47:$AP$82</c15:sqref>
                        </c15:formulaRef>
                      </c:ext>
                    </c:extLst>
                    <c:numCache>
                      <c:formatCode>0.0000</c:formatCode>
                      <c:ptCount val="36"/>
                      <c:pt idx="10">
                        <c:v>18.228571428571421</c:v>
                      </c:pt>
                      <c:pt idx="11">
                        <c:v>14.325102257233759</c:v>
                      </c:pt>
                      <c:pt idx="12">
                        <c:v>14.29439861050804</c:v>
                      </c:pt>
                      <c:pt idx="13">
                        <c:v>11.935538022494541</c:v>
                      </c:pt>
                      <c:pt idx="14">
                        <c:v>11.272585467307941</c:v>
                      </c:pt>
                      <c:pt idx="15">
                        <c:v>23.785134291068001</c:v>
                      </c:pt>
                      <c:pt idx="16">
                        <c:v>11.248296538566361</c:v>
                      </c:pt>
                      <c:pt idx="17">
                        <c:v>14.97058823529412</c:v>
                      </c:pt>
                      <c:pt idx="18">
                        <c:v>15.302039245863801</c:v>
                      </c:pt>
                      <c:pt idx="19">
                        <c:v>15.27251007913992</c:v>
                      </c:pt>
                      <c:pt idx="20">
                        <c:v>16.6805041889954</c:v>
                      </c:pt>
                      <c:pt idx="21">
                        <c:v>16.88607362526394</c:v>
                      </c:pt>
                      <c:pt idx="22">
                        <c:v>13.493745113025199</c:v>
                      </c:pt>
                      <c:pt idx="26">
                        <c:v>15.484409985629778</c:v>
                      </c:pt>
                      <c:pt idx="27">
                        <c:v>14.812642016112381</c:v>
                      </c:pt>
                      <c:pt idx="28">
                        <c:v>15.410625941062598</c:v>
                      </c:pt>
                      <c:pt idx="29">
                        <c:v>17.170607127655458</c:v>
                      </c:pt>
                      <c:pt idx="30">
                        <c:v>17.068483816013618</c:v>
                      </c:pt>
                      <c:pt idx="31">
                        <c:v>16.20897043832824</c:v>
                      </c:pt>
                      <c:pt idx="32">
                        <c:v>18.25722713864306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'Sugar (Adjusted)'!$AQ$6</c15:sqref>
                        </c15:formulaRef>
                      </c:ext>
                    </c:extLst>
                    <c:strCache>
                      <c:ptCount val="1"/>
                      <c:pt idx="0">
                        <c:v>Lingah, Imports, in pound/ton</c:v>
                      </c:pt>
                    </c:strCache>
                  </c:strRef>
                </c:tx>
                <c:spPr>
                  <a:ln w="158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317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'Sugar (Adjusted)'!$A$47:$A$82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1880</c:v>
                      </c:pt>
                      <c:pt idx="1">
                        <c:v>1881</c:v>
                      </c:pt>
                      <c:pt idx="2">
                        <c:v>1882</c:v>
                      </c:pt>
                      <c:pt idx="3">
                        <c:v>1883</c:v>
                      </c:pt>
                      <c:pt idx="4">
                        <c:v>1884</c:v>
                      </c:pt>
                      <c:pt idx="5">
                        <c:v>1885</c:v>
                      </c:pt>
                      <c:pt idx="6">
                        <c:v>1886</c:v>
                      </c:pt>
                      <c:pt idx="7">
                        <c:v>1887</c:v>
                      </c:pt>
                      <c:pt idx="8">
                        <c:v>1888</c:v>
                      </c:pt>
                      <c:pt idx="9">
                        <c:v>1889</c:v>
                      </c:pt>
                      <c:pt idx="10">
                        <c:v>1890</c:v>
                      </c:pt>
                      <c:pt idx="11">
                        <c:v>1891</c:v>
                      </c:pt>
                      <c:pt idx="12">
                        <c:v>1892</c:v>
                      </c:pt>
                      <c:pt idx="13">
                        <c:v>1893</c:v>
                      </c:pt>
                      <c:pt idx="14">
                        <c:v>1894</c:v>
                      </c:pt>
                      <c:pt idx="15">
                        <c:v>1895</c:v>
                      </c:pt>
                      <c:pt idx="16">
                        <c:v>1896</c:v>
                      </c:pt>
                      <c:pt idx="17">
                        <c:v>1897</c:v>
                      </c:pt>
                      <c:pt idx="18">
                        <c:v>1898</c:v>
                      </c:pt>
                      <c:pt idx="19">
                        <c:v>1899</c:v>
                      </c:pt>
                      <c:pt idx="20">
                        <c:v>1900</c:v>
                      </c:pt>
                      <c:pt idx="21">
                        <c:v>1901</c:v>
                      </c:pt>
                      <c:pt idx="22">
                        <c:v>1902</c:v>
                      </c:pt>
                      <c:pt idx="23">
                        <c:v>1903</c:v>
                      </c:pt>
                      <c:pt idx="24">
                        <c:v>1904</c:v>
                      </c:pt>
                      <c:pt idx="25">
                        <c:v>1905</c:v>
                      </c:pt>
                      <c:pt idx="26">
                        <c:v>1906</c:v>
                      </c:pt>
                      <c:pt idx="27">
                        <c:v>1907</c:v>
                      </c:pt>
                      <c:pt idx="28">
                        <c:v>1908</c:v>
                      </c:pt>
                      <c:pt idx="29">
                        <c:v>1909</c:v>
                      </c:pt>
                      <c:pt idx="30">
                        <c:v>1910</c:v>
                      </c:pt>
                      <c:pt idx="31">
                        <c:v>1911</c:v>
                      </c:pt>
                      <c:pt idx="32">
                        <c:v>1912</c:v>
                      </c:pt>
                      <c:pt idx="33">
                        <c:v>1913</c:v>
                      </c:pt>
                      <c:pt idx="34">
                        <c:v>1914</c:v>
                      </c:pt>
                      <c:pt idx="35">
                        <c:v>1915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'Sugar (Adjusted)'!$AQ$47:$AQ$82</c15:sqref>
                        </c15:formulaRef>
                      </c:ext>
                    </c:extLst>
                    <c:numCache>
                      <c:formatCode>0.0000</c:formatCode>
                      <c:ptCount val="36"/>
                      <c:pt idx="7">
                        <c:v>21.716000000000001</c:v>
                      </c:pt>
                      <c:pt idx="8">
                        <c:v>18.669201520912541</c:v>
                      </c:pt>
                      <c:pt idx="9">
                        <c:v>24.616</c:v>
                      </c:pt>
                      <c:pt idx="10">
                        <c:v>21.537142857142801</c:v>
                      </c:pt>
                      <c:pt idx="11">
                        <c:v>19.286666666666662</c:v>
                      </c:pt>
                      <c:pt idx="12">
                        <c:v>21.249523809523797</c:v>
                      </c:pt>
                      <c:pt idx="13">
                        <c:v>22.154166666666598</c:v>
                      </c:pt>
                      <c:pt idx="14">
                        <c:v>16.664000000000001</c:v>
                      </c:pt>
                      <c:pt idx="15">
                        <c:v>14.444999999999999</c:v>
                      </c:pt>
                      <c:pt idx="16">
                        <c:v>15.29333333333334</c:v>
                      </c:pt>
                      <c:pt idx="17">
                        <c:v>16.248888888888878</c:v>
                      </c:pt>
                      <c:pt idx="18">
                        <c:v>15</c:v>
                      </c:pt>
                      <c:pt idx="19">
                        <c:v>16</c:v>
                      </c:pt>
                      <c:pt idx="20">
                        <c:v>16</c:v>
                      </c:pt>
                      <c:pt idx="21">
                        <c:v>13.334399999999999</c:v>
                      </c:pt>
                      <c:pt idx="26">
                        <c:v>14.46207553157728</c:v>
                      </c:pt>
                      <c:pt idx="27">
                        <c:v>14.033829604801619</c:v>
                      </c:pt>
                      <c:pt idx="28">
                        <c:v>14.35338796721966</c:v>
                      </c:pt>
                      <c:pt idx="29">
                        <c:v>14.869336632132359</c:v>
                      </c:pt>
                      <c:pt idx="30">
                        <c:v>15.797244094488182</c:v>
                      </c:pt>
                      <c:pt idx="31">
                        <c:v>16.252181305651263</c:v>
                      </c:pt>
                      <c:pt idx="32">
                        <c:v>17.048876281911419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2140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445856"/>
        <c:crosses val="autoZero"/>
        <c:auto val="1"/>
        <c:lblAlgn val="ctr"/>
        <c:lblOffset val="100"/>
        <c:noMultiLvlLbl val="0"/>
      </c:catAx>
      <c:valAx>
        <c:axId val="72144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40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672641367795955"/>
          <c:y val="0.18333700705763256"/>
          <c:w val="0.25638178756256436"/>
          <c:h val="0.76659441675544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(All)'!$H$7:$H$107</c:f>
              <c:numCache>
                <c:formatCode>0.0000</c:formatCode>
                <c:ptCount val="92"/>
                <c:pt idx="51">
                  <c:v>19.045797471044533</c:v>
                </c:pt>
                <c:pt idx="52">
                  <c:v>20.000000000000004</c:v>
                </c:pt>
                <c:pt idx="53">
                  <c:v>20.000000000000004</c:v>
                </c:pt>
                <c:pt idx="54">
                  <c:v>16.666234271630561</c:v>
                </c:pt>
                <c:pt idx="55">
                  <c:v>16.699715892619</c:v>
                </c:pt>
                <c:pt idx="56">
                  <c:v>16.666411375762692</c:v>
                </c:pt>
                <c:pt idx="57">
                  <c:v>16.666398433518424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(All)'!$H$7:$H$107</c:f>
              <c:numCache>
                <c:formatCode>0.0000</c:formatCode>
                <c:ptCount val="92"/>
                <c:pt idx="51">
                  <c:v>19.045797471044533</c:v>
                </c:pt>
                <c:pt idx="52">
                  <c:v>20.000000000000004</c:v>
                </c:pt>
                <c:pt idx="53">
                  <c:v>20.000000000000004</c:v>
                </c:pt>
                <c:pt idx="54">
                  <c:v>16.666234271630561</c:v>
                </c:pt>
                <c:pt idx="55">
                  <c:v>16.699715892619</c:v>
                </c:pt>
                <c:pt idx="56">
                  <c:v>16.666411375762692</c:v>
                </c:pt>
                <c:pt idx="57">
                  <c:v>16.666398433518424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12448"/>
        <c:axId val="367607968"/>
      </c:scatterChart>
      <c:valAx>
        <c:axId val="367612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07968"/>
        <c:crosses val="autoZero"/>
        <c:crossBetween val="midCat"/>
        <c:majorUnit val="5"/>
      </c:valAx>
      <c:valAx>
        <c:axId val="36760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12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(All)'!$K$7:$K$107</c:f>
              <c:numCache>
                <c:formatCode>0.0000</c:formatCode>
                <c:ptCount val="92"/>
                <c:pt idx="44">
                  <c:v>40.727272727272762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(All)'!$K$7:$K$107</c:f>
              <c:numCache>
                <c:formatCode>0.0000</c:formatCode>
                <c:ptCount val="92"/>
                <c:pt idx="44">
                  <c:v>40.727272727272762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13568"/>
        <c:axId val="367631488"/>
      </c:scatterChart>
      <c:valAx>
        <c:axId val="367613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31488"/>
        <c:crosses val="autoZero"/>
        <c:crossBetween val="midCat"/>
        <c:majorUnit val="5"/>
      </c:valAx>
      <c:valAx>
        <c:axId val="36763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13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(All)'!$L$7:$L$107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(All)'!$L$7:$L$107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574368"/>
        <c:axId val="367630368"/>
      </c:scatterChart>
      <c:valAx>
        <c:axId val="367574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30368"/>
        <c:crosses val="autoZero"/>
        <c:crossBetween val="midCat"/>
        <c:majorUnit val="5"/>
      </c:valAx>
      <c:valAx>
        <c:axId val="36763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74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(All)'!$M$7:$M$107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(All)'!$M$7:$M$107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574928"/>
        <c:axId val="367634288"/>
      </c:scatterChart>
      <c:valAx>
        <c:axId val="367574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34288"/>
        <c:crosses val="autoZero"/>
        <c:crossBetween val="midCat"/>
        <c:majorUnit val="5"/>
      </c:valAx>
      <c:valAx>
        <c:axId val="3676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74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(All)'!$T$7:$T$107</c:f>
              <c:numCache>
                <c:formatCode>0.0000</c:formatCode>
                <c:ptCount val="92"/>
                <c:pt idx="42">
                  <c:v>40.641999999999996</c:v>
                </c:pt>
                <c:pt idx="50">
                  <c:v>23.534469200524249</c:v>
                </c:pt>
                <c:pt idx="51">
                  <c:v>24.070588235294117</c:v>
                </c:pt>
                <c:pt idx="52">
                  <c:v>24</c:v>
                </c:pt>
                <c:pt idx="53">
                  <c:v>21.333333333333332</c:v>
                </c:pt>
                <c:pt idx="54">
                  <c:v>17.054263565891471</c:v>
                </c:pt>
                <c:pt idx="58">
                  <c:v>16.8</c:v>
                </c:pt>
                <c:pt idx="62">
                  <c:v>18.669778296382731</c:v>
                </c:pt>
                <c:pt idx="63">
                  <c:v>14.285714285714286</c:v>
                </c:pt>
                <c:pt idx="64">
                  <c:v>18.050541516245488</c:v>
                </c:pt>
                <c:pt idx="65">
                  <c:v>13.2</c:v>
                </c:pt>
                <c:pt idx="66">
                  <c:v>13.461538461538462</c:v>
                </c:pt>
                <c:pt idx="68">
                  <c:v>18.333333333333332</c:v>
                </c:pt>
                <c:pt idx="69">
                  <c:v>22.3</c:v>
                </c:pt>
                <c:pt idx="70">
                  <c:v>19.375</c:v>
                </c:pt>
                <c:pt idx="71">
                  <c:v>19.204545454545453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(All)'!$T$7:$T$107</c:f>
              <c:numCache>
                <c:formatCode>0.0000</c:formatCode>
                <c:ptCount val="92"/>
                <c:pt idx="42">
                  <c:v>40.641999999999996</c:v>
                </c:pt>
                <c:pt idx="50">
                  <c:v>23.534469200524249</c:v>
                </c:pt>
                <c:pt idx="51">
                  <c:v>24.070588235294117</c:v>
                </c:pt>
                <c:pt idx="52">
                  <c:v>24</c:v>
                </c:pt>
                <c:pt idx="53">
                  <c:v>21.333333333333332</c:v>
                </c:pt>
                <c:pt idx="54">
                  <c:v>17.054263565891471</c:v>
                </c:pt>
                <c:pt idx="58">
                  <c:v>16.8</c:v>
                </c:pt>
                <c:pt idx="62">
                  <c:v>18.669778296382731</c:v>
                </c:pt>
                <c:pt idx="63">
                  <c:v>14.285714285714286</c:v>
                </c:pt>
                <c:pt idx="64">
                  <c:v>18.050541516245488</c:v>
                </c:pt>
                <c:pt idx="65">
                  <c:v>13.2</c:v>
                </c:pt>
                <c:pt idx="66">
                  <c:v>13.461538461538462</c:v>
                </c:pt>
                <c:pt idx="68">
                  <c:v>18.333333333333332</c:v>
                </c:pt>
                <c:pt idx="69">
                  <c:v>22.3</c:v>
                </c:pt>
                <c:pt idx="70">
                  <c:v>19.375</c:v>
                </c:pt>
                <c:pt idx="71">
                  <c:v>19.204545454545453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576048"/>
        <c:axId val="367628688"/>
      </c:scatterChart>
      <c:valAx>
        <c:axId val="367576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28688"/>
        <c:crosses val="autoZero"/>
        <c:crossBetween val="midCat"/>
        <c:majorUnit val="5"/>
      </c:valAx>
      <c:valAx>
        <c:axId val="36762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76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(All)'!$U$7:$U$107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(All)'!$U$7:$U$107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592288"/>
        <c:axId val="367578288"/>
      </c:scatterChart>
      <c:valAx>
        <c:axId val="367592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78288"/>
        <c:crosses val="autoZero"/>
        <c:crossBetween val="midCat"/>
        <c:majorUnit val="5"/>
      </c:valAx>
      <c:valAx>
        <c:axId val="3675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92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(All)'!$V$7:$V$107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(All)'!$V$7:$V$107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595648"/>
        <c:axId val="367589488"/>
      </c:scatterChart>
      <c:valAx>
        <c:axId val="367595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89488"/>
        <c:crosses val="autoZero"/>
        <c:crossBetween val="midCat"/>
        <c:majorUnit val="5"/>
      </c:valAx>
      <c:valAx>
        <c:axId val="36758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95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(All)'!$W$7:$W$107</c:f>
              <c:numCache>
                <c:formatCode>0.0000</c:formatCode>
                <c:ptCount val="92"/>
                <c:pt idx="31">
                  <c:v>42.3229166666666</c:v>
                </c:pt>
                <c:pt idx="32">
                  <c:v>40.1145833333334</c:v>
                </c:pt>
                <c:pt idx="33">
                  <c:v>36.3333333333334</c:v>
                </c:pt>
                <c:pt idx="36">
                  <c:v>39.599734975446253</c:v>
                </c:pt>
                <c:pt idx="40">
                  <c:v>35.2770071869028</c:v>
                </c:pt>
                <c:pt idx="54">
                  <c:v>14.631092886756001</c:v>
                </c:pt>
                <c:pt idx="55">
                  <c:v>13.445378151260506</c:v>
                </c:pt>
                <c:pt idx="56">
                  <c:v>13.088529358298491</c:v>
                </c:pt>
                <c:pt idx="57">
                  <c:v>13</c:v>
                </c:pt>
                <c:pt idx="58">
                  <c:v>13</c:v>
                </c:pt>
                <c:pt idx="59">
                  <c:v>12.891891891891891</c:v>
                </c:pt>
                <c:pt idx="60">
                  <c:v>12</c:v>
                </c:pt>
                <c:pt idx="61">
                  <c:v>12.147651006711408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(All)'!$W$7:$W$107</c:f>
              <c:numCache>
                <c:formatCode>0.0000</c:formatCode>
                <c:ptCount val="92"/>
                <c:pt idx="31">
                  <c:v>42.3229166666666</c:v>
                </c:pt>
                <c:pt idx="32">
                  <c:v>40.1145833333334</c:v>
                </c:pt>
                <c:pt idx="33">
                  <c:v>36.3333333333334</c:v>
                </c:pt>
                <c:pt idx="36">
                  <c:v>39.599734975446253</c:v>
                </c:pt>
                <c:pt idx="40">
                  <c:v>35.2770071869028</c:v>
                </c:pt>
                <c:pt idx="54">
                  <c:v>14.631092886756001</c:v>
                </c:pt>
                <c:pt idx="55">
                  <c:v>13.445378151260506</c:v>
                </c:pt>
                <c:pt idx="56">
                  <c:v>13.088529358298491</c:v>
                </c:pt>
                <c:pt idx="57">
                  <c:v>13</c:v>
                </c:pt>
                <c:pt idx="58">
                  <c:v>13</c:v>
                </c:pt>
                <c:pt idx="59">
                  <c:v>12.891891891891891</c:v>
                </c:pt>
                <c:pt idx="60">
                  <c:v>12</c:v>
                </c:pt>
                <c:pt idx="61">
                  <c:v>12.147651006711408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599008"/>
        <c:axId val="367594528"/>
      </c:scatterChart>
      <c:valAx>
        <c:axId val="367599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94528"/>
        <c:crosses val="autoZero"/>
        <c:crossBetween val="midCat"/>
        <c:majorUnit val="5"/>
      </c:valAx>
      <c:valAx>
        <c:axId val="36759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99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(All)'!$Y$7:$Y$107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(All)'!$Y$7:$Y$107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02928"/>
        <c:axId val="367597888"/>
      </c:scatterChart>
      <c:valAx>
        <c:axId val="367602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597888"/>
        <c:crosses val="autoZero"/>
        <c:crossBetween val="midCat"/>
        <c:majorUnit val="5"/>
      </c:valAx>
      <c:valAx>
        <c:axId val="36759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02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 (raw),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(All)'!$C$7:$C$107</c:f>
              <c:numCache>
                <c:formatCode>0.0000</c:formatCode>
                <c:ptCount val="92"/>
                <c:pt idx="14">
                  <c:v>21.104955859972229</c:v>
                </c:pt>
                <c:pt idx="15">
                  <c:v>26.328953884371025</c:v>
                </c:pt>
                <c:pt idx="16">
                  <c:v>29.453520313764297</c:v>
                </c:pt>
                <c:pt idx="17">
                  <c:v>35.142920205904254</c:v>
                </c:pt>
                <c:pt idx="18">
                  <c:v>27.350254073003097</c:v>
                </c:pt>
                <c:pt idx="19">
                  <c:v>25.913653876928002</c:v>
                </c:pt>
                <c:pt idx="20">
                  <c:v>26.851512093813092</c:v>
                </c:pt>
                <c:pt idx="21">
                  <c:v>23.39193059602929</c:v>
                </c:pt>
                <c:pt idx="22">
                  <c:v>22.114922708393635</c:v>
                </c:pt>
                <c:pt idx="23">
                  <c:v>21.502575126425217</c:v>
                </c:pt>
                <c:pt idx="24">
                  <c:v>26.787322423557942</c:v>
                </c:pt>
                <c:pt idx="25">
                  <c:v>22.05</c:v>
                </c:pt>
                <c:pt idx="26">
                  <c:v>20.29</c:v>
                </c:pt>
                <c:pt idx="27">
                  <c:v>21.8</c:v>
                </c:pt>
                <c:pt idx="28">
                  <c:v>22.62</c:v>
                </c:pt>
                <c:pt idx="29">
                  <c:v>24.54</c:v>
                </c:pt>
                <c:pt idx="30">
                  <c:v>22.57</c:v>
                </c:pt>
                <c:pt idx="31">
                  <c:v>25.1</c:v>
                </c:pt>
                <c:pt idx="32">
                  <c:v>26.2</c:v>
                </c:pt>
                <c:pt idx="33">
                  <c:v>23.96</c:v>
                </c:pt>
                <c:pt idx="34">
                  <c:v>22.42</c:v>
                </c:pt>
                <c:pt idx="35">
                  <c:v>21.16</c:v>
                </c:pt>
                <c:pt idx="36">
                  <c:v>20.92</c:v>
                </c:pt>
                <c:pt idx="37">
                  <c:v>25.73</c:v>
                </c:pt>
                <c:pt idx="38">
                  <c:v>21.47</c:v>
                </c:pt>
                <c:pt idx="39">
                  <c:v>20.22</c:v>
                </c:pt>
                <c:pt idx="40">
                  <c:v>21.71</c:v>
                </c:pt>
                <c:pt idx="41">
                  <c:v>21.72</c:v>
                </c:pt>
                <c:pt idx="42">
                  <c:v>21.11</c:v>
                </c:pt>
                <c:pt idx="43">
                  <c:v>20.100000000000001</c:v>
                </c:pt>
                <c:pt idx="44">
                  <c:v>15.51</c:v>
                </c:pt>
                <c:pt idx="45">
                  <c:v>13.89</c:v>
                </c:pt>
                <c:pt idx="46">
                  <c:v>13.07</c:v>
                </c:pt>
                <c:pt idx="47">
                  <c:v>12.16</c:v>
                </c:pt>
                <c:pt idx="48">
                  <c:v>13.445</c:v>
                </c:pt>
                <c:pt idx="49">
                  <c:v>15.465</c:v>
                </c:pt>
                <c:pt idx="50">
                  <c:v>12.79</c:v>
                </c:pt>
                <c:pt idx="51">
                  <c:v>12.995000000000001</c:v>
                </c:pt>
                <c:pt idx="52">
                  <c:v>13.145</c:v>
                </c:pt>
                <c:pt idx="53">
                  <c:v>14.29</c:v>
                </c:pt>
                <c:pt idx="54">
                  <c:v>11.715</c:v>
                </c:pt>
                <c:pt idx="55">
                  <c:v>9.754999999999999</c:v>
                </c:pt>
                <c:pt idx="56">
                  <c:v>10.594999999999999</c:v>
                </c:pt>
                <c:pt idx="57">
                  <c:v>9.2850000000000001</c:v>
                </c:pt>
                <c:pt idx="58">
                  <c:v>9.745000000000001</c:v>
                </c:pt>
                <c:pt idx="59">
                  <c:v>10.875</c:v>
                </c:pt>
                <c:pt idx="60">
                  <c:v>11</c:v>
                </c:pt>
                <c:pt idx="61">
                  <c:v>9.99</c:v>
                </c:pt>
                <c:pt idx="62">
                  <c:v>7.9649999999999999</c:v>
                </c:pt>
                <c:pt idx="63">
                  <c:v>8.8550000000000004</c:v>
                </c:pt>
                <c:pt idx="64">
                  <c:v>10.185</c:v>
                </c:pt>
                <c:pt idx="65">
                  <c:v>11.809999999999999</c:v>
                </c:pt>
                <c:pt idx="66">
                  <c:v>9.0749999999999993</c:v>
                </c:pt>
                <c:pt idx="67">
                  <c:v>9.875</c:v>
                </c:pt>
                <c:pt idx="68">
                  <c:v>10.71</c:v>
                </c:pt>
                <c:pt idx="69">
                  <c:v>11.115</c:v>
                </c:pt>
                <c:pt idx="70">
                  <c:v>12.67</c:v>
                </c:pt>
                <c:pt idx="71">
                  <c:v>12.805</c:v>
                </c:pt>
                <c:pt idx="72">
                  <c:v>12.715</c:v>
                </c:pt>
                <c:pt idx="73">
                  <c:v>10.33</c:v>
                </c:pt>
                <c:pt idx="74">
                  <c:v>13.370000000000001</c:v>
                </c:pt>
                <c:pt idx="75">
                  <c:v>9.77</c:v>
                </c:pt>
                <c:pt idx="76">
                  <c:v>11.09</c:v>
                </c:pt>
                <c:pt idx="77">
                  <c:v>24.035</c:v>
                </c:pt>
                <c:pt idx="78">
                  <c:v>25.15</c:v>
                </c:pt>
                <c:pt idx="79">
                  <c:v>30.805</c:v>
                </c:pt>
                <c:pt idx="80">
                  <c:v>45.4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58368"/>
        <c:axId val="299056688"/>
      </c:scatterChart>
      <c:valAx>
        <c:axId val="299058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56688"/>
        <c:crosses val="autoZero"/>
        <c:crossBetween val="midCat"/>
        <c:majorUnit val="5"/>
      </c:valAx>
      <c:valAx>
        <c:axId val="29905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58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(All)'!$X$7:$X$107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(All)'!$X$7:$X$107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15248"/>
        <c:axId val="367600688"/>
      </c:scatterChart>
      <c:valAx>
        <c:axId val="367615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00688"/>
        <c:crosses val="autoZero"/>
        <c:crossBetween val="midCat"/>
        <c:majorUnit val="5"/>
      </c:valAx>
      <c:valAx>
        <c:axId val="36760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15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(Anatolia),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(All)'!$Z$7:$Z$107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(All)'!$Z$7:$Z$107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18608"/>
        <c:axId val="367614128"/>
      </c:scatterChart>
      <c:valAx>
        <c:axId val="367618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14128"/>
        <c:crosses val="autoZero"/>
        <c:crossBetween val="midCat"/>
        <c:majorUnit val="5"/>
      </c:valAx>
      <c:valAx>
        <c:axId val="36761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18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(Rumeli),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(All)'!$AC$7:$AC$107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(All)'!$AC$7:$AC$107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23648"/>
        <c:axId val="367617488"/>
      </c:scatterChart>
      <c:valAx>
        <c:axId val="367623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17488"/>
        <c:crosses val="autoZero"/>
        <c:crossBetween val="midCat"/>
        <c:majorUnit val="5"/>
      </c:valAx>
      <c:valAx>
        <c:axId val="36761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23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Exports,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(All)'!$AA$7:$AA$107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(All)'!$AA$7:$AA$107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603488"/>
        <c:axId val="747712432"/>
      </c:scatterChart>
      <c:valAx>
        <c:axId val="367603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2432"/>
        <c:crosses val="autoZero"/>
        <c:crossBetween val="midCat"/>
        <c:majorUnit val="5"/>
      </c:valAx>
      <c:valAx>
        <c:axId val="747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03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Bazaar (Local),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(All)'!$AB$7:$AB$107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(All)'!$AB$7:$AB$107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1872"/>
        <c:axId val="747700112"/>
      </c:scatterChart>
      <c:valAx>
        <c:axId val="7477118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0112"/>
        <c:crosses val="autoZero"/>
        <c:crossBetween val="midCat"/>
        <c:majorUnit val="5"/>
      </c:valAx>
      <c:valAx>
        <c:axId val="7477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1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(All)'!$AD$7:$AD$107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(All)'!$AD$7:$AD$107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94752"/>
        <c:axId val="747793072"/>
      </c:scatterChart>
      <c:valAx>
        <c:axId val="747794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3072"/>
        <c:crosses val="autoZero"/>
        <c:crossBetween val="midCat"/>
        <c:majorUnit val="5"/>
      </c:valAx>
      <c:valAx>
        <c:axId val="74779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4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(All)'!$AE$7:$AE$107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(All)'!$AE$7:$AE$107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5792"/>
        <c:axId val="747784112"/>
      </c:scatterChart>
      <c:valAx>
        <c:axId val="747785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4112"/>
        <c:crosses val="autoZero"/>
        <c:crossBetween val="midCat"/>
        <c:majorUnit val="5"/>
      </c:valAx>
      <c:valAx>
        <c:axId val="74778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5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(All)'!$AG$7:$AG$107</c:f>
              <c:numCache>
                <c:formatCode>0.0000</c:formatCode>
                <c:ptCount val="92"/>
                <c:pt idx="70">
                  <c:v>27.545233594382932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(All)'!$AG$7:$AG$107</c:f>
              <c:numCache>
                <c:formatCode>0.0000</c:formatCode>
                <c:ptCount val="92"/>
                <c:pt idx="70">
                  <c:v>27.545233594382932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2432"/>
        <c:axId val="747712992"/>
      </c:scatterChart>
      <c:valAx>
        <c:axId val="7477824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2992"/>
        <c:crosses val="autoZero"/>
        <c:crossBetween val="midCat"/>
        <c:majorUnit val="5"/>
      </c:valAx>
      <c:valAx>
        <c:axId val="7477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24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(All)'!$AF$7:$AF$107</c:f>
              <c:numCache>
                <c:formatCode>0.0000</c:formatCode>
                <c:ptCount val="92"/>
                <c:pt idx="59">
                  <c:v>12.263295371434541</c:v>
                </c:pt>
                <c:pt idx="61">
                  <c:v>9.2203443719137184</c:v>
                </c:pt>
                <c:pt idx="63">
                  <c:v>10.668928419971877</c:v>
                </c:pt>
                <c:pt idx="64">
                  <c:v>16.397714743910996</c:v>
                </c:pt>
                <c:pt idx="70">
                  <c:v>16.087092188745999</c:v>
                </c:pt>
                <c:pt idx="71">
                  <c:v>16.571092897703434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(All)'!$AF$7:$AF$107</c:f>
              <c:numCache>
                <c:formatCode>0.0000</c:formatCode>
                <c:ptCount val="92"/>
                <c:pt idx="59">
                  <c:v>12.263295371434541</c:v>
                </c:pt>
                <c:pt idx="61">
                  <c:v>9.2203443719137184</c:v>
                </c:pt>
                <c:pt idx="63">
                  <c:v>10.668928419971877</c:v>
                </c:pt>
                <c:pt idx="64">
                  <c:v>16.397714743910996</c:v>
                </c:pt>
                <c:pt idx="70">
                  <c:v>16.087092188745999</c:v>
                </c:pt>
                <c:pt idx="71">
                  <c:v>16.571092897703434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0192"/>
        <c:axId val="747778512"/>
      </c:scatterChart>
      <c:valAx>
        <c:axId val="747780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8512"/>
        <c:crosses val="autoZero"/>
        <c:crossBetween val="midCat"/>
        <c:majorUnit val="5"/>
      </c:valAx>
      <c:valAx>
        <c:axId val="7477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0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(All)'!$AH$7:$AH$107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(All)'!$AH$7:$AH$107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76832"/>
        <c:axId val="747775152"/>
      </c:scatterChart>
      <c:valAx>
        <c:axId val="747776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5152"/>
        <c:crosses val="autoZero"/>
        <c:crossBetween val="midCat"/>
        <c:majorUnit val="5"/>
      </c:valAx>
      <c:valAx>
        <c:axId val="74777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6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(All)'!$F$7:$F$107</c:f>
              <c:numCache>
                <c:formatCode>0.0000</c:formatCode>
                <c:ptCount val="92"/>
                <c:pt idx="37">
                  <c:v>6.3806963742601406</c:v>
                </c:pt>
                <c:pt idx="38">
                  <c:v>32.814308258811074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4048"/>
        <c:axId val="299072928"/>
      </c:scatterChart>
      <c:valAx>
        <c:axId val="299074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72928"/>
        <c:crosses val="autoZero"/>
        <c:crossBetween val="midCat"/>
        <c:majorUnit val="5"/>
      </c:valAx>
      <c:valAx>
        <c:axId val="2990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74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(All)'!$AI$7:$AI$107</c:f>
              <c:numCache>
                <c:formatCode>0.0000</c:formatCode>
                <c:ptCount val="92"/>
                <c:pt idx="45">
                  <c:v>24.972678448330424</c:v>
                </c:pt>
                <c:pt idx="47">
                  <c:v>21.189297552029366</c:v>
                </c:pt>
                <c:pt idx="67">
                  <c:v>15.765576389472798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(All)'!$AI$7:$AI$107</c:f>
              <c:numCache>
                <c:formatCode>0.0000</c:formatCode>
                <c:ptCount val="92"/>
                <c:pt idx="45">
                  <c:v>24.972678448330424</c:v>
                </c:pt>
                <c:pt idx="47">
                  <c:v>21.189297552029366</c:v>
                </c:pt>
                <c:pt idx="67">
                  <c:v>15.765576389472798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72912"/>
        <c:axId val="747773472"/>
      </c:scatterChart>
      <c:valAx>
        <c:axId val="7477729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3472"/>
        <c:crosses val="autoZero"/>
        <c:crossBetween val="midCat"/>
        <c:majorUnit val="5"/>
      </c:valAx>
      <c:valAx>
        <c:axId val="7477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2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(All)'!$AJ$7:$AJ$107</c:f>
              <c:numCache>
                <c:formatCode>0.0000</c:formatCode>
                <c:ptCount val="92"/>
                <c:pt idx="67">
                  <c:v>21.691176470588236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(All)'!$AJ$7:$AJ$107</c:f>
              <c:numCache>
                <c:formatCode>0.0000</c:formatCode>
                <c:ptCount val="92"/>
                <c:pt idx="67">
                  <c:v>21.691176470588236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9552"/>
        <c:axId val="747770112"/>
      </c:scatterChart>
      <c:valAx>
        <c:axId val="747769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0112"/>
        <c:crosses val="autoZero"/>
        <c:crossBetween val="midCat"/>
        <c:majorUnit val="5"/>
      </c:valAx>
      <c:valAx>
        <c:axId val="74777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9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(All)'!$AK$7:$AK$107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(All)'!$AK$7:$AK$107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6192"/>
        <c:axId val="747766752"/>
      </c:scatterChart>
      <c:valAx>
        <c:axId val="747766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6752"/>
        <c:crosses val="autoZero"/>
        <c:crossBetween val="midCat"/>
        <c:majorUnit val="5"/>
      </c:valAx>
      <c:valAx>
        <c:axId val="74776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6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(All)'!$AL$7:$AL$107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33.583333333333336</c:v>
                </c:pt>
                <c:pt idx="44">
                  <c:v>26</c:v>
                </c:pt>
                <c:pt idx="45">
                  <c:v>23.62954630671166</c:v>
                </c:pt>
                <c:pt idx="46">
                  <c:v>21.537463509568603</c:v>
                </c:pt>
                <c:pt idx="47">
                  <c:v>19.99768223432611</c:v>
                </c:pt>
                <c:pt idx="48">
                  <c:v>19.41562793191261</c:v>
                </c:pt>
                <c:pt idx="49">
                  <c:v>19.249399956360463</c:v>
                </c:pt>
                <c:pt idx="50">
                  <c:v>18.043596730245234</c:v>
                </c:pt>
                <c:pt idx="51">
                  <c:v>19.200755191944619</c:v>
                </c:pt>
                <c:pt idx="52">
                  <c:v>20</c:v>
                </c:pt>
                <c:pt idx="53">
                  <c:v>18.937397931409908</c:v>
                </c:pt>
                <c:pt idx="54">
                  <c:v>16.775542200156782</c:v>
                </c:pt>
                <c:pt idx="55">
                  <c:v>14.425962165688194</c:v>
                </c:pt>
                <c:pt idx="56">
                  <c:v>14.048938134810712</c:v>
                </c:pt>
                <c:pt idx="57">
                  <c:v>13.128413168981121</c:v>
                </c:pt>
                <c:pt idx="58">
                  <c:v>14.870077376140431</c:v>
                </c:pt>
                <c:pt idx="59">
                  <c:v>14.446543580936025</c:v>
                </c:pt>
                <c:pt idx="60">
                  <c:v>14.320486815415821</c:v>
                </c:pt>
                <c:pt idx="61">
                  <c:v>13.055899438148748</c:v>
                </c:pt>
                <c:pt idx="62">
                  <c:v>12.372333548804137</c:v>
                </c:pt>
                <c:pt idx="63">
                  <c:v>12.238229093464511</c:v>
                </c:pt>
                <c:pt idx="64">
                  <c:v>13.777179686946667</c:v>
                </c:pt>
                <c:pt idx="65">
                  <c:v>14.430274466315499</c:v>
                </c:pt>
                <c:pt idx="66">
                  <c:v>13.99592303485308</c:v>
                </c:pt>
                <c:pt idx="67">
                  <c:v>13.898464853218421</c:v>
                </c:pt>
                <c:pt idx="68">
                  <c:v>15.989291928791328</c:v>
                </c:pt>
                <c:pt idx="69">
                  <c:v>16.576486544364336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(All)'!$AL$7:$AL$107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33.583333333333336</c:v>
                </c:pt>
                <c:pt idx="44">
                  <c:v>26</c:v>
                </c:pt>
                <c:pt idx="45">
                  <c:v>23.62954630671166</c:v>
                </c:pt>
                <c:pt idx="46">
                  <c:v>21.537463509568603</c:v>
                </c:pt>
                <c:pt idx="47">
                  <c:v>19.99768223432611</c:v>
                </c:pt>
                <c:pt idx="48">
                  <c:v>19.41562793191261</c:v>
                </c:pt>
                <c:pt idx="49">
                  <c:v>19.249399956360463</c:v>
                </c:pt>
                <c:pt idx="50">
                  <c:v>18.043596730245234</c:v>
                </c:pt>
                <c:pt idx="51">
                  <c:v>19.200755191944619</c:v>
                </c:pt>
                <c:pt idx="52">
                  <c:v>20</c:v>
                </c:pt>
                <c:pt idx="53">
                  <c:v>18.937397931409908</c:v>
                </c:pt>
                <c:pt idx="54">
                  <c:v>16.775542200156782</c:v>
                </c:pt>
                <c:pt idx="55">
                  <c:v>14.425962165688194</c:v>
                </c:pt>
                <c:pt idx="56">
                  <c:v>14.048938134810712</c:v>
                </c:pt>
                <c:pt idx="57">
                  <c:v>13.128413168981121</c:v>
                </c:pt>
                <c:pt idx="58">
                  <c:v>14.870077376140431</c:v>
                </c:pt>
                <c:pt idx="59">
                  <c:v>14.446543580936025</c:v>
                </c:pt>
                <c:pt idx="60">
                  <c:v>14.320486815415821</c:v>
                </c:pt>
                <c:pt idx="61">
                  <c:v>13.055899438148748</c:v>
                </c:pt>
                <c:pt idx="62">
                  <c:v>12.372333548804137</c:v>
                </c:pt>
                <c:pt idx="63">
                  <c:v>12.238229093464511</c:v>
                </c:pt>
                <c:pt idx="64">
                  <c:v>13.777179686946667</c:v>
                </c:pt>
                <c:pt idx="65">
                  <c:v>14.430274466315499</c:v>
                </c:pt>
                <c:pt idx="66">
                  <c:v>13.99592303485308</c:v>
                </c:pt>
                <c:pt idx="67">
                  <c:v>13.898464853218421</c:v>
                </c:pt>
                <c:pt idx="68">
                  <c:v>15.989291928791328</c:v>
                </c:pt>
                <c:pt idx="69">
                  <c:v>16.576486544364336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2832"/>
        <c:axId val="747763392"/>
      </c:scatterChart>
      <c:valAx>
        <c:axId val="747762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3392"/>
        <c:crosses val="autoZero"/>
        <c:crossBetween val="midCat"/>
        <c:majorUnit val="5"/>
      </c:valAx>
      <c:valAx>
        <c:axId val="7477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2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(All)'!$AM$7:$AM$107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(All)'!$AN$7:$AN$107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59472"/>
        <c:axId val="747760032"/>
      </c:scatterChart>
      <c:valAx>
        <c:axId val="747759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0032"/>
        <c:crosses val="autoZero"/>
        <c:crossBetween val="midCat"/>
        <c:majorUnit val="5"/>
      </c:valAx>
      <c:valAx>
        <c:axId val="74776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9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(All)'!$AN$7:$AN$107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(All)'!$AN$7:$AN$107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56112"/>
        <c:axId val="747756672"/>
      </c:scatterChart>
      <c:valAx>
        <c:axId val="7477561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6672"/>
        <c:crosses val="autoZero"/>
        <c:crossBetween val="midCat"/>
        <c:majorUnit val="5"/>
      </c:valAx>
      <c:valAx>
        <c:axId val="7477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6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(All)'!$AO$7:$AO$107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3">
                  <c:v>34.25</c:v>
                </c:pt>
                <c:pt idx="44">
                  <c:v>26.666666666666664</c:v>
                </c:pt>
                <c:pt idx="45">
                  <c:v>24.663951120162935</c:v>
                </c:pt>
                <c:pt idx="46">
                  <c:v>24.847612597358619</c:v>
                </c:pt>
                <c:pt idx="47">
                  <c:v>20</c:v>
                </c:pt>
                <c:pt idx="48">
                  <c:v>20.804988662131517</c:v>
                </c:pt>
                <c:pt idx="49">
                  <c:v>20</c:v>
                </c:pt>
                <c:pt idx="50">
                  <c:v>18.799911758217515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16.888888888888889</c:v>
                </c:pt>
                <c:pt idx="55">
                  <c:v>15.99809885931559</c:v>
                </c:pt>
                <c:pt idx="56">
                  <c:v>16</c:v>
                </c:pt>
                <c:pt idx="57">
                  <c:v>16.002906976744185</c:v>
                </c:pt>
                <c:pt idx="58">
                  <c:v>16.001461988304094</c:v>
                </c:pt>
                <c:pt idx="59">
                  <c:v>16.001662510390691</c:v>
                </c:pt>
                <c:pt idx="60">
                  <c:v>15.997652582159624</c:v>
                </c:pt>
                <c:pt idx="61">
                  <c:v>14.014251781472684</c:v>
                </c:pt>
                <c:pt idx="62">
                  <c:v>13.980582524271846</c:v>
                </c:pt>
                <c:pt idx="63">
                  <c:v>10</c:v>
                </c:pt>
                <c:pt idx="66">
                  <c:v>14.986276303751144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(All)'!$AO$7:$AO$107</c:f>
              <c:numCache>
                <c:formatCode>0.0000</c:formatCode>
                <c:ptCount val="92"/>
                <c:pt idx="29">
                  <c:v>42.857142857142854</c:v>
                </c:pt>
                <c:pt idx="30">
                  <c:v>42.857142857142854</c:v>
                </c:pt>
                <c:pt idx="31">
                  <c:v>42.857142857142854</c:v>
                </c:pt>
                <c:pt idx="32">
                  <c:v>42.857142857142854</c:v>
                </c:pt>
                <c:pt idx="33">
                  <c:v>42.857142857142854</c:v>
                </c:pt>
                <c:pt idx="34">
                  <c:v>42.857142857142854</c:v>
                </c:pt>
                <c:pt idx="35">
                  <c:v>42.857142857142854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3">
                  <c:v>34.25</c:v>
                </c:pt>
                <c:pt idx="44">
                  <c:v>26.666666666666664</c:v>
                </c:pt>
                <c:pt idx="45">
                  <c:v>24.663951120162935</c:v>
                </c:pt>
                <c:pt idx="46">
                  <c:v>24.847612597358619</c:v>
                </c:pt>
                <c:pt idx="47">
                  <c:v>20</c:v>
                </c:pt>
                <c:pt idx="48">
                  <c:v>20.804988662131517</c:v>
                </c:pt>
                <c:pt idx="49">
                  <c:v>20</c:v>
                </c:pt>
                <c:pt idx="50">
                  <c:v>18.799911758217515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16.888888888888889</c:v>
                </c:pt>
                <c:pt idx="55">
                  <c:v>15.99809885931559</c:v>
                </c:pt>
                <c:pt idx="56">
                  <c:v>16</c:v>
                </c:pt>
                <c:pt idx="57">
                  <c:v>16.002906976744185</c:v>
                </c:pt>
                <c:pt idx="58">
                  <c:v>16.001461988304094</c:v>
                </c:pt>
                <c:pt idx="59">
                  <c:v>16.001662510390691</c:v>
                </c:pt>
                <c:pt idx="60">
                  <c:v>15.997652582159624</c:v>
                </c:pt>
                <c:pt idx="61">
                  <c:v>14.014251781472684</c:v>
                </c:pt>
                <c:pt idx="62">
                  <c:v>13.980582524271846</c:v>
                </c:pt>
                <c:pt idx="63">
                  <c:v>10</c:v>
                </c:pt>
                <c:pt idx="66">
                  <c:v>14.986276303751144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52752"/>
        <c:axId val="747753312"/>
      </c:scatterChart>
      <c:valAx>
        <c:axId val="747752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3312"/>
        <c:crosses val="autoZero"/>
        <c:crossBetween val="midCat"/>
        <c:majorUnit val="5"/>
      </c:valAx>
      <c:valAx>
        <c:axId val="74775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2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(All)'!$AP$7:$AP$107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(All)'!$AP$7:$AP$107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9392"/>
        <c:axId val="747749952"/>
      </c:scatterChart>
      <c:valAx>
        <c:axId val="7477493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9952"/>
        <c:crosses val="autoZero"/>
        <c:crossBetween val="midCat"/>
        <c:majorUnit val="5"/>
      </c:valAx>
      <c:valAx>
        <c:axId val="74774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9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(All)'!$AQ$7:$AQ$107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(All)'!$AQ$7:$AQ$107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6032"/>
        <c:axId val="747746592"/>
      </c:scatterChart>
      <c:valAx>
        <c:axId val="7477460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6592"/>
        <c:crosses val="autoZero"/>
        <c:crossBetween val="midCat"/>
        <c:majorUnit val="5"/>
      </c:valAx>
      <c:valAx>
        <c:axId val="7477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60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(All)'!$AR$7:$AR$107</c:f>
              <c:numCache>
                <c:formatCode>0.0000</c:formatCode>
                <c:ptCount val="92"/>
                <c:pt idx="24">
                  <c:v>42</c:v>
                </c:pt>
                <c:pt idx="25">
                  <c:v>40</c:v>
                </c:pt>
                <c:pt idx="26">
                  <c:v>40</c:v>
                </c:pt>
                <c:pt idx="28">
                  <c:v>40</c:v>
                </c:pt>
                <c:pt idx="29">
                  <c:v>48</c:v>
                </c:pt>
                <c:pt idx="31">
                  <c:v>56</c:v>
                </c:pt>
                <c:pt idx="32">
                  <c:v>48</c:v>
                </c:pt>
                <c:pt idx="34">
                  <c:v>43</c:v>
                </c:pt>
                <c:pt idx="35">
                  <c:v>37</c:v>
                </c:pt>
                <c:pt idx="36">
                  <c:v>50</c:v>
                </c:pt>
                <c:pt idx="42">
                  <c:v>31.333333333333336</c:v>
                </c:pt>
                <c:pt idx="43">
                  <c:v>31.000000000000004</c:v>
                </c:pt>
                <c:pt idx="44">
                  <c:v>19.733333333333331</c:v>
                </c:pt>
                <c:pt idx="45">
                  <c:v>18.000000000000004</c:v>
                </c:pt>
                <c:pt idx="46">
                  <c:v>24.242424242424242</c:v>
                </c:pt>
                <c:pt idx="48">
                  <c:v>34.666616907996215</c:v>
                </c:pt>
                <c:pt idx="49">
                  <c:v>34.666143062844355</c:v>
                </c:pt>
                <c:pt idx="50">
                  <c:v>34.666666666666671</c:v>
                </c:pt>
                <c:pt idx="51">
                  <c:v>34.666610971292513</c:v>
                </c:pt>
                <c:pt idx="52">
                  <c:v>34.666167859835276</c:v>
                </c:pt>
                <c:pt idx="54">
                  <c:v>23.999918709100516</c:v>
                </c:pt>
                <c:pt idx="65">
                  <c:v>16.22762105263158</c:v>
                </c:pt>
                <c:pt idx="66">
                  <c:v>13.649410902875282</c:v>
                </c:pt>
                <c:pt idx="67">
                  <c:v>14.410941560605051</c:v>
                </c:pt>
                <c:pt idx="68">
                  <c:v>14.933459963198196</c:v>
                </c:pt>
                <c:pt idx="70">
                  <c:v>17.297409541608264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(All)'!$AR$7:$AR$107</c:f>
              <c:numCache>
                <c:formatCode>0.0000</c:formatCode>
                <c:ptCount val="92"/>
                <c:pt idx="24">
                  <c:v>42</c:v>
                </c:pt>
                <c:pt idx="25">
                  <c:v>40</c:v>
                </c:pt>
                <c:pt idx="26">
                  <c:v>40</c:v>
                </c:pt>
                <c:pt idx="28">
                  <c:v>40</c:v>
                </c:pt>
                <c:pt idx="29">
                  <c:v>48</c:v>
                </c:pt>
                <c:pt idx="31">
                  <c:v>56</c:v>
                </c:pt>
                <c:pt idx="32">
                  <c:v>48</c:v>
                </c:pt>
                <c:pt idx="34">
                  <c:v>43</c:v>
                </c:pt>
                <c:pt idx="35">
                  <c:v>37</c:v>
                </c:pt>
                <c:pt idx="36">
                  <c:v>50</c:v>
                </c:pt>
                <c:pt idx="42">
                  <c:v>31.333333333333336</c:v>
                </c:pt>
                <c:pt idx="43">
                  <c:v>31.000000000000004</c:v>
                </c:pt>
                <c:pt idx="44">
                  <c:v>19.733333333333331</c:v>
                </c:pt>
                <c:pt idx="45">
                  <c:v>18.000000000000004</c:v>
                </c:pt>
                <c:pt idx="46">
                  <c:v>24.242424242424242</c:v>
                </c:pt>
                <c:pt idx="48">
                  <c:v>34.666616907996215</c:v>
                </c:pt>
                <c:pt idx="49">
                  <c:v>34.666143062844355</c:v>
                </c:pt>
                <c:pt idx="50">
                  <c:v>34.666666666666671</c:v>
                </c:pt>
                <c:pt idx="51">
                  <c:v>34.666610971292513</c:v>
                </c:pt>
                <c:pt idx="52">
                  <c:v>34.666167859835276</c:v>
                </c:pt>
                <c:pt idx="54">
                  <c:v>23.999918709100516</c:v>
                </c:pt>
                <c:pt idx="65">
                  <c:v>16.22762105263158</c:v>
                </c:pt>
                <c:pt idx="66">
                  <c:v>13.649410902875282</c:v>
                </c:pt>
                <c:pt idx="67">
                  <c:v>14.410941560605051</c:v>
                </c:pt>
                <c:pt idx="68">
                  <c:v>14.933459963198196</c:v>
                </c:pt>
                <c:pt idx="70">
                  <c:v>17.297409541608264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2672"/>
        <c:axId val="747743232"/>
      </c:scatterChart>
      <c:valAx>
        <c:axId val="7477426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3232"/>
        <c:crosses val="autoZero"/>
        <c:crossBetween val="midCat"/>
        <c:majorUnit val="5"/>
      </c:valAx>
      <c:valAx>
        <c:axId val="74774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26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(All)'!$G$7:$G$107</c:f>
              <c:numCache>
                <c:formatCode>0.0000</c:formatCode>
                <c:ptCount val="92"/>
                <c:pt idx="54">
                  <c:v>18.041664999999984</c:v>
                </c:pt>
                <c:pt idx="55">
                  <c:v>21.417308009131776</c:v>
                </c:pt>
                <c:pt idx="69">
                  <c:v>20.48780487804877</c:v>
                </c:pt>
                <c:pt idx="70">
                  <c:v>23.674796747967456</c:v>
                </c:pt>
                <c:pt idx="71">
                  <c:v>20.48780487804877</c:v>
                </c:pt>
                <c:pt idx="72">
                  <c:v>20.48780487804877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(All)'!$G$7:$G$107</c:f>
              <c:numCache>
                <c:formatCode>0.0000</c:formatCode>
                <c:ptCount val="92"/>
                <c:pt idx="54">
                  <c:v>18.041664999999984</c:v>
                </c:pt>
                <c:pt idx="55">
                  <c:v>21.417308009131776</c:v>
                </c:pt>
                <c:pt idx="69">
                  <c:v>20.48780487804877</c:v>
                </c:pt>
                <c:pt idx="70">
                  <c:v>23.674796747967456</c:v>
                </c:pt>
                <c:pt idx="71">
                  <c:v>20.48780487804877</c:v>
                </c:pt>
                <c:pt idx="72">
                  <c:v>20.48780487804877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14128"/>
        <c:axId val="299016368"/>
      </c:scatterChart>
      <c:valAx>
        <c:axId val="299014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16368"/>
        <c:crosses val="autoZero"/>
        <c:crossBetween val="midCat"/>
        <c:majorUnit val="5"/>
      </c:valAx>
      <c:valAx>
        <c:axId val="29901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14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(All)'!$AV$7:$AV$107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(All)'!$AV$7:$AV$107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9312"/>
        <c:axId val="747739872"/>
      </c:scatterChart>
      <c:valAx>
        <c:axId val="747739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9872"/>
        <c:crosses val="autoZero"/>
        <c:crossBetween val="midCat"/>
        <c:majorUnit val="5"/>
      </c:valAx>
      <c:valAx>
        <c:axId val="7477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9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(All)'!$AZ$7:$AZ$107</c:f>
              <c:numCache>
                <c:formatCode>0.0000</c:formatCode>
                <c:ptCount val="92"/>
                <c:pt idx="52">
                  <c:v>38.055686644643814</c:v>
                </c:pt>
                <c:pt idx="53">
                  <c:v>40.327332242225957</c:v>
                </c:pt>
                <c:pt idx="55">
                  <c:v>31.876923076923006</c:v>
                </c:pt>
                <c:pt idx="56">
                  <c:v>34.461538461538495</c:v>
                </c:pt>
                <c:pt idx="58">
                  <c:v>36.102564102564067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(All)'!$AZ$7:$AZ$107</c:f>
              <c:numCache>
                <c:formatCode>0.0000</c:formatCode>
                <c:ptCount val="92"/>
                <c:pt idx="52">
                  <c:v>38.055686644643814</c:v>
                </c:pt>
                <c:pt idx="53">
                  <c:v>40.327332242225957</c:v>
                </c:pt>
                <c:pt idx="55">
                  <c:v>31.876923076923006</c:v>
                </c:pt>
                <c:pt idx="56">
                  <c:v>34.461538461538495</c:v>
                </c:pt>
                <c:pt idx="58">
                  <c:v>36.102564102564067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5952"/>
        <c:axId val="747736512"/>
      </c:scatterChart>
      <c:valAx>
        <c:axId val="747735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6512"/>
        <c:crosses val="autoZero"/>
        <c:crossBetween val="midCat"/>
        <c:majorUnit val="5"/>
      </c:valAx>
      <c:valAx>
        <c:axId val="74773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5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(All)'!$AS$7:$AS$107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(All)'!$AS$7:$AS$107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2592"/>
        <c:axId val="747733152"/>
      </c:scatterChart>
      <c:valAx>
        <c:axId val="747732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3152"/>
        <c:crosses val="autoZero"/>
        <c:crossBetween val="midCat"/>
        <c:majorUnit val="5"/>
      </c:valAx>
      <c:valAx>
        <c:axId val="74773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2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Ixmir,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(All)'!$AT$7:$AT$107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(All)'!$AT$7:$AT$107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29232"/>
        <c:axId val="747729792"/>
      </c:scatterChart>
      <c:valAx>
        <c:axId val="747729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9792"/>
        <c:crosses val="autoZero"/>
        <c:crossBetween val="midCat"/>
        <c:majorUnit val="5"/>
      </c:valAx>
      <c:valAx>
        <c:axId val="74772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9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(All)'!$AU$7:$AU$107</c:f>
              <c:numCache>
                <c:formatCode>0.0000</c:formatCode>
                <c:ptCount val="92"/>
                <c:pt idx="38">
                  <c:v>34.759036144578317</c:v>
                </c:pt>
                <c:pt idx="39">
                  <c:v>33.375999999999998</c:v>
                </c:pt>
                <c:pt idx="40">
                  <c:v>27.620137299771166</c:v>
                </c:pt>
                <c:pt idx="41">
                  <c:v>28.552447552447553</c:v>
                </c:pt>
                <c:pt idx="42">
                  <c:v>32.971014492753625</c:v>
                </c:pt>
                <c:pt idx="43">
                  <c:v>34.048657718120808</c:v>
                </c:pt>
                <c:pt idx="47">
                  <c:v>32.914117647058823</c:v>
                </c:pt>
                <c:pt idx="48">
                  <c:v>32.292704626334519</c:v>
                </c:pt>
                <c:pt idx="49">
                  <c:v>30.461267605633807</c:v>
                </c:pt>
                <c:pt idx="50">
                  <c:v>20.011997600479884</c:v>
                </c:pt>
                <c:pt idx="51">
                  <c:v>20.101010101010083</c:v>
                </c:pt>
                <c:pt idx="52">
                  <c:v>19.999999999999982</c:v>
                </c:pt>
                <c:pt idx="53">
                  <c:v>20.003617571059412</c:v>
                </c:pt>
                <c:pt idx="54">
                  <c:v>19.999999999999982</c:v>
                </c:pt>
                <c:pt idx="55">
                  <c:v>19.999999999999982</c:v>
                </c:pt>
                <c:pt idx="56">
                  <c:v>19.984381595609943</c:v>
                </c:pt>
                <c:pt idx="57">
                  <c:v>20.015032211882588</c:v>
                </c:pt>
                <c:pt idx="58">
                  <c:v>20.02430724355856</c:v>
                </c:pt>
                <c:pt idx="59">
                  <c:v>14.285586924219897</c:v>
                </c:pt>
                <c:pt idx="60">
                  <c:v>12.466206896551714</c:v>
                </c:pt>
                <c:pt idx="61">
                  <c:v>11.791481069042305</c:v>
                </c:pt>
                <c:pt idx="62">
                  <c:v>11.030940294899676</c:v>
                </c:pt>
                <c:pt idx="63">
                  <c:v>11.457943925233634</c:v>
                </c:pt>
                <c:pt idx="64">
                  <c:v>11.260264900662241</c:v>
                </c:pt>
                <c:pt idx="65">
                  <c:v>11.795501627700492</c:v>
                </c:pt>
                <c:pt idx="66">
                  <c:v>11.961949763740353</c:v>
                </c:pt>
                <c:pt idx="67">
                  <c:v>14.016312056737576</c:v>
                </c:pt>
                <c:pt idx="68">
                  <c:v>14.169767441860454</c:v>
                </c:pt>
                <c:pt idx="69">
                  <c:v>14.243548387096761</c:v>
                </c:pt>
                <c:pt idx="70">
                  <c:v>14.716235632183894</c:v>
                </c:pt>
                <c:pt idx="71">
                  <c:v>13.928595132743363</c:v>
                </c:pt>
                <c:pt idx="72">
                  <c:v>14.211078717201167</c:v>
                </c:pt>
                <c:pt idx="73">
                  <c:v>14.776032388663968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(All)'!$AU$7:$AU$107</c:f>
              <c:numCache>
                <c:formatCode>0.0000</c:formatCode>
                <c:ptCount val="92"/>
                <c:pt idx="38">
                  <c:v>34.759036144578317</c:v>
                </c:pt>
                <c:pt idx="39">
                  <c:v>33.375999999999998</c:v>
                </c:pt>
                <c:pt idx="40">
                  <c:v>27.620137299771166</c:v>
                </c:pt>
                <c:pt idx="41">
                  <c:v>28.552447552447553</c:v>
                </c:pt>
                <c:pt idx="42">
                  <c:v>32.971014492753625</c:v>
                </c:pt>
                <c:pt idx="43">
                  <c:v>34.048657718120808</c:v>
                </c:pt>
                <c:pt idx="47">
                  <c:v>32.914117647058823</c:v>
                </c:pt>
                <c:pt idx="48">
                  <c:v>32.292704626334519</c:v>
                </c:pt>
                <c:pt idx="49">
                  <c:v>30.461267605633807</c:v>
                </c:pt>
                <c:pt idx="50">
                  <c:v>20.011997600479884</c:v>
                </c:pt>
                <c:pt idx="51">
                  <c:v>20.101010101010083</c:v>
                </c:pt>
                <c:pt idx="52">
                  <c:v>19.999999999999982</c:v>
                </c:pt>
                <c:pt idx="53">
                  <c:v>20.003617571059412</c:v>
                </c:pt>
                <c:pt idx="54">
                  <c:v>19.999999999999982</c:v>
                </c:pt>
                <c:pt idx="55">
                  <c:v>19.999999999999982</c:v>
                </c:pt>
                <c:pt idx="56">
                  <c:v>19.984381595609943</c:v>
                </c:pt>
                <c:pt idx="57">
                  <c:v>20.015032211882588</c:v>
                </c:pt>
                <c:pt idx="58">
                  <c:v>20.02430724355856</c:v>
                </c:pt>
                <c:pt idx="59">
                  <c:v>14.285586924219897</c:v>
                </c:pt>
                <c:pt idx="60">
                  <c:v>12.466206896551714</c:v>
                </c:pt>
                <c:pt idx="61">
                  <c:v>11.791481069042305</c:v>
                </c:pt>
                <c:pt idx="62">
                  <c:v>11.030940294899676</c:v>
                </c:pt>
                <c:pt idx="63">
                  <c:v>11.457943925233634</c:v>
                </c:pt>
                <c:pt idx="64">
                  <c:v>11.260264900662241</c:v>
                </c:pt>
                <c:pt idx="65">
                  <c:v>11.795501627700492</c:v>
                </c:pt>
                <c:pt idx="66">
                  <c:v>11.961949763740353</c:v>
                </c:pt>
                <c:pt idx="67">
                  <c:v>14.016312056737576</c:v>
                </c:pt>
                <c:pt idx="68">
                  <c:v>14.169767441860454</c:v>
                </c:pt>
                <c:pt idx="69">
                  <c:v>14.243548387096761</c:v>
                </c:pt>
                <c:pt idx="70">
                  <c:v>14.716235632183894</c:v>
                </c:pt>
                <c:pt idx="71">
                  <c:v>13.928595132743363</c:v>
                </c:pt>
                <c:pt idx="72">
                  <c:v>14.211078717201167</c:v>
                </c:pt>
                <c:pt idx="73">
                  <c:v>14.776032388663968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25872"/>
        <c:axId val="747726432"/>
      </c:scatterChart>
      <c:valAx>
        <c:axId val="7477258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6432"/>
        <c:crosses val="autoZero"/>
        <c:crossBetween val="midCat"/>
        <c:majorUnit val="5"/>
      </c:valAx>
      <c:valAx>
        <c:axId val="74772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5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(All)'!$AW$7:$AW$107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(All)'!$AW$7:$AW$107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22512"/>
        <c:axId val="747723072"/>
      </c:scatterChart>
      <c:valAx>
        <c:axId val="7477225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3072"/>
        <c:crosses val="autoZero"/>
        <c:crossBetween val="midCat"/>
        <c:majorUnit val="5"/>
      </c:valAx>
      <c:valAx>
        <c:axId val="74772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25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(All)'!$AY$7:$AY$107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(All)'!$AY$7:$AY$107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9152"/>
        <c:axId val="747719712"/>
      </c:scatterChart>
      <c:valAx>
        <c:axId val="7477191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9712"/>
        <c:crosses val="autoZero"/>
        <c:crossBetween val="midCat"/>
        <c:majorUnit val="5"/>
      </c:valAx>
      <c:valAx>
        <c:axId val="7477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9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(All)'!$AX$7:$AX$107</c:f>
              <c:numCache>
                <c:formatCode>0.0000</c:formatCode>
                <c:ptCount val="92"/>
                <c:pt idx="70">
                  <c:v>37.663551401869199</c:v>
                </c:pt>
                <c:pt idx="71">
                  <c:v>37.392303273980396</c:v>
                </c:pt>
                <c:pt idx="72">
                  <c:v>39.6374622356496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(All)'!$AX$7:$AX$107</c:f>
              <c:numCache>
                <c:formatCode>0.0000</c:formatCode>
                <c:ptCount val="92"/>
                <c:pt idx="70">
                  <c:v>37.663551401869199</c:v>
                </c:pt>
                <c:pt idx="71">
                  <c:v>37.392303273980396</c:v>
                </c:pt>
                <c:pt idx="72">
                  <c:v>39.6374622356496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5792"/>
        <c:axId val="747716352"/>
      </c:scatterChart>
      <c:valAx>
        <c:axId val="747715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6352"/>
        <c:crosses val="autoZero"/>
        <c:crossBetween val="midCat"/>
        <c:majorUnit val="5"/>
      </c:valAx>
      <c:valAx>
        <c:axId val="7477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5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(All)'!$BA$7:$BA$107</c:f>
              <c:numCache>
                <c:formatCode>0.0000</c:formatCode>
                <c:ptCount val="92"/>
                <c:pt idx="65">
                  <c:v>27.926692432364991</c:v>
                </c:pt>
                <c:pt idx="66">
                  <c:v>28.242074927953823</c:v>
                </c:pt>
                <c:pt idx="72">
                  <c:v>43.815384615384701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(All)'!$BA$7:$BA$107</c:f>
              <c:numCache>
                <c:formatCode>0.0000</c:formatCode>
                <c:ptCount val="92"/>
                <c:pt idx="65">
                  <c:v>27.926692432364991</c:v>
                </c:pt>
                <c:pt idx="66">
                  <c:v>28.242074927953823</c:v>
                </c:pt>
                <c:pt idx="72">
                  <c:v>43.815384615384701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01232"/>
        <c:axId val="747700672"/>
      </c:scatterChart>
      <c:valAx>
        <c:axId val="747701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0672"/>
        <c:crosses val="autoZero"/>
        <c:crossBetween val="midCat"/>
        <c:majorUnit val="5"/>
      </c:valAx>
      <c:valAx>
        <c:axId val="74770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1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(All)'!$BB$7:$BB$107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(All)'!$BB$7:$BB$107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09072"/>
        <c:axId val="747705152"/>
      </c:scatterChart>
      <c:valAx>
        <c:axId val="747709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5152"/>
        <c:crosses val="autoZero"/>
        <c:crossBetween val="midCat"/>
        <c:majorUnit val="5"/>
      </c:valAx>
      <c:valAx>
        <c:axId val="7477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9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(All)'!$I$7:$I$107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(All)'!$I$7:$I$107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32608"/>
        <c:axId val="299064528"/>
      </c:scatterChart>
      <c:valAx>
        <c:axId val="299032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64528"/>
        <c:crosses val="autoZero"/>
        <c:crossBetween val="midCat"/>
        <c:majorUnit val="5"/>
      </c:valAx>
      <c:valAx>
        <c:axId val="2990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32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(All)'!$BC$7:$BC$107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(All)'!$BC$7:$BC$107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9152"/>
        <c:axId val="747788592"/>
      </c:scatterChart>
      <c:valAx>
        <c:axId val="7477891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8592"/>
        <c:crosses val="autoZero"/>
        <c:crossBetween val="midCat"/>
        <c:majorUnit val="5"/>
      </c:valAx>
      <c:valAx>
        <c:axId val="747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9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(All)'!$BD$7:$BD$107</c:f>
              <c:numCache>
                <c:formatCode>0.0000</c:formatCode>
                <c:ptCount val="92"/>
                <c:pt idx="62">
                  <c:v>20.836937405850698</c:v>
                </c:pt>
                <c:pt idx="63">
                  <c:v>19.498457388830381</c:v>
                </c:pt>
                <c:pt idx="64">
                  <c:v>20.907706534800401</c:v>
                </c:pt>
                <c:pt idx="65">
                  <c:v>29.250835850956609</c:v>
                </c:pt>
                <c:pt idx="66">
                  <c:v>27.802321295322336</c:v>
                </c:pt>
                <c:pt idx="67">
                  <c:v>22.345732411308074</c:v>
                </c:pt>
                <c:pt idx="68">
                  <c:v>21.187151890563143</c:v>
                </c:pt>
                <c:pt idx="69">
                  <c:v>26.689145872889696</c:v>
                </c:pt>
                <c:pt idx="70">
                  <c:v>32.196726834741952</c:v>
                </c:pt>
                <c:pt idx="71">
                  <c:v>30.013164766392638</c:v>
                </c:pt>
                <c:pt idx="72">
                  <c:v>32.899508168128449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(All)'!$BD$7:$BD$107</c:f>
              <c:numCache>
                <c:formatCode>0.0000</c:formatCode>
                <c:ptCount val="92"/>
                <c:pt idx="62">
                  <c:v>20.836937405850698</c:v>
                </c:pt>
                <c:pt idx="63">
                  <c:v>19.498457388830381</c:v>
                </c:pt>
                <c:pt idx="64">
                  <c:v>20.907706534800401</c:v>
                </c:pt>
                <c:pt idx="65">
                  <c:v>29.250835850956609</c:v>
                </c:pt>
                <c:pt idx="66">
                  <c:v>27.802321295322336</c:v>
                </c:pt>
                <c:pt idx="67">
                  <c:v>22.345732411308074</c:v>
                </c:pt>
                <c:pt idx="68">
                  <c:v>21.187151890563143</c:v>
                </c:pt>
                <c:pt idx="69">
                  <c:v>26.689145872889696</c:v>
                </c:pt>
                <c:pt idx="70">
                  <c:v>32.196726834741952</c:v>
                </c:pt>
                <c:pt idx="71">
                  <c:v>30.013164766392638</c:v>
                </c:pt>
                <c:pt idx="72">
                  <c:v>32.899508168128449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91952"/>
        <c:axId val="747792512"/>
      </c:scatterChart>
      <c:valAx>
        <c:axId val="747791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2512"/>
        <c:crosses val="autoZero"/>
        <c:crossBetween val="midCat"/>
        <c:majorUnit val="5"/>
      </c:valAx>
      <c:valAx>
        <c:axId val="74779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1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(All)'!$BE$7:$BE$107</c:f>
              <c:numCache>
                <c:formatCode>0.0000</c:formatCode>
                <c:ptCount val="92"/>
                <c:pt idx="62">
                  <c:v>20.131020675964397</c:v>
                </c:pt>
                <c:pt idx="63">
                  <c:v>28.299390608915104</c:v>
                </c:pt>
                <c:pt idx="64">
                  <c:v>27.917217508352703</c:v>
                </c:pt>
                <c:pt idx="65">
                  <c:v>31.130681870487361</c:v>
                </c:pt>
                <c:pt idx="66">
                  <c:v>32.778850635946014</c:v>
                </c:pt>
                <c:pt idx="67">
                  <c:v>24.763510503409666</c:v>
                </c:pt>
                <c:pt idx="68">
                  <c:v>25.858237134534559</c:v>
                </c:pt>
                <c:pt idx="69">
                  <c:v>34.7588944522848</c:v>
                </c:pt>
                <c:pt idx="70">
                  <c:v>32.640443106252128</c:v>
                </c:pt>
                <c:pt idx="71">
                  <c:v>29.662252640976032</c:v>
                </c:pt>
                <c:pt idx="72">
                  <c:v>34.461538461538495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(All)'!$BE$7:$BE$107</c:f>
              <c:numCache>
                <c:formatCode>0.0000</c:formatCode>
                <c:ptCount val="92"/>
                <c:pt idx="62">
                  <c:v>20.131020675964397</c:v>
                </c:pt>
                <c:pt idx="63">
                  <c:v>28.299390608915104</c:v>
                </c:pt>
                <c:pt idx="64">
                  <c:v>27.917217508352703</c:v>
                </c:pt>
                <c:pt idx="65">
                  <c:v>31.130681870487361</c:v>
                </c:pt>
                <c:pt idx="66">
                  <c:v>32.778850635946014</c:v>
                </c:pt>
                <c:pt idx="67">
                  <c:v>24.763510503409666</c:v>
                </c:pt>
                <c:pt idx="68">
                  <c:v>25.858237134534559</c:v>
                </c:pt>
                <c:pt idx="69">
                  <c:v>34.7588944522848</c:v>
                </c:pt>
                <c:pt idx="70">
                  <c:v>32.640443106252128</c:v>
                </c:pt>
                <c:pt idx="71">
                  <c:v>29.662252640976032</c:v>
                </c:pt>
                <c:pt idx="72">
                  <c:v>34.461538461538495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7312"/>
        <c:axId val="747696752"/>
      </c:scatterChart>
      <c:valAx>
        <c:axId val="747697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6752"/>
        <c:crosses val="autoZero"/>
        <c:crossBetween val="midCat"/>
        <c:majorUnit val="5"/>
      </c:valAx>
      <c:valAx>
        <c:axId val="74769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7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(All)'!$BF$7:$BF$107</c:f>
              <c:numCache>
                <c:formatCode>0.0000</c:formatCode>
                <c:ptCount val="92"/>
                <c:pt idx="49">
                  <c:v>36.54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(All)'!$BF$7:$BF$107</c:f>
              <c:numCache>
                <c:formatCode>0.0000</c:formatCode>
                <c:ptCount val="92"/>
                <c:pt idx="49">
                  <c:v>36.54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3952"/>
        <c:axId val="747693392"/>
      </c:scatterChart>
      <c:valAx>
        <c:axId val="747693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3392"/>
        <c:crosses val="autoZero"/>
        <c:crossBetween val="midCat"/>
        <c:majorUnit val="5"/>
      </c:valAx>
      <c:valAx>
        <c:axId val="7476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3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(All)'!$BG$7:$BG$107</c:f>
              <c:numCache>
                <c:formatCode>0.0000</c:formatCode>
                <c:ptCount val="92"/>
                <c:pt idx="60">
                  <c:v>24.600052261951603</c:v>
                </c:pt>
                <c:pt idx="61">
                  <c:v>25.4872505852898</c:v>
                </c:pt>
                <c:pt idx="62">
                  <c:v>20.848959578390598</c:v>
                </c:pt>
                <c:pt idx="63">
                  <c:v>21.810953482671799</c:v>
                </c:pt>
                <c:pt idx="64">
                  <c:v>21.5280808459474</c:v>
                </c:pt>
                <c:pt idx="65">
                  <c:v>26.441927609591602</c:v>
                </c:pt>
                <c:pt idx="67">
                  <c:v>30.821256038647398</c:v>
                </c:pt>
                <c:pt idx="68">
                  <c:v>26.297376093294396</c:v>
                </c:pt>
                <c:pt idx="69">
                  <c:v>29.798206278027003</c:v>
                </c:pt>
                <c:pt idx="70">
                  <c:v>31.414201183431999</c:v>
                </c:pt>
                <c:pt idx="71">
                  <c:v>31.2274527056754</c:v>
                </c:pt>
                <c:pt idx="72">
                  <c:v>37.638724911452201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(All)'!$BG$7:$BG$107</c:f>
              <c:numCache>
                <c:formatCode>0.0000</c:formatCode>
                <c:ptCount val="92"/>
                <c:pt idx="60">
                  <c:v>24.600052261951603</c:v>
                </c:pt>
                <c:pt idx="61">
                  <c:v>25.4872505852898</c:v>
                </c:pt>
                <c:pt idx="62">
                  <c:v>20.848959578390598</c:v>
                </c:pt>
                <c:pt idx="63">
                  <c:v>21.810953482671799</c:v>
                </c:pt>
                <c:pt idx="64">
                  <c:v>21.5280808459474</c:v>
                </c:pt>
                <c:pt idx="65">
                  <c:v>26.441927609591602</c:v>
                </c:pt>
                <c:pt idx="67">
                  <c:v>30.821256038647398</c:v>
                </c:pt>
                <c:pt idx="68">
                  <c:v>26.297376093294396</c:v>
                </c:pt>
                <c:pt idx="69">
                  <c:v>29.798206278027003</c:v>
                </c:pt>
                <c:pt idx="70">
                  <c:v>31.414201183431999</c:v>
                </c:pt>
                <c:pt idx="71">
                  <c:v>31.2274527056754</c:v>
                </c:pt>
                <c:pt idx="72">
                  <c:v>37.638724911452201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0592"/>
        <c:axId val="747690032"/>
      </c:scatterChart>
      <c:valAx>
        <c:axId val="747690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0032"/>
        <c:crosses val="autoZero"/>
        <c:crossBetween val="midCat"/>
        <c:majorUnit val="5"/>
      </c:valAx>
      <c:valAx>
        <c:axId val="74769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0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(All)'!$BH$7:$BH$107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(All)'!$BH$7:$BH$107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87232"/>
        <c:axId val="747686672"/>
      </c:scatterChart>
      <c:valAx>
        <c:axId val="747687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6672"/>
        <c:crosses val="autoZero"/>
        <c:crossBetween val="midCat"/>
        <c:majorUnit val="5"/>
      </c:valAx>
      <c:valAx>
        <c:axId val="74768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7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(All)'!$BI$7:$BI$107</c:f>
              <c:numCache>
                <c:formatCode>0.0000</c:formatCode>
                <c:ptCount val="92"/>
                <c:pt idx="62">
                  <c:v>23.4278002699056</c:v>
                </c:pt>
                <c:pt idx="64">
                  <c:v>33.4094947956334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(All)'!$BI$7:$BI$107</c:f>
              <c:numCache>
                <c:formatCode>0.0000</c:formatCode>
                <c:ptCount val="92"/>
                <c:pt idx="62">
                  <c:v>23.4278002699056</c:v>
                </c:pt>
                <c:pt idx="64">
                  <c:v>33.4094947956334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83872"/>
        <c:axId val="747683312"/>
      </c:scatterChart>
      <c:valAx>
        <c:axId val="7476838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3312"/>
        <c:crosses val="autoZero"/>
        <c:crossBetween val="midCat"/>
        <c:majorUnit val="5"/>
      </c:valAx>
      <c:valAx>
        <c:axId val="74768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38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(All)'!$BJ$7:$BJ$107</c:f>
              <c:numCache>
                <c:formatCode>0.0000</c:formatCode>
                <c:ptCount val="92"/>
                <c:pt idx="54">
                  <c:v>24.123076923076994</c:v>
                </c:pt>
                <c:pt idx="67">
                  <c:v>38.289066666666592</c:v>
                </c:pt>
                <c:pt idx="68">
                  <c:v>36.758974358974335</c:v>
                </c:pt>
                <c:pt idx="70">
                  <c:v>46.644381538461509</c:v>
                </c:pt>
                <c:pt idx="71">
                  <c:v>28</c:v>
                </c:pt>
                <c:pt idx="72">
                  <c:v>37.333333333333414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(All)'!$BJ$7:$BJ$107</c:f>
              <c:numCache>
                <c:formatCode>0.0000</c:formatCode>
                <c:ptCount val="92"/>
                <c:pt idx="54">
                  <c:v>24.123076923076994</c:v>
                </c:pt>
                <c:pt idx="67">
                  <c:v>38.289066666666592</c:v>
                </c:pt>
                <c:pt idx="68">
                  <c:v>36.758974358974335</c:v>
                </c:pt>
                <c:pt idx="70">
                  <c:v>46.644381538461509</c:v>
                </c:pt>
                <c:pt idx="71">
                  <c:v>28</c:v>
                </c:pt>
                <c:pt idx="72">
                  <c:v>37.333333333333414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80512"/>
        <c:axId val="747679952"/>
      </c:scatterChart>
      <c:valAx>
        <c:axId val="7476805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9952"/>
        <c:crosses val="autoZero"/>
        <c:crossBetween val="midCat"/>
        <c:majorUnit val="5"/>
      </c:valAx>
      <c:valAx>
        <c:axId val="747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05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(All)'!$BK$7:$BK$107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(All)'!$BK$7:$BK$107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7152"/>
        <c:axId val="747676592"/>
      </c:scatterChart>
      <c:valAx>
        <c:axId val="7476771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6592"/>
        <c:crosses val="autoZero"/>
        <c:crossBetween val="midCat"/>
        <c:majorUnit val="5"/>
      </c:valAx>
      <c:valAx>
        <c:axId val="74767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71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(All)'!$BL$7:$BL$107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(All)'!$BL$7:$BL$107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3792"/>
        <c:axId val="747673232"/>
      </c:scatterChart>
      <c:valAx>
        <c:axId val="747673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3232"/>
        <c:crosses val="autoZero"/>
        <c:crossBetween val="midCat"/>
        <c:majorUnit val="5"/>
      </c:valAx>
      <c:valAx>
        <c:axId val="74767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3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(All)'!$J$7:$J$107</c:f>
              <c:numCache>
                <c:formatCode>0.0000</c:formatCode>
                <c:ptCount val="92"/>
                <c:pt idx="21">
                  <c:v>60.333333333333314</c:v>
                </c:pt>
                <c:pt idx="22">
                  <c:v>67.666666666666586</c:v>
                </c:pt>
                <c:pt idx="23">
                  <c:v>68.000000000000099</c:v>
                </c:pt>
                <c:pt idx="24">
                  <c:v>50.266666666666694</c:v>
                </c:pt>
                <c:pt idx="25">
                  <c:v>57.133333333333375</c:v>
                </c:pt>
                <c:pt idx="26">
                  <c:v>49.500000000000036</c:v>
                </c:pt>
                <c:pt idx="28">
                  <c:v>56</c:v>
                </c:pt>
                <c:pt idx="29">
                  <c:v>50.4</c:v>
                </c:pt>
                <c:pt idx="33">
                  <c:v>20.066666666666659</c:v>
                </c:pt>
                <c:pt idx="68">
                  <c:v>23.33333333333341</c:v>
                </c:pt>
                <c:pt idx="70">
                  <c:v>11.166666666666671</c:v>
                </c:pt>
                <c:pt idx="72">
                  <c:v>12.25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(All)'!$J$7:$J$107</c:f>
              <c:numCache>
                <c:formatCode>0.0000</c:formatCode>
                <c:ptCount val="92"/>
                <c:pt idx="21">
                  <c:v>60.333333333333314</c:v>
                </c:pt>
                <c:pt idx="22">
                  <c:v>67.666666666666586</c:v>
                </c:pt>
                <c:pt idx="23">
                  <c:v>68.000000000000099</c:v>
                </c:pt>
                <c:pt idx="24">
                  <c:v>50.266666666666694</c:v>
                </c:pt>
                <c:pt idx="25">
                  <c:v>57.133333333333375</c:v>
                </c:pt>
                <c:pt idx="26">
                  <c:v>49.500000000000036</c:v>
                </c:pt>
                <c:pt idx="28">
                  <c:v>56</c:v>
                </c:pt>
                <c:pt idx="29">
                  <c:v>50.4</c:v>
                </c:pt>
                <c:pt idx="33">
                  <c:v>20.066666666666659</c:v>
                </c:pt>
                <c:pt idx="68">
                  <c:v>23.33333333333341</c:v>
                </c:pt>
                <c:pt idx="70">
                  <c:v>11.166666666666671</c:v>
                </c:pt>
                <c:pt idx="72">
                  <c:v>12.25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71808"/>
        <c:axId val="299073488"/>
      </c:scatterChart>
      <c:valAx>
        <c:axId val="299071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73488"/>
        <c:crosses val="autoZero"/>
        <c:crossBetween val="midCat"/>
        <c:majorUnit val="5"/>
      </c:valAx>
      <c:valAx>
        <c:axId val="29907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71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(All)'!$BM$7:$BM$107</c:f>
              <c:numCache>
                <c:formatCode>0.0000</c:formatCode>
                <c:ptCount val="92"/>
                <c:pt idx="70">
                  <c:v>33.608402100525055</c:v>
                </c:pt>
                <c:pt idx="71">
                  <c:v>33.608402100525055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(All)'!$BM$7:$BM$107</c:f>
              <c:numCache>
                <c:formatCode>0.0000</c:formatCode>
                <c:ptCount val="92"/>
                <c:pt idx="70">
                  <c:v>33.608402100525055</c:v>
                </c:pt>
                <c:pt idx="71">
                  <c:v>33.608402100525055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0432"/>
        <c:axId val="747669872"/>
      </c:scatterChart>
      <c:valAx>
        <c:axId val="7476704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69872"/>
        <c:crosses val="autoZero"/>
        <c:crossBetween val="midCat"/>
        <c:majorUnit val="5"/>
      </c:valAx>
      <c:valAx>
        <c:axId val="74766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04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(All)'!$BN$7:$BN$107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(All)'!$BN$7:$BN$107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96432"/>
        <c:axId val="747796992"/>
      </c:scatterChart>
      <c:valAx>
        <c:axId val="7477964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6992"/>
        <c:crosses val="autoZero"/>
        <c:crossBetween val="midCat"/>
        <c:majorUnit val="5"/>
      </c:valAx>
      <c:valAx>
        <c:axId val="74779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64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(All)'!$BO$7:$BO$107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(All)'!$BO$7:$BO$107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38224"/>
        <c:axId val="698939344"/>
      </c:scatterChart>
      <c:valAx>
        <c:axId val="698938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39344"/>
        <c:crosses val="autoZero"/>
        <c:crossBetween val="midCat"/>
        <c:majorUnit val="5"/>
      </c:valAx>
      <c:valAx>
        <c:axId val="69893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38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(All)'!$BP$7:$BP$107</c:f>
              <c:numCache>
                <c:formatCode>0.0000</c:formatCode>
                <c:ptCount val="92"/>
                <c:pt idx="51">
                  <c:v>22.490589293358592</c:v>
                </c:pt>
                <c:pt idx="52">
                  <c:v>31.912078346028387</c:v>
                </c:pt>
                <c:pt idx="53">
                  <c:v>31.111111111111136</c:v>
                </c:pt>
                <c:pt idx="54">
                  <c:v>31.551580029635009</c:v>
                </c:pt>
                <c:pt idx="55">
                  <c:v>18.894424631991885</c:v>
                </c:pt>
                <c:pt idx="62">
                  <c:v>13.342630737451412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(All)'!$BP$7:$BP$107</c:f>
              <c:numCache>
                <c:formatCode>0.0000</c:formatCode>
                <c:ptCount val="92"/>
                <c:pt idx="51">
                  <c:v>22.490589293358592</c:v>
                </c:pt>
                <c:pt idx="52">
                  <c:v>31.912078346028387</c:v>
                </c:pt>
                <c:pt idx="53">
                  <c:v>31.111111111111136</c:v>
                </c:pt>
                <c:pt idx="54">
                  <c:v>31.551580029635009</c:v>
                </c:pt>
                <c:pt idx="55">
                  <c:v>18.894424631991885</c:v>
                </c:pt>
                <c:pt idx="62">
                  <c:v>13.342630737451412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34864"/>
        <c:axId val="698935984"/>
      </c:scatterChart>
      <c:valAx>
        <c:axId val="698934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35984"/>
        <c:crosses val="autoZero"/>
        <c:crossBetween val="midCat"/>
        <c:majorUnit val="5"/>
      </c:valAx>
      <c:valAx>
        <c:axId val="6989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34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(All)'!$BQ$7:$BQ$107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(All)'!$BQ$7:$BQ$107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31504"/>
        <c:axId val="698932624"/>
      </c:scatterChart>
      <c:valAx>
        <c:axId val="6989315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32624"/>
        <c:crosses val="autoZero"/>
        <c:crossBetween val="midCat"/>
        <c:majorUnit val="5"/>
      </c:valAx>
      <c:valAx>
        <c:axId val="69893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315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(All)'!$BR$7:$BR$107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(All)'!$BR$7:$BR$107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28144"/>
        <c:axId val="698929264"/>
      </c:scatterChart>
      <c:valAx>
        <c:axId val="698928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29264"/>
        <c:crosses val="autoZero"/>
        <c:crossBetween val="midCat"/>
        <c:majorUnit val="5"/>
      </c:valAx>
      <c:valAx>
        <c:axId val="69892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28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(All)'!$BS$7:$BS$107</c:f>
              <c:numCache>
                <c:formatCode>0.0000</c:formatCode>
                <c:ptCount val="92"/>
                <c:pt idx="66">
                  <c:v>21.949271644321502</c:v>
                </c:pt>
                <c:pt idx="67">
                  <c:v>17.658618325843555</c:v>
                </c:pt>
                <c:pt idx="68">
                  <c:v>17.35200328831332</c:v>
                </c:pt>
                <c:pt idx="69">
                  <c:v>21.410047322407294</c:v>
                </c:pt>
                <c:pt idx="70">
                  <c:v>25.265185795670462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(All)'!$BS$7:$BS$107</c:f>
              <c:numCache>
                <c:formatCode>0.0000</c:formatCode>
                <c:ptCount val="92"/>
                <c:pt idx="66">
                  <c:v>21.949271644321502</c:v>
                </c:pt>
                <c:pt idx="67">
                  <c:v>17.658618325843555</c:v>
                </c:pt>
                <c:pt idx="68">
                  <c:v>17.35200328831332</c:v>
                </c:pt>
                <c:pt idx="69">
                  <c:v>21.410047322407294</c:v>
                </c:pt>
                <c:pt idx="70">
                  <c:v>25.265185795670462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24784"/>
        <c:axId val="698925904"/>
      </c:scatterChart>
      <c:valAx>
        <c:axId val="6989247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25904"/>
        <c:crosses val="autoZero"/>
        <c:crossBetween val="midCat"/>
        <c:majorUnit val="5"/>
      </c:valAx>
      <c:valAx>
        <c:axId val="6989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24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(All)'!$BT$7:$BT$107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(All)'!$BT$7:$BT$107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21424"/>
        <c:axId val="698922544"/>
      </c:scatterChart>
      <c:valAx>
        <c:axId val="698921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22544"/>
        <c:crosses val="autoZero"/>
        <c:crossBetween val="midCat"/>
        <c:majorUnit val="5"/>
      </c:valAx>
      <c:valAx>
        <c:axId val="6989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21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(All)'!$BU$7:$BU$107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(All)'!$BU$7:$BU$107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18064"/>
        <c:axId val="698919184"/>
      </c:scatterChart>
      <c:valAx>
        <c:axId val="6989180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19184"/>
        <c:crosses val="autoZero"/>
        <c:crossBetween val="midCat"/>
        <c:majorUnit val="5"/>
      </c:valAx>
      <c:valAx>
        <c:axId val="69891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180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(All)'!$BV$7:$BV$107</c:f>
              <c:numCache>
                <c:formatCode>0.0000</c:formatCode>
                <c:ptCount val="92"/>
                <c:pt idx="66">
                  <c:v>22.320265060537764</c:v>
                </c:pt>
                <c:pt idx="67">
                  <c:v>17.63489004632439</c:v>
                </c:pt>
                <c:pt idx="68">
                  <c:v>17.635005340132388</c:v>
                </c:pt>
                <c:pt idx="69">
                  <c:v>19.557995421028579</c:v>
                </c:pt>
                <c:pt idx="70">
                  <c:v>22.871995208384899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(All)'!$BV$7:$BV$107</c:f>
              <c:numCache>
                <c:formatCode>0.0000</c:formatCode>
                <c:ptCount val="92"/>
                <c:pt idx="66">
                  <c:v>22.320265060537764</c:v>
                </c:pt>
                <c:pt idx="67">
                  <c:v>17.63489004632439</c:v>
                </c:pt>
                <c:pt idx="68">
                  <c:v>17.635005340132388</c:v>
                </c:pt>
                <c:pt idx="69">
                  <c:v>19.557995421028579</c:v>
                </c:pt>
                <c:pt idx="70">
                  <c:v>22.871995208384899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14704"/>
        <c:axId val="698915824"/>
      </c:scatterChart>
      <c:valAx>
        <c:axId val="6989147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15824"/>
        <c:crosses val="autoZero"/>
        <c:crossBetween val="midCat"/>
        <c:majorUnit val="5"/>
      </c:valAx>
      <c:valAx>
        <c:axId val="6989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147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(All)'!$Q$7:$Q$107</c:f>
              <c:numCache>
                <c:formatCode>0.0000</c:formatCode>
                <c:ptCount val="92"/>
                <c:pt idx="34">
                  <c:v>37.054028302219706</c:v>
                </c:pt>
                <c:pt idx="35">
                  <c:v>39.671975954007038</c:v>
                </c:pt>
                <c:pt idx="36">
                  <c:v>49.011763596539296</c:v>
                </c:pt>
                <c:pt idx="37">
                  <c:v>45.808364517921824</c:v>
                </c:pt>
                <c:pt idx="39">
                  <c:v>33.003453266713215</c:v>
                </c:pt>
                <c:pt idx="40">
                  <c:v>35.132708316178594</c:v>
                </c:pt>
                <c:pt idx="41">
                  <c:v>36.596571162686082</c:v>
                </c:pt>
                <c:pt idx="42">
                  <c:v>31.038135426672419</c:v>
                </c:pt>
                <c:pt idx="43">
                  <c:v>33.09734477166208</c:v>
                </c:pt>
                <c:pt idx="44">
                  <c:v>26.155784683919741</c:v>
                </c:pt>
                <c:pt idx="45">
                  <c:v>32.000000000000028</c:v>
                </c:pt>
                <c:pt idx="46">
                  <c:v>20.57142857142858</c:v>
                </c:pt>
                <c:pt idx="47">
                  <c:v>24.107142857142914</c:v>
                </c:pt>
                <c:pt idx="48">
                  <c:v>21.739130434782609</c:v>
                </c:pt>
                <c:pt idx="49">
                  <c:v>20.000000000000004</c:v>
                </c:pt>
                <c:pt idx="50">
                  <c:v>20.000000000000004</c:v>
                </c:pt>
                <c:pt idx="51">
                  <c:v>20.128205128205128</c:v>
                </c:pt>
                <c:pt idx="52">
                  <c:v>20.370370370370363</c:v>
                </c:pt>
                <c:pt idx="53">
                  <c:v>17.999999999999986</c:v>
                </c:pt>
                <c:pt idx="54">
                  <c:v>15.999999999999993</c:v>
                </c:pt>
                <c:pt idx="55">
                  <c:v>15.319148936170217</c:v>
                </c:pt>
                <c:pt idx="56">
                  <c:v>15.888888888888893</c:v>
                </c:pt>
                <c:pt idx="57">
                  <c:v>14.078310602727683</c:v>
                </c:pt>
                <c:pt idx="58">
                  <c:v>15.999999999999993</c:v>
                </c:pt>
                <c:pt idx="59">
                  <c:v>14.999999999999996</c:v>
                </c:pt>
                <c:pt idx="60">
                  <c:v>13.744053282588004</c:v>
                </c:pt>
                <c:pt idx="61">
                  <c:v>14.300960512273209</c:v>
                </c:pt>
                <c:pt idx="62">
                  <c:v>11.34751773049646</c:v>
                </c:pt>
                <c:pt idx="63">
                  <c:v>12.56118383608424</c:v>
                </c:pt>
                <c:pt idx="64">
                  <c:v>15.063636363636359</c:v>
                </c:pt>
                <c:pt idx="65">
                  <c:v>17.653333333333332</c:v>
                </c:pt>
                <c:pt idx="66">
                  <c:v>15.389162561576363</c:v>
                </c:pt>
                <c:pt idx="67">
                  <c:v>16.357889618283494</c:v>
                </c:pt>
                <c:pt idx="68">
                  <c:v>20.372708145476402</c:v>
                </c:pt>
                <c:pt idx="69">
                  <c:v>18.733627562642361</c:v>
                </c:pt>
                <c:pt idx="70">
                  <c:v>20.372844827586206</c:v>
                </c:pt>
                <c:pt idx="71">
                  <c:v>18.280545899317634</c:v>
                </c:pt>
                <c:pt idx="72">
                  <c:v>18.666666666666657</c:v>
                </c:pt>
                <c:pt idx="73">
                  <c:v>16.330945986272759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(All)'!$Q$7:$Q$107</c:f>
              <c:numCache>
                <c:formatCode>0.0000</c:formatCode>
                <c:ptCount val="92"/>
                <c:pt idx="34">
                  <c:v>37.054028302219706</c:v>
                </c:pt>
                <c:pt idx="35">
                  <c:v>39.671975954007038</c:v>
                </c:pt>
                <c:pt idx="36">
                  <c:v>49.011763596539296</c:v>
                </c:pt>
                <c:pt idx="37">
                  <c:v>45.808364517921824</c:v>
                </c:pt>
                <c:pt idx="39">
                  <c:v>33.003453266713215</c:v>
                </c:pt>
                <c:pt idx="40">
                  <c:v>35.132708316178594</c:v>
                </c:pt>
                <c:pt idx="41">
                  <c:v>36.596571162686082</c:v>
                </c:pt>
                <c:pt idx="42">
                  <c:v>31.038135426672419</c:v>
                </c:pt>
                <c:pt idx="43">
                  <c:v>33.09734477166208</c:v>
                </c:pt>
                <c:pt idx="44">
                  <c:v>26.155784683919741</c:v>
                </c:pt>
                <c:pt idx="45">
                  <c:v>32.000000000000028</c:v>
                </c:pt>
                <c:pt idx="46">
                  <c:v>20.57142857142858</c:v>
                </c:pt>
                <c:pt idx="47">
                  <c:v>24.107142857142914</c:v>
                </c:pt>
                <c:pt idx="48">
                  <c:v>21.739130434782609</c:v>
                </c:pt>
                <c:pt idx="49">
                  <c:v>20.000000000000004</c:v>
                </c:pt>
                <c:pt idx="50">
                  <c:v>20.000000000000004</c:v>
                </c:pt>
                <c:pt idx="51">
                  <c:v>20.128205128205128</c:v>
                </c:pt>
                <c:pt idx="52">
                  <c:v>20.370370370370363</c:v>
                </c:pt>
                <c:pt idx="53">
                  <c:v>17.999999999999986</c:v>
                </c:pt>
                <c:pt idx="54">
                  <c:v>15.999999999999993</c:v>
                </c:pt>
                <c:pt idx="55">
                  <c:v>15.319148936170217</c:v>
                </c:pt>
                <c:pt idx="56">
                  <c:v>15.888888888888893</c:v>
                </c:pt>
                <c:pt idx="57">
                  <c:v>14.078310602727683</c:v>
                </c:pt>
                <c:pt idx="58">
                  <c:v>15.999999999999993</c:v>
                </c:pt>
                <c:pt idx="59">
                  <c:v>14.999999999999996</c:v>
                </c:pt>
                <c:pt idx="60">
                  <c:v>13.744053282588004</c:v>
                </c:pt>
                <c:pt idx="61">
                  <c:v>14.300960512273209</c:v>
                </c:pt>
                <c:pt idx="62">
                  <c:v>11.34751773049646</c:v>
                </c:pt>
                <c:pt idx="63">
                  <c:v>12.56118383608424</c:v>
                </c:pt>
                <c:pt idx="64">
                  <c:v>15.063636363636359</c:v>
                </c:pt>
                <c:pt idx="65">
                  <c:v>17.653333333333332</c:v>
                </c:pt>
                <c:pt idx="66">
                  <c:v>15.389162561576363</c:v>
                </c:pt>
                <c:pt idx="67">
                  <c:v>16.357889618283494</c:v>
                </c:pt>
                <c:pt idx="68">
                  <c:v>20.372708145476402</c:v>
                </c:pt>
                <c:pt idx="69">
                  <c:v>18.733627562642361</c:v>
                </c:pt>
                <c:pt idx="70">
                  <c:v>20.372844827586206</c:v>
                </c:pt>
                <c:pt idx="71">
                  <c:v>18.280545899317634</c:v>
                </c:pt>
                <c:pt idx="72">
                  <c:v>18.666666666666657</c:v>
                </c:pt>
                <c:pt idx="73">
                  <c:v>16.330945986272759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52208"/>
        <c:axId val="299037088"/>
      </c:scatterChart>
      <c:valAx>
        <c:axId val="299052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37088"/>
        <c:crosses val="autoZero"/>
        <c:crossBetween val="midCat"/>
        <c:majorUnit val="5"/>
      </c:valAx>
      <c:valAx>
        <c:axId val="29903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52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(All)'!$BW$7:$BW$107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(All)'!$BW$7:$BW$107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11344"/>
        <c:axId val="698912464"/>
      </c:scatterChart>
      <c:valAx>
        <c:axId val="698911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12464"/>
        <c:crosses val="autoZero"/>
        <c:crossBetween val="midCat"/>
        <c:majorUnit val="5"/>
      </c:valAx>
      <c:valAx>
        <c:axId val="69891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11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(All)'!$BX$7:$BX$107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(All)'!$BX$7:$BX$107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07984"/>
        <c:axId val="698909104"/>
      </c:scatterChart>
      <c:valAx>
        <c:axId val="698907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09104"/>
        <c:crosses val="autoZero"/>
        <c:crossBetween val="midCat"/>
        <c:majorUnit val="5"/>
      </c:valAx>
      <c:valAx>
        <c:axId val="6989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07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(All)'!$BY$7:$BY$107</c:f>
              <c:numCache>
                <c:formatCode>0.0000</c:formatCode>
                <c:ptCount val="92"/>
                <c:pt idx="52">
                  <c:v>24.577777777777726</c:v>
                </c:pt>
                <c:pt idx="66">
                  <c:v>23.084409223799838</c:v>
                </c:pt>
                <c:pt idx="67">
                  <c:v>17.073092010429818</c:v>
                </c:pt>
                <c:pt idx="68">
                  <c:v>16.882721754958908</c:v>
                </c:pt>
                <c:pt idx="69">
                  <c:v>22.680590382966209</c:v>
                </c:pt>
                <c:pt idx="70">
                  <c:v>24.857604939006784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(All)'!$BY$7:$BY$107</c:f>
              <c:numCache>
                <c:formatCode>0.0000</c:formatCode>
                <c:ptCount val="92"/>
                <c:pt idx="52">
                  <c:v>24.577777777777726</c:v>
                </c:pt>
                <c:pt idx="66">
                  <c:v>23.084409223799838</c:v>
                </c:pt>
                <c:pt idx="67">
                  <c:v>17.073092010429818</c:v>
                </c:pt>
                <c:pt idx="68">
                  <c:v>16.882721754958908</c:v>
                </c:pt>
                <c:pt idx="69">
                  <c:v>22.680590382966209</c:v>
                </c:pt>
                <c:pt idx="70">
                  <c:v>24.857604939006784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04624"/>
        <c:axId val="698905744"/>
      </c:scatterChart>
      <c:valAx>
        <c:axId val="698904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05744"/>
        <c:crosses val="autoZero"/>
        <c:crossBetween val="midCat"/>
        <c:majorUnit val="5"/>
      </c:valAx>
      <c:valAx>
        <c:axId val="69890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04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(All)'!$BZ$7:$BZ$107</c:f>
              <c:numCache>
                <c:formatCode>0.0000</c:formatCode>
                <c:ptCount val="92"/>
                <c:pt idx="66">
                  <c:v>23.048340657675425</c:v>
                </c:pt>
                <c:pt idx="67">
                  <c:v>22.238964249699098</c:v>
                </c:pt>
                <c:pt idx="68">
                  <c:v>22.785425101214496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(All)'!$BZ$7:$BZ$107</c:f>
              <c:numCache>
                <c:formatCode>0.0000</c:formatCode>
                <c:ptCount val="92"/>
                <c:pt idx="66">
                  <c:v>23.048340657675425</c:v>
                </c:pt>
                <c:pt idx="67">
                  <c:v>22.238964249699098</c:v>
                </c:pt>
                <c:pt idx="68">
                  <c:v>22.785425101214496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901264"/>
        <c:axId val="698902384"/>
      </c:scatterChart>
      <c:valAx>
        <c:axId val="698901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02384"/>
        <c:crosses val="autoZero"/>
        <c:crossBetween val="midCat"/>
        <c:majorUnit val="5"/>
      </c:valAx>
      <c:valAx>
        <c:axId val="69890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901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(All)'!$CA$7:$CA$107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(All)'!$CA$7:$CA$107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97904"/>
        <c:axId val="698899024"/>
      </c:scatterChart>
      <c:valAx>
        <c:axId val="6988979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99024"/>
        <c:crosses val="autoZero"/>
        <c:crossBetween val="midCat"/>
        <c:majorUnit val="5"/>
      </c:valAx>
      <c:valAx>
        <c:axId val="69889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979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(All)'!$CB$7:$CB$107</c:f>
              <c:numCache>
                <c:formatCode>0.0000</c:formatCode>
                <c:ptCount val="92"/>
                <c:pt idx="68">
                  <c:v>19.470454786611338</c:v>
                </c:pt>
                <c:pt idx="69">
                  <c:v>20.302174670051858</c:v>
                </c:pt>
                <c:pt idx="70">
                  <c:v>25.260536775298494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(All)'!$CB$7:$CB$107</c:f>
              <c:numCache>
                <c:formatCode>0.0000</c:formatCode>
                <c:ptCount val="92"/>
                <c:pt idx="68">
                  <c:v>19.470454786611338</c:v>
                </c:pt>
                <c:pt idx="69">
                  <c:v>20.302174670051858</c:v>
                </c:pt>
                <c:pt idx="70">
                  <c:v>25.260536775298494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94544"/>
        <c:axId val="698895664"/>
      </c:scatterChart>
      <c:valAx>
        <c:axId val="698894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95664"/>
        <c:crosses val="autoZero"/>
        <c:crossBetween val="midCat"/>
        <c:majorUnit val="5"/>
      </c:valAx>
      <c:valAx>
        <c:axId val="69889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94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(All)'!$CC$7:$CC$107</c:f>
              <c:numCache>
                <c:formatCode>0.0000</c:formatCode>
                <c:ptCount val="92"/>
                <c:pt idx="68">
                  <c:v>24.098676474267581</c:v>
                </c:pt>
                <c:pt idx="69">
                  <c:v>24.178904057706497</c:v>
                </c:pt>
                <c:pt idx="70">
                  <c:v>33.287311381269568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(All)'!$CC$7:$CC$107</c:f>
              <c:numCache>
                <c:formatCode>0.0000</c:formatCode>
                <c:ptCount val="92"/>
                <c:pt idx="68">
                  <c:v>24.098676474267581</c:v>
                </c:pt>
                <c:pt idx="69">
                  <c:v>24.178904057706497</c:v>
                </c:pt>
                <c:pt idx="70">
                  <c:v>33.287311381269568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91184"/>
        <c:axId val="698892304"/>
      </c:scatterChart>
      <c:valAx>
        <c:axId val="698891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92304"/>
        <c:crosses val="autoZero"/>
        <c:crossBetween val="midCat"/>
        <c:majorUnit val="5"/>
      </c:valAx>
      <c:valAx>
        <c:axId val="69889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91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(All)'!$CD$7:$CD$107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(All)'!$CD$7:$CD$107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87824"/>
        <c:axId val="698888944"/>
      </c:scatterChart>
      <c:valAx>
        <c:axId val="698887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88944"/>
        <c:crosses val="autoZero"/>
        <c:crossBetween val="midCat"/>
        <c:majorUnit val="5"/>
      </c:valAx>
      <c:valAx>
        <c:axId val="69888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87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(All)'!$CE$7:$CE$107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(All)'!$CE$7:$CE$107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84464"/>
        <c:axId val="698885584"/>
      </c:scatterChart>
      <c:valAx>
        <c:axId val="6988844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85584"/>
        <c:crosses val="autoZero"/>
        <c:crossBetween val="midCat"/>
        <c:majorUnit val="5"/>
      </c:valAx>
      <c:valAx>
        <c:axId val="69888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84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(All)'!$CF$7:$CF$107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(All)'!$CF$7:$CF$107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81104"/>
        <c:axId val="698882224"/>
      </c:scatterChart>
      <c:valAx>
        <c:axId val="6988811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82224"/>
        <c:crosses val="autoZero"/>
        <c:crossBetween val="midCat"/>
        <c:majorUnit val="5"/>
      </c:valAx>
      <c:valAx>
        <c:axId val="69888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811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(All)'!$R$7:$R$107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(All)'!$R$7:$R$107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67328"/>
        <c:axId val="299065648"/>
      </c:scatterChart>
      <c:valAx>
        <c:axId val="299067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65648"/>
        <c:crosses val="autoZero"/>
        <c:crossBetween val="midCat"/>
        <c:majorUnit val="5"/>
      </c:valAx>
      <c:valAx>
        <c:axId val="2990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67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(All)'!$CG$7:$CG$107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(All)'!$CG$7:$CG$107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77744"/>
        <c:axId val="698878864"/>
      </c:scatterChart>
      <c:valAx>
        <c:axId val="6988777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78864"/>
        <c:crosses val="autoZero"/>
        <c:crossBetween val="midCat"/>
        <c:majorUnit val="5"/>
      </c:valAx>
      <c:valAx>
        <c:axId val="69887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77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(All)'!$CH$7:$CH$107</c:f>
              <c:numCache>
                <c:formatCode>0.0000</c:formatCode>
                <c:ptCount val="92"/>
                <c:pt idx="51">
                  <c:v>22.857142857142797</c:v>
                </c:pt>
                <c:pt idx="52">
                  <c:v>22.501650165016599</c:v>
                </c:pt>
                <c:pt idx="53">
                  <c:v>22.1533333333334</c:v>
                </c:pt>
                <c:pt idx="54">
                  <c:v>19.027692307692302</c:v>
                </c:pt>
                <c:pt idx="55">
                  <c:v>17.3201133144476</c:v>
                </c:pt>
                <c:pt idx="56">
                  <c:v>16.088311688311681</c:v>
                </c:pt>
                <c:pt idx="57">
                  <c:v>18.126829268292678</c:v>
                </c:pt>
                <c:pt idx="58">
                  <c:v>14.321649484536081</c:v>
                </c:pt>
                <c:pt idx="59">
                  <c:v>16.67885318452954</c:v>
                </c:pt>
                <c:pt idx="60">
                  <c:v>14.834548513740879</c:v>
                </c:pt>
                <c:pt idx="61">
                  <c:v>13.81330685203574</c:v>
                </c:pt>
                <c:pt idx="62">
                  <c:v>13.887640449438202</c:v>
                </c:pt>
                <c:pt idx="63">
                  <c:v>14.117296370817501</c:v>
                </c:pt>
                <c:pt idx="64">
                  <c:v>16.030869442084398</c:v>
                </c:pt>
                <c:pt idx="65">
                  <c:v>16.981732794640699</c:v>
                </c:pt>
                <c:pt idx="66">
                  <c:v>14.69217138155814</c:v>
                </c:pt>
                <c:pt idx="67">
                  <c:v>16.001638605546681</c:v>
                </c:pt>
                <c:pt idx="68">
                  <c:v>15.94446895496926</c:v>
                </c:pt>
                <c:pt idx="69">
                  <c:v>17.333333333333339</c:v>
                </c:pt>
                <c:pt idx="70">
                  <c:v>28.4355198572066</c:v>
                </c:pt>
                <c:pt idx="71">
                  <c:v>15.002478929102621</c:v>
                </c:pt>
                <c:pt idx="72">
                  <c:v>14.999456816947321</c:v>
                </c:pt>
                <c:pt idx="73">
                  <c:v>14.66694011484824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(All)'!$CH$7:$CH$107</c:f>
              <c:numCache>
                <c:formatCode>0.0000</c:formatCode>
                <c:ptCount val="92"/>
                <c:pt idx="51">
                  <c:v>22.857142857142797</c:v>
                </c:pt>
                <c:pt idx="52">
                  <c:v>22.501650165016599</c:v>
                </c:pt>
                <c:pt idx="53">
                  <c:v>22.1533333333334</c:v>
                </c:pt>
                <c:pt idx="54">
                  <c:v>19.027692307692302</c:v>
                </c:pt>
                <c:pt idx="55">
                  <c:v>17.3201133144476</c:v>
                </c:pt>
                <c:pt idx="56">
                  <c:v>16.088311688311681</c:v>
                </c:pt>
                <c:pt idx="57">
                  <c:v>18.126829268292678</c:v>
                </c:pt>
                <c:pt idx="58">
                  <c:v>14.321649484536081</c:v>
                </c:pt>
                <c:pt idx="59">
                  <c:v>16.67885318452954</c:v>
                </c:pt>
                <c:pt idx="60">
                  <c:v>14.834548513740879</c:v>
                </c:pt>
                <c:pt idx="61">
                  <c:v>13.81330685203574</c:v>
                </c:pt>
                <c:pt idx="62">
                  <c:v>13.887640449438202</c:v>
                </c:pt>
                <c:pt idx="63">
                  <c:v>14.117296370817501</c:v>
                </c:pt>
                <c:pt idx="64">
                  <c:v>16.030869442084398</c:v>
                </c:pt>
                <c:pt idx="65">
                  <c:v>16.981732794640699</c:v>
                </c:pt>
                <c:pt idx="66">
                  <c:v>14.69217138155814</c:v>
                </c:pt>
                <c:pt idx="67">
                  <c:v>16.001638605546681</c:v>
                </c:pt>
                <c:pt idx="68">
                  <c:v>15.94446895496926</c:v>
                </c:pt>
                <c:pt idx="69">
                  <c:v>17.333333333333339</c:v>
                </c:pt>
                <c:pt idx="70">
                  <c:v>28.4355198572066</c:v>
                </c:pt>
                <c:pt idx="71">
                  <c:v>15.002478929102621</c:v>
                </c:pt>
                <c:pt idx="72">
                  <c:v>14.999456816947321</c:v>
                </c:pt>
                <c:pt idx="73">
                  <c:v>14.66694011484824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74384"/>
        <c:axId val="698875504"/>
      </c:scatterChart>
      <c:valAx>
        <c:axId val="6988743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75504"/>
        <c:crosses val="autoZero"/>
        <c:crossBetween val="midCat"/>
        <c:majorUnit val="5"/>
      </c:valAx>
      <c:valAx>
        <c:axId val="69887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743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(All)'!$CI$7:$CI$107</c:f>
              <c:numCache>
                <c:formatCode>0.0000</c:formatCode>
                <c:ptCount val="92"/>
                <c:pt idx="48">
                  <c:v>19.466666666666661</c:v>
                </c:pt>
                <c:pt idx="49">
                  <c:v>21.124260355029598</c:v>
                </c:pt>
                <c:pt idx="51">
                  <c:v>22.853333333333403</c:v>
                </c:pt>
                <c:pt idx="52">
                  <c:v>22.5</c:v>
                </c:pt>
                <c:pt idx="54">
                  <c:v>14.324324324324319</c:v>
                </c:pt>
                <c:pt idx="55">
                  <c:v>19.433526011560701</c:v>
                </c:pt>
                <c:pt idx="56">
                  <c:v>17.793560606060602</c:v>
                </c:pt>
                <c:pt idx="57">
                  <c:v>18.88669950738916</c:v>
                </c:pt>
                <c:pt idx="58">
                  <c:v>16.250580046403719</c:v>
                </c:pt>
                <c:pt idx="59">
                  <c:v>19.32584269662922</c:v>
                </c:pt>
                <c:pt idx="60">
                  <c:v>18.666666666666661</c:v>
                </c:pt>
                <c:pt idx="61">
                  <c:v>18.791858174655282</c:v>
                </c:pt>
                <c:pt idx="62">
                  <c:v>16.666666666666661</c:v>
                </c:pt>
                <c:pt idx="63">
                  <c:v>13.77269670477472</c:v>
                </c:pt>
                <c:pt idx="64">
                  <c:v>16.004264392324099</c:v>
                </c:pt>
                <c:pt idx="65">
                  <c:v>17.333333333333339</c:v>
                </c:pt>
                <c:pt idx="66">
                  <c:v>15.0003992015968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(All)'!$CI$7:$CI$107</c:f>
              <c:numCache>
                <c:formatCode>0.0000</c:formatCode>
                <c:ptCount val="92"/>
                <c:pt idx="48">
                  <c:v>19.466666666666661</c:v>
                </c:pt>
                <c:pt idx="49">
                  <c:v>21.124260355029598</c:v>
                </c:pt>
                <c:pt idx="51">
                  <c:v>22.853333333333403</c:v>
                </c:pt>
                <c:pt idx="52">
                  <c:v>22.5</c:v>
                </c:pt>
                <c:pt idx="54">
                  <c:v>14.324324324324319</c:v>
                </c:pt>
                <c:pt idx="55">
                  <c:v>19.433526011560701</c:v>
                </c:pt>
                <c:pt idx="56">
                  <c:v>17.793560606060602</c:v>
                </c:pt>
                <c:pt idx="57">
                  <c:v>18.88669950738916</c:v>
                </c:pt>
                <c:pt idx="58">
                  <c:v>16.250580046403719</c:v>
                </c:pt>
                <c:pt idx="59">
                  <c:v>19.32584269662922</c:v>
                </c:pt>
                <c:pt idx="60">
                  <c:v>18.666666666666661</c:v>
                </c:pt>
                <c:pt idx="61">
                  <c:v>18.791858174655282</c:v>
                </c:pt>
                <c:pt idx="62">
                  <c:v>16.666666666666661</c:v>
                </c:pt>
                <c:pt idx="63">
                  <c:v>13.77269670477472</c:v>
                </c:pt>
                <c:pt idx="64">
                  <c:v>16.004264392324099</c:v>
                </c:pt>
                <c:pt idx="65">
                  <c:v>17.333333333333339</c:v>
                </c:pt>
                <c:pt idx="66">
                  <c:v>15.0003992015968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71584"/>
        <c:axId val="698872704"/>
      </c:scatterChart>
      <c:valAx>
        <c:axId val="698871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72704"/>
        <c:crosses val="autoZero"/>
        <c:crossBetween val="midCat"/>
        <c:majorUnit val="5"/>
      </c:valAx>
      <c:valAx>
        <c:axId val="69887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71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(All)'!$CJ$7:$CJ$107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(All)'!$CJ$7:$CJ$107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68224"/>
        <c:axId val="698869344"/>
      </c:scatterChart>
      <c:valAx>
        <c:axId val="698868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69344"/>
        <c:crosses val="autoZero"/>
        <c:crossBetween val="midCat"/>
        <c:majorUnit val="5"/>
      </c:valAx>
      <c:valAx>
        <c:axId val="6988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68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(All)'!$CK$7:$CK$107</c:f>
              <c:numCache>
                <c:formatCode>0.0000</c:formatCode>
                <c:ptCount val="92"/>
                <c:pt idx="34">
                  <c:v>22.986732186732198</c:v>
                </c:pt>
                <c:pt idx="35">
                  <c:v>22.0197126386836</c:v>
                </c:pt>
                <c:pt idx="36">
                  <c:v>22.9261036459874</c:v>
                </c:pt>
                <c:pt idx="37">
                  <c:v>23.3433151456464</c:v>
                </c:pt>
                <c:pt idx="38">
                  <c:v>20.350086075970403</c:v>
                </c:pt>
                <c:pt idx="39">
                  <c:v>23.9397305825728</c:v>
                </c:pt>
                <c:pt idx="40">
                  <c:v>23.940859862952003</c:v>
                </c:pt>
                <c:pt idx="41">
                  <c:v>24.458281547509802</c:v>
                </c:pt>
                <c:pt idx="42">
                  <c:v>23.245668362716199</c:v>
                </c:pt>
                <c:pt idx="43">
                  <c:v>22.868076754347801</c:v>
                </c:pt>
                <c:pt idx="44">
                  <c:v>22.866624663248398</c:v>
                </c:pt>
                <c:pt idx="45">
                  <c:v>15.41047169269638</c:v>
                </c:pt>
                <c:pt idx="46">
                  <c:v>15.01513384446406</c:v>
                </c:pt>
                <c:pt idx="47">
                  <c:v>14.55498012284874</c:v>
                </c:pt>
                <c:pt idx="48">
                  <c:v>14.045710192012439</c:v>
                </c:pt>
                <c:pt idx="49">
                  <c:v>14.294834535347182</c:v>
                </c:pt>
                <c:pt idx="50">
                  <c:v>19.957042809412059</c:v>
                </c:pt>
                <c:pt idx="51">
                  <c:v>15.835951917784721</c:v>
                </c:pt>
                <c:pt idx="52">
                  <c:v>17.143363353176099</c:v>
                </c:pt>
                <c:pt idx="53">
                  <c:v>13.116652058688661</c:v>
                </c:pt>
                <c:pt idx="54">
                  <c:v>12.91176159031224</c:v>
                </c:pt>
                <c:pt idx="55">
                  <c:v>13.465901190579642</c:v>
                </c:pt>
                <c:pt idx="56">
                  <c:v>13.917587603680841</c:v>
                </c:pt>
                <c:pt idx="57">
                  <c:v>13.07208709915704</c:v>
                </c:pt>
                <c:pt idx="58">
                  <c:v>12.167302752913681</c:v>
                </c:pt>
                <c:pt idx="59">
                  <c:v>12.315688797217641</c:v>
                </c:pt>
                <c:pt idx="60">
                  <c:v>11.350045860687722</c:v>
                </c:pt>
                <c:pt idx="61">
                  <c:v>10.277340287191381</c:v>
                </c:pt>
                <c:pt idx="62">
                  <c:v>9.2271240784219195</c:v>
                </c:pt>
                <c:pt idx="63">
                  <c:v>10.148226616301418</c:v>
                </c:pt>
                <c:pt idx="64">
                  <c:v>16.996465692983978</c:v>
                </c:pt>
                <c:pt idx="65">
                  <c:v>18</c:v>
                </c:pt>
                <c:pt idx="66">
                  <c:v>13.333023255813961</c:v>
                </c:pt>
                <c:pt idx="67">
                  <c:v>10.928431372549019</c:v>
                </c:pt>
                <c:pt idx="68">
                  <c:v>11.64516129032258</c:v>
                </c:pt>
                <c:pt idx="69">
                  <c:v>13.26602952393772</c:v>
                </c:pt>
                <c:pt idx="70">
                  <c:v>14.758822622900301</c:v>
                </c:pt>
                <c:pt idx="71">
                  <c:v>16.99236098774206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(All)'!$CK$7:$CK$107</c:f>
              <c:numCache>
                <c:formatCode>0.0000</c:formatCode>
                <c:ptCount val="92"/>
                <c:pt idx="34">
                  <c:v>22.986732186732198</c:v>
                </c:pt>
                <c:pt idx="35">
                  <c:v>22.0197126386836</c:v>
                </c:pt>
                <c:pt idx="36">
                  <c:v>22.9261036459874</c:v>
                </c:pt>
                <c:pt idx="37">
                  <c:v>23.3433151456464</c:v>
                </c:pt>
                <c:pt idx="38">
                  <c:v>20.350086075970403</c:v>
                </c:pt>
                <c:pt idx="39">
                  <c:v>23.9397305825728</c:v>
                </c:pt>
                <c:pt idx="40">
                  <c:v>23.940859862952003</c:v>
                </c:pt>
                <c:pt idx="41">
                  <c:v>24.458281547509802</c:v>
                </c:pt>
                <c:pt idx="42">
                  <c:v>23.245668362716199</c:v>
                </c:pt>
                <c:pt idx="43">
                  <c:v>22.868076754347801</c:v>
                </c:pt>
                <c:pt idx="44">
                  <c:v>22.866624663248398</c:v>
                </c:pt>
                <c:pt idx="45">
                  <c:v>15.41047169269638</c:v>
                </c:pt>
                <c:pt idx="46">
                  <c:v>15.01513384446406</c:v>
                </c:pt>
                <c:pt idx="47">
                  <c:v>14.55498012284874</c:v>
                </c:pt>
                <c:pt idx="48">
                  <c:v>14.045710192012439</c:v>
                </c:pt>
                <c:pt idx="49">
                  <c:v>14.294834535347182</c:v>
                </c:pt>
                <c:pt idx="50">
                  <c:v>19.957042809412059</c:v>
                </c:pt>
                <c:pt idx="51">
                  <c:v>15.835951917784721</c:v>
                </c:pt>
                <c:pt idx="52">
                  <c:v>17.143363353176099</c:v>
                </c:pt>
                <c:pt idx="53">
                  <c:v>13.116652058688661</c:v>
                </c:pt>
                <c:pt idx="54">
                  <c:v>12.91176159031224</c:v>
                </c:pt>
                <c:pt idx="55">
                  <c:v>13.465901190579642</c:v>
                </c:pt>
                <c:pt idx="56">
                  <c:v>13.917587603680841</c:v>
                </c:pt>
                <c:pt idx="57">
                  <c:v>13.07208709915704</c:v>
                </c:pt>
                <c:pt idx="58">
                  <c:v>12.167302752913681</c:v>
                </c:pt>
                <c:pt idx="59">
                  <c:v>12.315688797217641</c:v>
                </c:pt>
                <c:pt idx="60">
                  <c:v>11.350045860687722</c:v>
                </c:pt>
                <c:pt idx="61">
                  <c:v>10.277340287191381</c:v>
                </c:pt>
                <c:pt idx="62">
                  <c:v>9.2271240784219195</c:v>
                </c:pt>
                <c:pt idx="63">
                  <c:v>10.148226616301418</c:v>
                </c:pt>
                <c:pt idx="64">
                  <c:v>16.996465692983978</c:v>
                </c:pt>
                <c:pt idx="65">
                  <c:v>18</c:v>
                </c:pt>
                <c:pt idx="66">
                  <c:v>13.333023255813961</c:v>
                </c:pt>
                <c:pt idx="67">
                  <c:v>10.928431372549019</c:v>
                </c:pt>
                <c:pt idx="68">
                  <c:v>11.64516129032258</c:v>
                </c:pt>
                <c:pt idx="69">
                  <c:v>13.26602952393772</c:v>
                </c:pt>
                <c:pt idx="70">
                  <c:v>14.758822622900301</c:v>
                </c:pt>
                <c:pt idx="71">
                  <c:v>16.99236098774206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65424"/>
        <c:axId val="698834624"/>
      </c:scatterChart>
      <c:valAx>
        <c:axId val="698865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34624"/>
        <c:crosses val="autoZero"/>
        <c:crossBetween val="midCat"/>
        <c:majorUnit val="5"/>
      </c:valAx>
      <c:valAx>
        <c:axId val="6988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65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(All)'!$CL$7:$CL$107</c:f>
              <c:numCache>
                <c:formatCode>0.0000</c:formatCode>
                <c:ptCount val="92"/>
                <c:pt idx="34">
                  <c:v>18.81354568854568</c:v>
                </c:pt>
                <c:pt idx="35">
                  <c:v>22.0197126386836</c:v>
                </c:pt>
                <c:pt idx="36">
                  <c:v>20.4226785352188</c:v>
                </c:pt>
                <c:pt idx="37">
                  <c:v>21.2211955869512</c:v>
                </c:pt>
                <c:pt idx="38">
                  <c:v>20.350086075970403</c:v>
                </c:pt>
                <c:pt idx="39">
                  <c:v>21.826132747354599</c:v>
                </c:pt>
                <c:pt idx="40">
                  <c:v>36.412377559001399</c:v>
                </c:pt>
                <c:pt idx="41">
                  <c:v>36.020378279059997</c:v>
                </c:pt>
                <c:pt idx="42">
                  <c:v>19.987123779728279</c:v>
                </c:pt>
                <c:pt idx="43">
                  <c:v>32.7263581236394</c:v>
                </c:pt>
                <c:pt idx="44">
                  <c:v>15.297532875762021</c:v>
                </c:pt>
                <c:pt idx="45">
                  <c:v>15.0411575562701</c:v>
                </c:pt>
                <c:pt idx="46">
                  <c:v>14.27349229971818</c:v>
                </c:pt>
                <c:pt idx="47">
                  <c:v>13.84096223002976</c:v>
                </c:pt>
                <c:pt idx="48">
                  <c:v>13.279580545175399</c:v>
                </c:pt>
                <c:pt idx="49">
                  <c:v>16.526883222220839</c:v>
                </c:pt>
                <c:pt idx="50">
                  <c:v>16.176019669186861</c:v>
                </c:pt>
                <c:pt idx="51">
                  <c:v>17.446387706033999</c:v>
                </c:pt>
                <c:pt idx="52">
                  <c:v>15.389601360662459</c:v>
                </c:pt>
                <c:pt idx="53">
                  <c:v>15.288939817171322</c:v>
                </c:pt>
                <c:pt idx="54">
                  <c:v>13.444123452805119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(All)'!$CL$7:$CL$107</c:f>
              <c:numCache>
                <c:formatCode>0.0000</c:formatCode>
                <c:ptCount val="92"/>
                <c:pt idx="34">
                  <c:v>18.81354568854568</c:v>
                </c:pt>
                <c:pt idx="35">
                  <c:v>22.0197126386836</c:v>
                </c:pt>
                <c:pt idx="36">
                  <c:v>20.4226785352188</c:v>
                </c:pt>
                <c:pt idx="37">
                  <c:v>21.2211955869512</c:v>
                </c:pt>
                <c:pt idx="38">
                  <c:v>20.350086075970403</c:v>
                </c:pt>
                <c:pt idx="39">
                  <c:v>21.826132747354599</c:v>
                </c:pt>
                <c:pt idx="40">
                  <c:v>36.412377559001399</c:v>
                </c:pt>
                <c:pt idx="41">
                  <c:v>36.020378279059997</c:v>
                </c:pt>
                <c:pt idx="42">
                  <c:v>19.987123779728279</c:v>
                </c:pt>
                <c:pt idx="43">
                  <c:v>32.7263581236394</c:v>
                </c:pt>
                <c:pt idx="44">
                  <c:v>15.297532875762021</c:v>
                </c:pt>
                <c:pt idx="45">
                  <c:v>15.0411575562701</c:v>
                </c:pt>
                <c:pt idx="46">
                  <c:v>14.27349229971818</c:v>
                </c:pt>
                <c:pt idx="47">
                  <c:v>13.84096223002976</c:v>
                </c:pt>
                <c:pt idx="48">
                  <c:v>13.279580545175399</c:v>
                </c:pt>
                <c:pt idx="49">
                  <c:v>16.526883222220839</c:v>
                </c:pt>
                <c:pt idx="50">
                  <c:v>16.176019669186861</c:v>
                </c:pt>
                <c:pt idx="51">
                  <c:v>17.446387706033999</c:v>
                </c:pt>
                <c:pt idx="52">
                  <c:v>15.389601360662459</c:v>
                </c:pt>
                <c:pt idx="53">
                  <c:v>15.288939817171322</c:v>
                </c:pt>
                <c:pt idx="54">
                  <c:v>13.444123452805119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55344"/>
        <c:axId val="698854224"/>
      </c:scatterChart>
      <c:valAx>
        <c:axId val="698855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54224"/>
        <c:crosses val="autoZero"/>
        <c:crossBetween val="midCat"/>
        <c:majorUnit val="5"/>
      </c:valAx>
      <c:valAx>
        <c:axId val="69885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55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(All)'!$CM$7:$CM$107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(All)'!$CM$7:$CM$107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62064"/>
        <c:axId val="698863744"/>
      </c:scatterChart>
      <c:valAx>
        <c:axId val="6988620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63744"/>
        <c:crosses val="autoZero"/>
        <c:crossBetween val="midCat"/>
        <c:majorUnit val="5"/>
      </c:valAx>
      <c:valAx>
        <c:axId val="6988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620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(All)'!$CN$7:$CN$107</c:f>
              <c:numCache>
                <c:formatCode>0.0000</c:formatCode>
                <c:ptCount val="92"/>
                <c:pt idx="50">
                  <c:v>18.228571428571421</c:v>
                </c:pt>
                <c:pt idx="51">
                  <c:v>14.325102257233759</c:v>
                </c:pt>
                <c:pt idx="52">
                  <c:v>14.29439861050804</c:v>
                </c:pt>
                <c:pt idx="53">
                  <c:v>11.935538022494541</c:v>
                </c:pt>
                <c:pt idx="54">
                  <c:v>11.272585467307941</c:v>
                </c:pt>
                <c:pt idx="55">
                  <c:v>23.785134291068001</c:v>
                </c:pt>
                <c:pt idx="56">
                  <c:v>11.248296538566361</c:v>
                </c:pt>
                <c:pt idx="57">
                  <c:v>14.97058823529412</c:v>
                </c:pt>
                <c:pt idx="58">
                  <c:v>15.302039245863801</c:v>
                </c:pt>
                <c:pt idx="59">
                  <c:v>15.27251007913992</c:v>
                </c:pt>
                <c:pt idx="60">
                  <c:v>16.6805041889954</c:v>
                </c:pt>
                <c:pt idx="61">
                  <c:v>16.88607362526394</c:v>
                </c:pt>
                <c:pt idx="62">
                  <c:v>13.493745113025199</c:v>
                </c:pt>
                <c:pt idx="66">
                  <c:v>15.484409985629778</c:v>
                </c:pt>
                <c:pt idx="67">
                  <c:v>14.812642016112381</c:v>
                </c:pt>
                <c:pt idx="68">
                  <c:v>15.410625941062598</c:v>
                </c:pt>
                <c:pt idx="69">
                  <c:v>17.170607127655458</c:v>
                </c:pt>
                <c:pt idx="70">
                  <c:v>17.068483816013618</c:v>
                </c:pt>
                <c:pt idx="71">
                  <c:v>16.20897043832824</c:v>
                </c:pt>
                <c:pt idx="72">
                  <c:v>18.25722713864306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(All)'!$CN$7:$CN$107</c:f>
              <c:numCache>
                <c:formatCode>0.0000</c:formatCode>
                <c:ptCount val="92"/>
                <c:pt idx="50">
                  <c:v>18.228571428571421</c:v>
                </c:pt>
                <c:pt idx="51">
                  <c:v>14.325102257233759</c:v>
                </c:pt>
                <c:pt idx="52">
                  <c:v>14.29439861050804</c:v>
                </c:pt>
                <c:pt idx="53">
                  <c:v>11.935538022494541</c:v>
                </c:pt>
                <c:pt idx="54">
                  <c:v>11.272585467307941</c:v>
                </c:pt>
                <c:pt idx="55">
                  <c:v>23.785134291068001</c:v>
                </c:pt>
                <c:pt idx="56">
                  <c:v>11.248296538566361</c:v>
                </c:pt>
                <c:pt idx="57">
                  <c:v>14.97058823529412</c:v>
                </c:pt>
                <c:pt idx="58">
                  <c:v>15.302039245863801</c:v>
                </c:pt>
                <c:pt idx="59">
                  <c:v>15.27251007913992</c:v>
                </c:pt>
                <c:pt idx="60">
                  <c:v>16.6805041889954</c:v>
                </c:pt>
                <c:pt idx="61">
                  <c:v>16.88607362526394</c:v>
                </c:pt>
                <c:pt idx="62">
                  <c:v>13.493745113025199</c:v>
                </c:pt>
                <c:pt idx="66">
                  <c:v>15.484409985629778</c:v>
                </c:pt>
                <c:pt idx="67">
                  <c:v>14.812642016112381</c:v>
                </c:pt>
                <c:pt idx="68">
                  <c:v>15.410625941062598</c:v>
                </c:pt>
                <c:pt idx="69">
                  <c:v>17.170607127655458</c:v>
                </c:pt>
                <c:pt idx="70">
                  <c:v>17.068483816013618</c:v>
                </c:pt>
                <c:pt idx="71">
                  <c:v>16.20897043832824</c:v>
                </c:pt>
                <c:pt idx="72">
                  <c:v>18.25722713864306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63184"/>
        <c:axId val="698858704"/>
      </c:scatterChart>
      <c:valAx>
        <c:axId val="698863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58704"/>
        <c:crosses val="autoZero"/>
        <c:crossBetween val="midCat"/>
        <c:majorUnit val="5"/>
      </c:valAx>
      <c:valAx>
        <c:axId val="69885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63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(All)'!$CO$7:$CO$107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(All)'!$CO$7:$CO$107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12224"/>
        <c:axId val="698811104"/>
      </c:scatterChart>
      <c:valAx>
        <c:axId val="698812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11104"/>
        <c:crosses val="autoZero"/>
        <c:crossBetween val="midCat"/>
        <c:majorUnit val="5"/>
      </c:valAx>
      <c:valAx>
        <c:axId val="6988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12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(All)'!$CP$7:$CP$107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(All)'!$CP$7:$CP$107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15584"/>
        <c:axId val="698814464"/>
      </c:scatterChart>
      <c:valAx>
        <c:axId val="698815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14464"/>
        <c:crosses val="autoZero"/>
        <c:crossBetween val="midCat"/>
        <c:majorUnit val="5"/>
      </c:valAx>
      <c:valAx>
        <c:axId val="69881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15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(All)'!$S$7:$S$107</c:f>
              <c:numCache>
                <c:formatCode>0.0000</c:formatCode>
                <c:ptCount val="92"/>
                <c:pt idx="18">
                  <c:v>56.699113679455067</c:v>
                </c:pt>
                <c:pt idx="40">
                  <c:v>36.653972479647713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(All)'!$S$7:$S$107</c:f>
              <c:numCache>
                <c:formatCode>0.0000</c:formatCode>
                <c:ptCount val="92"/>
                <c:pt idx="18">
                  <c:v>56.699113679455067</c:v>
                </c:pt>
                <c:pt idx="40">
                  <c:v>36.653972479647713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046608"/>
        <c:axId val="367629808"/>
      </c:scatterChart>
      <c:valAx>
        <c:axId val="299046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7629808"/>
        <c:crosses val="autoZero"/>
        <c:crossBetween val="midCat"/>
        <c:majorUnit val="5"/>
      </c:valAx>
      <c:valAx>
        <c:axId val="36762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9046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(All)'!$CQ$7:$CQ$107</c:f>
              <c:numCache>
                <c:formatCode>0.0000</c:formatCode>
                <c:ptCount val="92"/>
                <c:pt idx="47">
                  <c:v>21.716000000000001</c:v>
                </c:pt>
                <c:pt idx="48">
                  <c:v>18.669201520912541</c:v>
                </c:pt>
                <c:pt idx="49">
                  <c:v>24.616</c:v>
                </c:pt>
                <c:pt idx="50">
                  <c:v>21.537142857142801</c:v>
                </c:pt>
                <c:pt idx="51">
                  <c:v>19.286666666666662</c:v>
                </c:pt>
                <c:pt idx="52">
                  <c:v>21.249523809523797</c:v>
                </c:pt>
                <c:pt idx="53">
                  <c:v>22.154166666666598</c:v>
                </c:pt>
                <c:pt idx="54">
                  <c:v>16.664000000000001</c:v>
                </c:pt>
                <c:pt idx="55">
                  <c:v>14.444999999999999</c:v>
                </c:pt>
                <c:pt idx="56">
                  <c:v>15.29333333333334</c:v>
                </c:pt>
                <c:pt idx="57">
                  <c:v>16.248888888888878</c:v>
                </c:pt>
                <c:pt idx="58">
                  <c:v>15</c:v>
                </c:pt>
                <c:pt idx="59">
                  <c:v>16</c:v>
                </c:pt>
                <c:pt idx="60">
                  <c:v>16</c:v>
                </c:pt>
                <c:pt idx="61">
                  <c:v>13.334399999999999</c:v>
                </c:pt>
                <c:pt idx="66">
                  <c:v>14.46207553157728</c:v>
                </c:pt>
                <c:pt idx="67">
                  <c:v>14.033829604801619</c:v>
                </c:pt>
                <c:pt idx="68">
                  <c:v>14.35338796721966</c:v>
                </c:pt>
                <c:pt idx="69">
                  <c:v>14.869336632132359</c:v>
                </c:pt>
                <c:pt idx="70">
                  <c:v>15.797244094488182</c:v>
                </c:pt>
                <c:pt idx="71">
                  <c:v>16.252181305651263</c:v>
                </c:pt>
                <c:pt idx="72">
                  <c:v>17.048876281911419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(All)'!$CQ$7:$CQ$107</c:f>
              <c:numCache>
                <c:formatCode>0.0000</c:formatCode>
                <c:ptCount val="92"/>
                <c:pt idx="47">
                  <c:v>21.716000000000001</c:v>
                </c:pt>
                <c:pt idx="48">
                  <c:v>18.669201520912541</c:v>
                </c:pt>
                <c:pt idx="49">
                  <c:v>24.616</c:v>
                </c:pt>
                <c:pt idx="50">
                  <c:v>21.537142857142801</c:v>
                </c:pt>
                <c:pt idx="51">
                  <c:v>19.286666666666662</c:v>
                </c:pt>
                <c:pt idx="52">
                  <c:v>21.249523809523797</c:v>
                </c:pt>
                <c:pt idx="53">
                  <c:v>22.154166666666598</c:v>
                </c:pt>
                <c:pt idx="54">
                  <c:v>16.664000000000001</c:v>
                </c:pt>
                <c:pt idx="55">
                  <c:v>14.444999999999999</c:v>
                </c:pt>
                <c:pt idx="56">
                  <c:v>15.29333333333334</c:v>
                </c:pt>
                <c:pt idx="57">
                  <c:v>16.248888888888878</c:v>
                </c:pt>
                <c:pt idx="58">
                  <c:v>15</c:v>
                </c:pt>
                <c:pt idx="59">
                  <c:v>16</c:v>
                </c:pt>
                <c:pt idx="60">
                  <c:v>16</c:v>
                </c:pt>
                <c:pt idx="61">
                  <c:v>13.334399999999999</c:v>
                </c:pt>
                <c:pt idx="66">
                  <c:v>14.46207553157728</c:v>
                </c:pt>
                <c:pt idx="67">
                  <c:v>14.033829604801619</c:v>
                </c:pt>
                <c:pt idx="68">
                  <c:v>14.35338796721966</c:v>
                </c:pt>
                <c:pt idx="69">
                  <c:v>14.869336632132359</c:v>
                </c:pt>
                <c:pt idx="70">
                  <c:v>15.797244094488182</c:v>
                </c:pt>
                <c:pt idx="71">
                  <c:v>16.252181305651263</c:v>
                </c:pt>
                <c:pt idx="72">
                  <c:v>17.048876281911419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20624"/>
        <c:axId val="698823424"/>
      </c:scatterChart>
      <c:valAx>
        <c:axId val="698820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23424"/>
        <c:crosses val="autoZero"/>
        <c:crossBetween val="midCat"/>
        <c:majorUnit val="5"/>
      </c:valAx>
      <c:valAx>
        <c:axId val="69882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20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(All)'!$CR$7:$CR$107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(All)'!$CR$7:$CR$107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23984"/>
        <c:axId val="698821184"/>
      </c:scatterChart>
      <c:valAx>
        <c:axId val="698823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21184"/>
        <c:crosses val="autoZero"/>
        <c:crossBetween val="midCat"/>
        <c:majorUnit val="5"/>
      </c:valAx>
      <c:valAx>
        <c:axId val="6988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23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(All)'!$CS$7:$CS$107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(All)'!$CS$7:$CS$107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40224"/>
        <c:axId val="698839104"/>
      </c:scatterChart>
      <c:valAx>
        <c:axId val="698840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39104"/>
        <c:crosses val="autoZero"/>
        <c:crossBetween val="midCat"/>
        <c:majorUnit val="5"/>
      </c:valAx>
      <c:valAx>
        <c:axId val="6988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40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(All)'!$CT$7:$CT$107</c:f>
              <c:numCache>
                <c:formatCode>General</c:formatCode>
                <c:ptCount val="92"/>
                <c:pt idx="47" formatCode="0.0000">
                  <c:v>22.457952425553799</c:v>
                </c:pt>
                <c:pt idx="48" formatCode="0.0000">
                  <c:v>23.332152713247602</c:v>
                </c:pt>
                <c:pt idx="49" formatCode="0.0000">
                  <c:v>34.579176935341401</c:v>
                </c:pt>
                <c:pt idx="50" formatCode="0.0000">
                  <c:v>23.6199836199836</c:v>
                </c:pt>
                <c:pt idx="51" formatCode="0.0000">
                  <c:v>16.668304668304661</c:v>
                </c:pt>
                <c:pt idx="52" formatCode="0.0000">
                  <c:v>16.87893333333334</c:v>
                </c:pt>
                <c:pt idx="53" formatCode="0.0000">
                  <c:v>16.896000000000001</c:v>
                </c:pt>
                <c:pt idx="54" formatCode="0.0000">
                  <c:v>15.644342857142862</c:v>
                </c:pt>
                <c:pt idx="55" formatCode="0.0000">
                  <c:v>16.666666666666661</c:v>
                </c:pt>
                <c:pt idx="56" formatCode="0.0000">
                  <c:v>12.549333333333339</c:v>
                </c:pt>
                <c:pt idx="57" formatCode="0.0000">
                  <c:v>13.23056389723056</c:v>
                </c:pt>
                <c:pt idx="58" formatCode="0.0000">
                  <c:v>17.606501041102099</c:v>
                </c:pt>
                <c:pt idx="59" formatCode="0.0000">
                  <c:v>22.388266667226404</c:v>
                </c:pt>
                <c:pt idx="60" formatCode="0.0000">
                  <c:v>16.357226792004958</c:v>
                </c:pt>
                <c:pt idx="61" formatCode="0.0000">
                  <c:v>16.426763636363638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(All)'!$CT$7:$CT$107</c:f>
              <c:numCache>
                <c:formatCode>General</c:formatCode>
                <c:ptCount val="92"/>
                <c:pt idx="47" formatCode="0.0000">
                  <c:v>22.457952425553799</c:v>
                </c:pt>
                <c:pt idx="48" formatCode="0.0000">
                  <c:v>23.332152713247602</c:v>
                </c:pt>
                <c:pt idx="49" formatCode="0.0000">
                  <c:v>34.579176935341401</c:v>
                </c:pt>
                <c:pt idx="50" formatCode="0.0000">
                  <c:v>23.6199836199836</c:v>
                </c:pt>
                <c:pt idx="51" formatCode="0.0000">
                  <c:v>16.668304668304661</c:v>
                </c:pt>
                <c:pt idx="52" formatCode="0.0000">
                  <c:v>16.87893333333334</c:v>
                </c:pt>
                <c:pt idx="53" formatCode="0.0000">
                  <c:v>16.896000000000001</c:v>
                </c:pt>
                <c:pt idx="54" formatCode="0.0000">
                  <c:v>15.644342857142862</c:v>
                </c:pt>
                <c:pt idx="55" formatCode="0.0000">
                  <c:v>16.666666666666661</c:v>
                </c:pt>
                <c:pt idx="56" formatCode="0.0000">
                  <c:v>12.549333333333339</c:v>
                </c:pt>
                <c:pt idx="57" formatCode="0.0000">
                  <c:v>13.23056389723056</c:v>
                </c:pt>
                <c:pt idx="58" formatCode="0.0000">
                  <c:v>17.606501041102099</c:v>
                </c:pt>
                <c:pt idx="59" formatCode="0.0000">
                  <c:v>22.388266667226404</c:v>
                </c:pt>
                <c:pt idx="60" formatCode="0.0000">
                  <c:v>16.357226792004958</c:v>
                </c:pt>
                <c:pt idx="61" formatCode="0.0000">
                  <c:v>16.426763636363638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43584"/>
        <c:axId val="698842464"/>
      </c:scatterChart>
      <c:valAx>
        <c:axId val="698843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42464"/>
        <c:crosses val="autoZero"/>
        <c:crossBetween val="midCat"/>
        <c:majorUnit val="5"/>
      </c:valAx>
      <c:valAx>
        <c:axId val="69884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43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(All)'!$CU$7:$CU$107</c:f>
              <c:numCache>
                <c:formatCode>General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(All)'!$CU$7:$CU$107</c:f>
              <c:numCache>
                <c:formatCode>General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46944"/>
        <c:axId val="698845824"/>
      </c:scatterChart>
      <c:valAx>
        <c:axId val="6988469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45824"/>
        <c:crosses val="autoZero"/>
        <c:crossBetween val="midCat"/>
        <c:majorUnit val="5"/>
      </c:valAx>
      <c:valAx>
        <c:axId val="69884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46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(All)'!$CV$7:$CV$107</c:f>
              <c:numCache>
                <c:formatCode>General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(All)'!$CV$7:$CV$107</c:f>
              <c:numCache>
                <c:formatCode>General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31824"/>
        <c:axId val="698849184"/>
      </c:scatterChart>
      <c:valAx>
        <c:axId val="698831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49184"/>
        <c:crosses val="autoZero"/>
        <c:crossBetween val="midCat"/>
        <c:majorUnit val="5"/>
      </c:valAx>
      <c:valAx>
        <c:axId val="6988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31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(All)'!$N$7:$N$107</c:f>
              <c:numCache>
                <c:formatCode>0.0000</c:formatCode>
                <c:ptCount val="92"/>
                <c:pt idx="45">
                  <c:v>19.944038315830326</c:v>
                </c:pt>
                <c:pt idx="46">
                  <c:v>19.867353735308726</c:v>
                </c:pt>
                <c:pt idx="47">
                  <c:v>17.764804379256915</c:v>
                </c:pt>
                <c:pt idx="48">
                  <c:v>19.380984590096954</c:v>
                </c:pt>
                <c:pt idx="49">
                  <c:v>19.053879364947644</c:v>
                </c:pt>
                <c:pt idx="50">
                  <c:v>19.277698651014685</c:v>
                </c:pt>
                <c:pt idx="51">
                  <c:v>18.184306346950031</c:v>
                </c:pt>
                <c:pt idx="52">
                  <c:v>18.060488320648407</c:v>
                </c:pt>
                <c:pt idx="53">
                  <c:v>19.254556155635321</c:v>
                </c:pt>
                <c:pt idx="54">
                  <c:v>14.858999191598164</c:v>
                </c:pt>
                <c:pt idx="55">
                  <c:v>11.540299602036621</c:v>
                </c:pt>
                <c:pt idx="56">
                  <c:v>12.887469775949175</c:v>
                </c:pt>
                <c:pt idx="57">
                  <c:v>11.561926850166376</c:v>
                </c:pt>
                <c:pt idx="58">
                  <c:v>12.267247608464125</c:v>
                </c:pt>
                <c:pt idx="59">
                  <c:v>12.246014560073954</c:v>
                </c:pt>
                <c:pt idx="60">
                  <c:v>11.773442840507915</c:v>
                </c:pt>
                <c:pt idx="61">
                  <c:v>10.538214576974562</c:v>
                </c:pt>
                <c:pt idx="62">
                  <c:v>9.4133004482763898</c:v>
                </c:pt>
                <c:pt idx="63">
                  <c:v>9.531656603749834</c:v>
                </c:pt>
                <c:pt idx="64">
                  <c:v>11.433839540722561</c:v>
                </c:pt>
                <c:pt idx="65">
                  <c:v>12.530117103403153</c:v>
                </c:pt>
                <c:pt idx="66">
                  <c:v>11.416930516936914</c:v>
                </c:pt>
                <c:pt idx="67">
                  <c:v>11.348387969616775</c:v>
                </c:pt>
                <c:pt idx="68">
                  <c:v>11.084855056913323</c:v>
                </c:pt>
                <c:pt idx="69">
                  <c:v>12.088185079100736</c:v>
                </c:pt>
                <c:pt idx="70">
                  <c:v>12.111957190580195</c:v>
                </c:pt>
                <c:pt idx="71">
                  <c:v>13.253959837654421</c:v>
                </c:pt>
                <c:pt idx="72">
                  <c:v>12.290086488049331</c:v>
                </c:pt>
                <c:pt idx="73">
                  <c:v>11.723038849601229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(All)'!$N$7:$N$107</c:f>
              <c:numCache>
                <c:formatCode>0.0000</c:formatCode>
                <c:ptCount val="92"/>
                <c:pt idx="45">
                  <c:v>19.944038315830326</c:v>
                </c:pt>
                <c:pt idx="46">
                  <c:v>19.867353735308726</c:v>
                </c:pt>
                <c:pt idx="47">
                  <c:v>17.764804379256915</c:v>
                </c:pt>
                <c:pt idx="48">
                  <c:v>19.380984590096954</c:v>
                </c:pt>
                <c:pt idx="49">
                  <c:v>19.053879364947644</c:v>
                </c:pt>
                <c:pt idx="50">
                  <c:v>19.277698651014685</c:v>
                </c:pt>
                <c:pt idx="51">
                  <c:v>18.184306346950031</c:v>
                </c:pt>
                <c:pt idx="52">
                  <c:v>18.060488320648407</c:v>
                </c:pt>
                <c:pt idx="53">
                  <c:v>19.254556155635321</c:v>
                </c:pt>
                <c:pt idx="54">
                  <c:v>14.858999191598164</c:v>
                </c:pt>
                <c:pt idx="55">
                  <c:v>11.540299602036621</c:v>
                </c:pt>
                <c:pt idx="56">
                  <c:v>12.887469775949175</c:v>
                </c:pt>
                <c:pt idx="57">
                  <c:v>11.561926850166376</c:v>
                </c:pt>
                <c:pt idx="58">
                  <c:v>12.267247608464125</c:v>
                </c:pt>
                <c:pt idx="59">
                  <c:v>12.246014560073954</c:v>
                </c:pt>
                <c:pt idx="60">
                  <c:v>11.773442840507915</c:v>
                </c:pt>
                <c:pt idx="61">
                  <c:v>10.538214576974562</c:v>
                </c:pt>
                <c:pt idx="62">
                  <c:v>9.4133004482763898</c:v>
                </c:pt>
                <c:pt idx="63">
                  <c:v>9.531656603749834</c:v>
                </c:pt>
                <c:pt idx="64">
                  <c:v>11.433839540722561</c:v>
                </c:pt>
                <c:pt idx="65">
                  <c:v>12.530117103403153</c:v>
                </c:pt>
                <c:pt idx="66">
                  <c:v>11.416930516936914</c:v>
                </c:pt>
                <c:pt idx="67">
                  <c:v>11.348387969616775</c:v>
                </c:pt>
                <c:pt idx="68">
                  <c:v>11.084855056913323</c:v>
                </c:pt>
                <c:pt idx="69">
                  <c:v>12.088185079100736</c:v>
                </c:pt>
                <c:pt idx="70">
                  <c:v>12.111957190580195</c:v>
                </c:pt>
                <c:pt idx="71">
                  <c:v>13.253959837654421</c:v>
                </c:pt>
                <c:pt idx="72">
                  <c:v>12.290086488049331</c:v>
                </c:pt>
                <c:pt idx="73">
                  <c:v>11.723038849601229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50864"/>
        <c:axId val="698825104"/>
      </c:scatterChart>
      <c:valAx>
        <c:axId val="698850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25104"/>
        <c:crosses val="autoZero"/>
        <c:crossBetween val="midCat"/>
        <c:majorUnit val="5"/>
      </c:valAx>
      <c:valAx>
        <c:axId val="69882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50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(All)'!$P$7:$P$107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(All)'!$P$7:$P$107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16704"/>
        <c:axId val="698835184"/>
      </c:scatterChart>
      <c:valAx>
        <c:axId val="6988167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35184"/>
        <c:crosses val="autoZero"/>
        <c:crossBetween val="midCat"/>
        <c:majorUnit val="5"/>
      </c:valAx>
      <c:valAx>
        <c:axId val="69883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88167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(All)'!$O$7:$O$107</c:f>
              <c:numCache>
                <c:formatCode>0.0000</c:formatCode>
                <c:ptCount val="92"/>
                <c:pt idx="45">
                  <c:v>13.172974312493501</c:v>
                </c:pt>
                <c:pt idx="46">
                  <c:v>12.032882723655129</c:v>
                </c:pt>
                <c:pt idx="47">
                  <c:v>11.156106782812158</c:v>
                </c:pt>
                <c:pt idx="48">
                  <c:v>12.977666242574502</c:v>
                </c:pt>
                <c:pt idx="49">
                  <c:v>15.32598604560105</c:v>
                </c:pt>
                <c:pt idx="50">
                  <c:v>12.813999691556822</c:v>
                </c:pt>
                <c:pt idx="51">
                  <c:v>12.470987300120646</c:v>
                </c:pt>
                <c:pt idx="52">
                  <c:v>12.941768100250453</c:v>
                </c:pt>
                <c:pt idx="53">
                  <c:v>14.029586796951152</c:v>
                </c:pt>
                <c:pt idx="54">
                  <c:v>11.332664213895786</c:v>
                </c:pt>
                <c:pt idx="55">
                  <c:v>8.7148797629066301</c:v>
                </c:pt>
                <c:pt idx="56">
                  <c:v>10.561256703519332</c:v>
                </c:pt>
                <c:pt idx="57">
                  <c:v>8.8480444655200134</c:v>
                </c:pt>
                <c:pt idx="58">
                  <c:v>9.5825345559524475</c:v>
                </c:pt>
                <c:pt idx="59">
                  <c:v>10.477488310139508</c:v>
                </c:pt>
                <c:pt idx="60">
                  <c:v>10.892510850197096</c:v>
                </c:pt>
                <c:pt idx="61">
                  <c:v>11.161969302706314</c:v>
                </c:pt>
                <c:pt idx="62">
                  <c:v>8.2306081812381748</c:v>
                </c:pt>
                <c:pt idx="63">
                  <c:v>8.6004786826040611</c:v>
                </c:pt>
                <c:pt idx="64">
                  <c:v>10.575998431926488</c:v>
                </c:pt>
                <c:pt idx="65">
                  <c:v>13.211300811180092</c:v>
                </c:pt>
                <c:pt idx="66">
                  <c:v>9.1766580627684977</c:v>
                </c:pt>
                <c:pt idx="67">
                  <c:v>9.0023420340100149</c:v>
                </c:pt>
                <c:pt idx="68">
                  <c:v>12.963104326815934</c:v>
                </c:pt>
                <c:pt idx="69">
                  <c:v>13.681884138032189</c:v>
                </c:pt>
                <c:pt idx="70">
                  <c:v>16.949002831941026</c:v>
                </c:pt>
                <c:pt idx="71">
                  <c:v>17.11753747280585</c:v>
                </c:pt>
                <c:pt idx="72">
                  <c:v>18.442227792190579</c:v>
                </c:pt>
                <c:pt idx="73">
                  <c:v>15.637600088394857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(All)'!$O$7:$O$107</c:f>
              <c:numCache>
                <c:formatCode>0.0000</c:formatCode>
                <c:ptCount val="92"/>
                <c:pt idx="45">
                  <c:v>13.172974312493501</c:v>
                </c:pt>
                <c:pt idx="46">
                  <c:v>12.032882723655129</c:v>
                </c:pt>
                <c:pt idx="47">
                  <c:v>11.156106782812158</c:v>
                </c:pt>
                <c:pt idx="48">
                  <c:v>12.977666242574502</c:v>
                </c:pt>
                <c:pt idx="49">
                  <c:v>15.32598604560105</c:v>
                </c:pt>
                <c:pt idx="50">
                  <c:v>12.813999691556822</c:v>
                </c:pt>
                <c:pt idx="51">
                  <c:v>12.470987300120646</c:v>
                </c:pt>
                <c:pt idx="52">
                  <c:v>12.941768100250453</c:v>
                </c:pt>
                <c:pt idx="53">
                  <c:v>14.029586796951152</c:v>
                </c:pt>
                <c:pt idx="54">
                  <c:v>11.332664213895786</c:v>
                </c:pt>
                <c:pt idx="55">
                  <c:v>8.7148797629066301</c:v>
                </c:pt>
                <c:pt idx="56">
                  <c:v>10.561256703519332</c:v>
                </c:pt>
                <c:pt idx="57">
                  <c:v>8.8480444655200134</c:v>
                </c:pt>
                <c:pt idx="58">
                  <c:v>9.5825345559524475</c:v>
                </c:pt>
                <c:pt idx="59">
                  <c:v>10.477488310139508</c:v>
                </c:pt>
                <c:pt idx="60">
                  <c:v>10.892510850197096</c:v>
                </c:pt>
                <c:pt idx="61">
                  <c:v>11.161969302706314</c:v>
                </c:pt>
                <c:pt idx="62">
                  <c:v>8.2306081812381748</c:v>
                </c:pt>
                <c:pt idx="63">
                  <c:v>8.6004786826040611</c:v>
                </c:pt>
                <c:pt idx="64">
                  <c:v>10.575998431926488</c:v>
                </c:pt>
                <c:pt idx="65">
                  <c:v>13.211300811180092</c:v>
                </c:pt>
                <c:pt idx="66">
                  <c:v>9.1766580627684977</c:v>
                </c:pt>
                <c:pt idx="67">
                  <c:v>9.0023420340100149</c:v>
                </c:pt>
                <c:pt idx="68">
                  <c:v>12.963104326815934</c:v>
                </c:pt>
                <c:pt idx="69">
                  <c:v>13.681884138032189</c:v>
                </c:pt>
                <c:pt idx="70">
                  <c:v>16.949002831941026</c:v>
                </c:pt>
                <c:pt idx="71">
                  <c:v>17.11753747280585</c:v>
                </c:pt>
                <c:pt idx="72">
                  <c:v>18.442227792190579</c:v>
                </c:pt>
                <c:pt idx="73">
                  <c:v>15.637600088394857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68416"/>
        <c:axId val="622122496"/>
      </c:scatterChart>
      <c:valAx>
        <c:axId val="622168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22496"/>
        <c:crosses val="autoZero"/>
        <c:crossBetween val="midCat"/>
        <c:majorUnit val="5"/>
      </c:valAx>
      <c:valAx>
        <c:axId val="62212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68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(All)'!$CW$7:$CW$107</c:f>
              <c:numCache>
                <c:formatCode>General</c:formatCode>
                <c:ptCount val="92"/>
                <c:pt idx="28" formatCode="0.0000">
                  <c:v>24.723766192500221</c:v>
                </c:pt>
                <c:pt idx="29" formatCode="0.0000">
                  <c:v>24.852838008688462</c:v>
                </c:pt>
                <c:pt idx="30" formatCode="0.0000">
                  <c:v>28.227400490682861</c:v>
                </c:pt>
                <c:pt idx="31" formatCode="0.0000">
                  <c:v>29.143223000977518</c:v>
                </c:pt>
                <c:pt idx="32" formatCode="0.0000">
                  <c:v>27.68417542250851</c:v>
                </c:pt>
                <c:pt idx="33" formatCode="0.0000">
                  <c:v>29.836883915333306</c:v>
                </c:pt>
                <c:pt idx="34" formatCode="0.0000">
                  <c:v>28.115808261410574</c:v>
                </c:pt>
                <c:pt idx="35" formatCode="0.0000">
                  <c:v>31.22040225230969</c:v>
                </c:pt>
                <c:pt idx="36" formatCode="0.0000">
                  <c:v>27.572537244143422</c:v>
                </c:pt>
                <c:pt idx="37" formatCode="0.0000">
                  <c:v>32.918562926412207</c:v>
                </c:pt>
                <c:pt idx="38" formatCode="0.0000">
                  <c:v>29.313641206416875</c:v>
                </c:pt>
                <c:pt idx="39" formatCode="0.0000">
                  <c:v>27.734262334416552</c:v>
                </c:pt>
                <c:pt idx="40" formatCode="0.0000">
                  <c:v>30.344136332356499</c:v>
                </c:pt>
                <c:pt idx="41" formatCode="0.0000">
                  <c:v>28.381573817976104</c:v>
                </c:pt>
                <c:pt idx="42" formatCode="0.0000">
                  <c:v>27.770660597264904</c:v>
                </c:pt>
                <c:pt idx="43" formatCode="0.0000">
                  <c:v>26.530906556271816</c:v>
                </c:pt>
                <c:pt idx="44" formatCode="0.0000">
                  <c:v>25.412926284157294</c:v>
                </c:pt>
                <c:pt idx="45" formatCode="0.0000">
                  <c:v>19.351075139529438</c:v>
                </c:pt>
                <c:pt idx="46" formatCode="0.0000">
                  <c:v>18.77296048332342</c:v>
                </c:pt>
                <c:pt idx="47" formatCode="0.0000">
                  <c:v>17.5147789403986</c:v>
                </c:pt>
                <c:pt idx="48" formatCode="0.0000">
                  <c:v>16.767139319320258</c:v>
                </c:pt>
                <c:pt idx="49" formatCode="0.0000">
                  <c:v>16.785209102519335</c:v>
                </c:pt>
                <c:pt idx="50" formatCode="0.0000">
                  <c:v>20.393994595642464</c:v>
                </c:pt>
                <c:pt idx="51" formatCode="0.0000">
                  <c:v>16.532026244842267</c:v>
                </c:pt>
                <c:pt idx="52" formatCode="0.0000">
                  <c:v>16.22481590821884</c:v>
                </c:pt>
                <c:pt idx="53" formatCode="0.0000">
                  <c:v>18.587318040504503</c:v>
                </c:pt>
                <c:pt idx="54" formatCode="0.0000">
                  <c:v>13.406381884338854</c:v>
                </c:pt>
                <c:pt idx="55" formatCode="0.0000">
                  <c:v>12.48864810871536</c:v>
                </c:pt>
                <c:pt idx="56" formatCode="0.0000">
                  <c:v>14.259756347350024</c:v>
                </c:pt>
                <c:pt idx="57" formatCode="0.0000">
                  <c:v>13.755659255588769</c:v>
                </c:pt>
                <c:pt idx="58" formatCode="0.0000">
                  <c:v>13.057254328822872</c:v>
                </c:pt>
                <c:pt idx="59" formatCode="0.0000">
                  <c:v>13.031110173746168</c:v>
                </c:pt>
                <c:pt idx="60" formatCode="0.0000">
                  <c:v>13.996592885227827</c:v>
                </c:pt>
                <c:pt idx="61" formatCode="0.0000">
                  <c:v>14.423713620561537</c:v>
                </c:pt>
                <c:pt idx="62" formatCode="0.0000">
                  <c:v>12.35794290804731</c:v>
                </c:pt>
                <c:pt idx="63" formatCode="0.0000">
                  <c:v>12.042927750595078</c:v>
                </c:pt>
                <c:pt idx="64" formatCode="0.0000">
                  <c:v>11.912004450290457</c:v>
                </c:pt>
                <c:pt idx="65" formatCode="0.0000">
                  <c:v>14.540824658150829</c:v>
                </c:pt>
                <c:pt idx="66" formatCode="0.0000">
                  <c:v>11.086421812960154</c:v>
                </c:pt>
                <c:pt idx="67" formatCode="0.0000">
                  <c:v>11.425879287311739</c:v>
                </c:pt>
                <c:pt idx="68" formatCode="0.0000">
                  <c:v>11.732814229333387</c:v>
                </c:pt>
                <c:pt idx="69" formatCode="0.0000">
                  <c:v>11.870319596561723</c:v>
                </c:pt>
                <c:pt idx="70" formatCode="0.0000">
                  <c:v>12.203275852379385</c:v>
                </c:pt>
                <c:pt idx="71" formatCode="0.0000">
                  <c:v>11.117461583754942</c:v>
                </c:pt>
                <c:pt idx="72" formatCode="0.0000">
                  <c:v>13.981217015677361</c:v>
                </c:pt>
                <c:pt idx="73" formatCode="0.0000">
                  <c:v>11.224429772037848</c:v>
                </c:pt>
                <c:pt idx="74" formatCode="0.0000">
                  <c:v>7.777506707227543</c:v>
                </c:pt>
                <c:pt idx="75" formatCode="0.0000">
                  <c:v>11.938079759607104</c:v>
                </c:pt>
                <c:pt idx="76" formatCode="0.0000">
                  <c:v>15.276686018822531</c:v>
                </c:pt>
                <c:pt idx="77" formatCode="0.0000">
                  <c:v>17.019639196147629</c:v>
                </c:pt>
                <c:pt idx="78" formatCode="0.0000">
                  <c:v>15.611650371295196</c:v>
                </c:pt>
                <c:pt idx="79" formatCode="0.0000">
                  <c:v>18.534001287617944</c:v>
                </c:pt>
                <c:pt idx="80" formatCode="0.0000">
                  <c:v>36.276829501498362</c:v>
                </c:pt>
                <c:pt idx="81" formatCode="0.0000">
                  <c:v>21.890625000000004</c:v>
                </c:pt>
                <c:pt idx="82" formatCode="0.0000">
                  <c:v>15.750000000000002</c:v>
                </c:pt>
                <c:pt idx="83" formatCode="0.0000">
                  <c:v>16.6875</c:v>
                </c:pt>
                <c:pt idx="84" formatCode="0.0000">
                  <c:v>18.796875</c:v>
                </c:pt>
                <c:pt idx="85" formatCode="0.0000">
                  <c:v>8.8125</c:v>
                </c:pt>
                <c:pt idx="86" formatCode="0.0000">
                  <c:v>9.12890625</c:v>
                </c:pt>
                <c:pt idx="87" formatCode="0.0000">
                  <c:v>8.6484375</c:v>
                </c:pt>
                <c:pt idx="88" formatCode="0.0000">
                  <c:v>7.5351562500000009</c:v>
                </c:pt>
                <c:pt idx="89" formatCode="0.0000">
                  <c:v>7.1455078125000009</c:v>
                </c:pt>
                <c:pt idx="90" formatCode="0.0000">
                  <c:v>6.1737132352941178</c:v>
                </c:pt>
                <c:pt idx="91" formatCode="0.0000">
                  <c:v>6.1709558823529411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'Sugar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'Sugar (All)'!$CW$7:$CW$107</c:f>
              <c:numCache>
                <c:formatCode>General</c:formatCode>
                <c:ptCount val="92"/>
                <c:pt idx="28" formatCode="0.0000">
                  <c:v>24.723766192500221</c:v>
                </c:pt>
                <c:pt idx="29" formatCode="0.0000">
                  <c:v>24.852838008688462</c:v>
                </c:pt>
                <c:pt idx="30" formatCode="0.0000">
                  <c:v>28.227400490682861</c:v>
                </c:pt>
                <c:pt idx="31" formatCode="0.0000">
                  <c:v>29.143223000977518</c:v>
                </c:pt>
                <c:pt idx="32" formatCode="0.0000">
                  <c:v>27.68417542250851</c:v>
                </c:pt>
                <c:pt idx="33" formatCode="0.0000">
                  <c:v>29.836883915333306</c:v>
                </c:pt>
                <c:pt idx="34" formatCode="0.0000">
                  <c:v>28.115808261410574</c:v>
                </c:pt>
                <c:pt idx="35" formatCode="0.0000">
                  <c:v>31.22040225230969</c:v>
                </c:pt>
                <c:pt idx="36" formatCode="0.0000">
                  <c:v>27.572537244143422</c:v>
                </c:pt>
                <c:pt idx="37" formatCode="0.0000">
                  <c:v>32.918562926412207</c:v>
                </c:pt>
                <c:pt idx="38" formatCode="0.0000">
                  <c:v>29.313641206416875</c:v>
                </c:pt>
                <c:pt idx="39" formatCode="0.0000">
                  <c:v>27.734262334416552</c:v>
                </c:pt>
                <c:pt idx="40" formatCode="0.0000">
                  <c:v>30.344136332356499</c:v>
                </c:pt>
                <c:pt idx="41" formatCode="0.0000">
                  <c:v>28.381573817976104</c:v>
                </c:pt>
                <c:pt idx="42" formatCode="0.0000">
                  <c:v>27.770660597264904</c:v>
                </c:pt>
                <c:pt idx="43" formatCode="0.0000">
                  <c:v>26.530906556271816</c:v>
                </c:pt>
                <c:pt idx="44" formatCode="0.0000">
                  <c:v>25.412926284157294</c:v>
                </c:pt>
                <c:pt idx="45" formatCode="0.0000">
                  <c:v>19.351075139529438</c:v>
                </c:pt>
                <c:pt idx="46" formatCode="0.0000">
                  <c:v>18.77296048332342</c:v>
                </c:pt>
                <c:pt idx="47" formatCode="0.0000">
                  <c:v>17.5147789403986</c:v>
                </c:pt>
                <c:pt idx="48" formatCode="0.0000">
                  <c:v>16.767139319320258</c:v>
                </c:pt>
                <c:pt idx="49" formatCode="0.0000">
                  <c:v>16.785209102519335</c:v>
                </c:pt>
                <c:pt idx="50" formatCode="0.0000">
                  <c:v>20.393994595642464</c:v>
                </c:pt>
                <c:pt idx="51" formatCode="0.0000">
                  <c:v>16.532026244842267</c:v>
                </c:pt>
                <c:pt idx="52" formatCode="0.0000">
                  <c:v>16.22481590821884</c:v>
                </c:pt>
                <c:pt idx="53" formatCode="0.0000">
                  <c:v>18.587318040504503</c:v>
                </c:pt>
                <c:pt idx="54" formatCode="0.0000">
                  <c:v>13.406381884338854</c:v>
                </c:pt>
                <c:pt idx="55" formatCode="0.0000">
                  <c:v>12.48864810871536</c:v>
                </c:pt>
                <c:pt idx="56" formatCode="0.0000">
                  <c:v>14.259756347350024</c:v>
                </c:pt>
                <c:pt idx="57" formatCode="0.0000">
                  <c:v>13.755659255588769</c:v>
                </c:pt>
                <c:pt idx="58" formatCode="0.0000">
                  <c:v>13.057254328822872</c:v>
                </c:pt>
                <c:pt idx="59" formatCode="0.0000">
                  <c:v>13.031110173746168</c:v>
                </c:pt>
                <c:pt idx="60" formatCode="0.0000">
                  <c:v>13.996592885227827</c:v>
                </c:pt>
                <c:pt idx="61" formatCode="0.0000">
                  <c:v>14.423713620561537</c:v>
                </c:pt>
                <c:pt idx="62" formatCode="0.0000">
                  <c:v>12.35794290804731</c:v>
                </c:pt>
                <c:pt idx="63" formatCode="0.0000">
                  <c:v>12.042927750595078</c:v>
                </c:pt>
                <c:pt idx="64" formatCode="0.0000">
                  <c:v>11.912004450290457</c:v>
                </c:pt>
                <c:pt idx="65" formatCode="0.0000">
                  <c:v>14.540824658150829</c:v>
                </c:pt>
                <c:pt idx="66" formatCode="0.0000">
                  <c:v>11.086421812960154</c:v>
                </c:pt>
                <c:pt idx="67" formatCode="0.0000">
                  <c:v>11.425879287311739</c:v>
                </c:pt>
                <c:pt idx="68" formatCode="0.0000">
                  <c:v>11.732814229333387</c:v>
                </c:pt>
                <c:pt idx="69" formatCode="0.0000">
                  <c:v>11.870319596561723</c:v>
                </c:pt>
                <c:pt idx="70" formatCode="0.0000">
                  <c:v>12.203275852379385</c:v>
                </c:pt>
                <c:pt idx="71" formatCode="0.0000">
                  <c:v>11.117461583754942</c:v>
                </c:pt>
                <c:pt idx="72" formatCode="0.0000">
                  <c:v>13.981217015677361</c:v>
                </c:pt>
                <c:pt idx="73" formatCode="0.0000">
                  <c:v>11.224429772037848</c:v>
                </c:pt>
                <c:pt idx="74" formatCode="0.0000">
                  <c:v>7.777506707227543</c:v>
                </c:pt>
                <c:pt idx="75" formatCode="0.0000">
                  <c:v>11.938079759607104</c:v>
                </c:pt>
                <c:pt idx="76" formatCode="0.0000">
                  <c:v>15.276686018822531</c:v>
                </c:pt>
                <c:pt idx="77" formatCode="0.0000">
                  <c:v>17.019639196147629</c:v>
                </c:pt>
                <c:pt idx="78" formatCode="0.0000">
                  <c:v>15.611650371295196</c:v>
                </c:pt>
                <c:pt idx="79" formatCode="0.0000">
                  <c:v>18.534001287617944</c:v>
                </c:pt>
                <c:pt idx="80" formatCode="0.0000">
                  <c:v>36.276829501498362</c:v>
                </c:pt>
                <c:pt idx="81" formatCode="0.0000">
                  <c:v>21.890625000000004</c:v>
                </c:pt>
                <c:pt idx="82" formatCode="0.0000">
                  <c:v>15.750000000000002</c:v>
                </c:pt>
                <c:pt idx="83" formatCode="0.0000">
                  <c:v>16.6875</c:v>
                </c:pt>
                <c:pt idx="84" formatCode="0.0000">
                  <c:v>18.796875</c:v>
                </c:pt>
                <c:pt idx="85" formatCode="0.0000">
                  <c:v>8.8125</c:v>
                </c:pt>
                <c:pt idx="86" formatCode="0.0000">
                  <c:v>9.12890625</c:v>
                </c:pt>
                <c:pt idx="87" formatCode="0.0000">
                  <c:v>8.6484375</c:v>
                </c:pt>
                <c:pt idx="88" formatCode="0.0000">
                  <c:v>7.5351562500000009</c:v>
                </c:pt>
                <c:pt idx="89" formatCode="0.0000">
                  <c:v>7.1455078125000009</c:v>
                </c:pt>
                <c:pt idx="90" formatCode="0.0000">
                  <c:v>6.1737132352941178</c:v>
                </c:pt>
                <c:pt idx="91" formatCode="0.0000">
                  <c:v>6.1709558823529411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51616"/>
        <c:axId val="622114656"/>
      </c:scatterChart>
      <c:valAx>
        <c:axId val="6221516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14656"/>
        <c:crosses val="autoZero"/>
        <c:crossBetween val="midCat"/>
        <c:majorUnit val="5"/>
      </c:valAx>
      <c:valAx>
        <c:axId val="6221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516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38100</xdr:rowOff>
    </xdr:from>
    <xdr:to>
      <xdr:col>11</xdr:col>
      <xdr:colOff>152400</xdr:colOff>
      <xdr:row>27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0</xdr:colOff>
      <xdr:row>958</xdr:row>
      <xdr:rowOff>0</xdr:rowOff>
    </xdr:from>
    <xdr:to>
      <xdr:col>10</xdr:col>
      <xdr:colOff>533400</xdr:colOff>
      <xdr:row>984</xdr:row>
      <xdr:rowOff>76200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11</xdr:col>
      <xdr:colOff>495300</xdr:colOff>
      <xdr:row>958</xdr:row>
      <xdr:rowOff>0</xdr:rowOff>
    </xdr:from>
    <xdr:to>
      <xdr:col>22</xdr:col>
      <xdr:colOff>419100</xdr:colOff>
      <xdr:row>984</xdr:row>
      <xdr:rowOff>76200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83820</xdr:rowOff>
    </xdr:from>
    <xdr:to>
      <xdr:col>18</xdr:col>
      <xdr:colOff>228600</xdr:colOff>
      <xdr:row>30</xdr:row>
      <xdr:rowOff>83820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38100</xdr:rowOff>
    </xdr:from>
    <xdr:to>
      <xdr:col>21</xdr:col>
      <xdr:colOff>571500</xdr:colOff>
      <xdr:row>29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15240</xdr:rowOff>
    </xdr:from>
    <xdr:to>
      <xdr:col>17</xdr:col>
      <xdr:colOff>571500</xdr:colOff>
      <xdr:row>29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144780</xdr:rowOff>
    </xdr:from>
    <xdr:to>
      <xdr:col>18</xdr:col>
      <xdr:colOff>68580</xdr:colOff>
      <xdr:row>30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99060</xdr:rowOff>
    </xdr:from>
    <xdr:to>
      <xdr:col>18</xdr:col>
      <xdr:colOff>236220</xdr:colOff>
      <xdr:row>30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99060</xdr:rowOff>
    </xdr:from>
    <xdr:to>
      <xdr:col>18</xdr:col>
      <xdr:colOff>236220</xdr:colOff>
      <xdr:row>29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P25" sqref="P25"/>
    </sheetView>
  </sheetViews>
  <sheetFormatPr defaultRowHeight="13.2" x14ac:dyDescent="0.25"/>
  <cols>
    <col min="1" max="16384" width="8.88671875" style="11"/>
  </cols>
  <sheetData>
    <row r="1" spans="1:1" x14ac:dyDescent="0.25">
      <c r="A1" s="11" t="s">
        <v>41</v>
      </c>
    </row>
    <row r="2" spans="1:1" x14ac:dyDescent="0.25">
      <c r="A2" s="11" t="s">
        <v>44</v>
      </c>
    </row>
    <row r="4" spans="1:1" x14ac:dyDescent="0.25">
      <c r="A4" s="11" t="s">
        <v>58</v>
      </c>
    </row>
    <row r="5" spans="1:1" x14ac:dyDescent="0.25">
      <c r="A5" s="11" t="s">
        <v>42</v>
      </c>
    </row>
    <row r="7" spans="1:1" x14ac:dyDescent="0.25">
      <c r="A7" s="11" t="s">
        <v>57</v>
      </c>
    </row>
    <row r="9" spans="1:1" x14ac:dyDescent="0.25">
      <c r="A9" s="11" t="s">
        <v>43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" sqref="T3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CX313"/>
  <sheetViews>
    <sheetView zoomScale="72" zoomScaleNormal="72" workbookViewId="0">
      <pane xSplit="2" ySplit="5" topLeftCell="CH6" activePane="bottomRight" state="frozen"/>
      <selection activeCell="CE20" sqref="CE20"/>
      <selection pane="topRight" activeCell="CE20" sqref="CE20"/>
      <selection pane="bottomLeft" activeCell="CE20" sqref="CE20"/>
      <selection pane="bottomRight" activeCell="A99" sqref="A99:XFD145"/>
    </sheetView>
  </sheetViews>
  <sheetFormatPr defaultRowHeight="13.2" x14ac:dyDescent="0.25"/>
  <cols>
    <col min="2" max="2" width="12.33203125" bestFit="1" customWidth="1"/>
    <col min="3" max="3" width="12" customWidth="1"/>
    <col min="4" max="4" width="14.77734375" customWidth="1"/>
    <col min="5" max="18" width="12" customWidth="1"/>
    <col min="19" max="19" width="11.33203125" customWidth="1"/>
    <col min="20" max="34" width="12" customWidth="1"/>
    <col min="35" max="37" width="13.77734375" customWidth="1"/>
    <col min="38" max="38" width="13.44140625" customWidth="1"/>
    <col min="39" max="91" width="12" customWidth="1"/>
    <col min="92" max="92" width="12.88671875" customWidth="1"/>
    <col min="93" max="93" width="13.33203125" customWidth="1"/>
    <col min="94" max="94" width="14" customWidth="1"/>
    <col min="95" max="97" width="12" customWidth="1"/>
    <col min="98" max="100" width="13.5546875" customWidth="1"/>
    <col min="101" max="101" width="13.77734375" customWidth="1"/>
    <col min="102" max="102" width="13.6640625" customWidth="1"/>
  </cols>
  <sheetData>
    <row r="1" spans="1:102" s="14" customFormat="1" x14ac:dyDescent="0.25"/>
    <row r="2" spans="1:102" s="2" customFormat="1" ht="39" customHeight="1" x14ac:dyDescent="0.25">
      <c r="B2" s="5" t="s">
        <v>32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25</v>
      </c>
      <c r="I2" s="7" t="s">
        <v>25</v>
      </c>
      <c r="J2" s="7" t="s">
        <v>25</v>
      </c>
      <c r="K2" s="7" t="s">
        <v>26</v>
      </c>
      <c r="L2" s="7" t="s">
        <v>26</v>
      </c>
      <c r="M2" s="7" t="s">
        <v>26</v>
      </c>
      <c r="N2" s="7" t="s">
        <v>47</v>
      </c>
      <c r="O2" s="7" t="s">
        <v>47</v>
      </c>
      <c r="P2" s="7" t="s">
        <v>47</v>
      </c>
      <c r="Q2" s="7" t="s">
        <v>27</v>
      </c>
      <c r="R2" s="7" t="s">
        <v>27</v>
      </c>
      <c r="S2" s="7" t="s">
        <v>27</v>
      </c>
      <c r="T2" s="7" t="s">
        <v>2</v>
      </c>
      <c r="U2" s="7" t="s">
        <v>2</v>
      </c>
      <c r="V2" s="7" t="s">
        <v>2</v>
      </c>
      <c r="W2" s="7" t="s">
        <v>4</v>
      </c>
      <c r="X2" s="7" t="s">
        <v>4</v>
      </c>
      <c r="Y2" s="7" t="s">
        <v>4</v>
      </c>
      <c r="Z2" s="7" t="s">
        <v>30</v>
      </c>
      <c r="AA2" s="7" t="s">
        <v>30</v>
      </c>
      <c r="AB2" s="7" t="s">
        <v>30</v>
      </c>
      <c r="AC2" s="7" t="s">
        <v>31</v>
      </c>
      <c r="AD2" s="7" t="s">
        <v>31</v>
      </c>
      <c r="AE2" s="7" t="s">
        <v>31</v>
      </c>
      <c r="AF2" s="7" t="s">
        <v>12</v>
      </c>
      <c r="AG2" s="7" t="s">
        <v>12</v>
      </c>
      <c r="AH2" s="7" t="s">
        <v>12</v>
      </c>
      <c r="AI2" s="7" t="s">
        <v>13</v>
      </c>
      <c r="AJ2" s="7" t="s">
        <v>13</v>
      </c>
      <c r="AK2" s="7" t="s">
        <v>13</v>
      </c>
      <c r="AL2" s="7" t="s">
        <v>29</v>
      </c>
      <c r="AM2" s="7" t="s">
        <v>29</v>
      </c>
      <c r="AN2" s="7" t="s">
        <v>29</v>
      </c>
      <c r="AO2" s="7" t="s">
        <v>40</v>
      </c>
      <c r="AP2" s="7" t="s">
        <v>40</v>
      </c>
      <c r="AQ2" s="7" t="s">
        <v>40</v>
      </c>
      <c r="AR2" s="7" t="s">
        <v>3</v>
      </c>
      <c r="AS2" s="7" t="s">
        <v>3</v>
      </c>
      <c r="AT2" s="7" t="s">
        <v>3</v>
      </c>
      <c r="AU2" s="7" t="s">
        <v>10</v>
      </c>
      <c r="AV2" s="7" t="s">
        <v>10</v>
      </c>
      <c r="AW2" s="7" t="s">
        <v>10</v>
      </c>
      <c r="AX2" s="7" t="s">
        <v>21</v>
      </c>
      <c r="AY2" s="7" t="s">
        <v>21</v>
      </c>
      <c r="AZ2" s="7" t="s">
        <v>21</v>
      </c>
      <c r="BA2" s="7" t="s">
        <v>37</v>
      </c>
      <c r="BB2" s="7" t="s">
        <v>37</v>
      </c>
      <c r="BC2" s="7" t="s">
        <v>37</v>
      </c>
      <c r="BD2" s="7" t="s">
        <v>16</v>
      </c>
      <c r="BE2" s="7" t="s">
        <v>16</v>
      </c>
      <c r="BF2" s="7" t="s">
        <v>16</v>
      </c>
      <c r="BG2" s="7" t="s">
        <v>17</v>
      </c>
      <c r="BH2" s="7" t="s">
        <v>17</v>
      </c>
      <c r="BI2" s="7" t="s">
        <v>17</v>
      </c>
      <c r="BJ2" s="7" t="s">
        <v>18</v>
      </c>
      <c r="BK2" s="7" t="s">
        <v>18</v>
      </c>
      <c r="BL2" s="7" t="s">
        <v>18</v>
      </c>
      <c r="BM2" s="7" t="s">
        <v>7</v>
      </c>
      <c r="BN2" s="7" t="s">
        <v>7</v>
      </c>
      <c r="BO2" s="7" t="s">
        <v>7</v>
      </c>
      <c r="BP2" s="7" t="s">
        <v>20</v>
      </c>
      <c r="BQ2" s="7" t="s">
        <v>20</v>
      </c>
      <c r="BR2" s="7" t="s">
        <v>20</v>
      </c>
      <c r="BS2" s="7" t="s">
        <v>38</v>
      </c>
      <c r="BT2" s="7" t="s">
        <v>38</v>
      </c>
      <c r="BU2" s="7" t="s">
        <v>38</v>
      </c>
      <c r="BV2" s="7" t="s">
        <v>22</v>
      </c>
      <c r="BW2" s="7" t="s">
        <v>22</v>
      </c>
      <c r="BX2" s="7" t="s">
        <v>22</v>
      </c>
      <c r="BY2" s="7" t="s">
        <v>23</v>
      </c>
      <c r="BZ2" s="7" t="s">
        <v>23</v>
      </c>
      <c r="CA2" s="7" t="s">
        <v>23</v>
      </c>
      <c r="CB2" s="7" t="s">
        <v>24</v>
      </c>
      <c r="CC2" s="7" t="s">
        <v>24</v>
      </c>
      <c r="CD2" s="7" t="s">
        <v>24</v>
      </c>
      <c r="CE2" s="7" t="s">
        <v>19</v>
      </c>
      <c r="CF2" s="7" t="s">
        <v>19</v>
      </c>
      <c r="CG2" s="7" t="s">
        <v>19</v>
      </c>
      <c r="CH2" s="7" t="s">
        <v>5</v>
      </c>
      <c r="CI2" s="7" t="s">
        <v>5</v>
      </c>
      <c r="CJ2" s="7" t="s">
        <v>5</v>
      </c>
      <c r="CK2" s="7" t="s">
        <v>28</v>
      </c>
      <c r="CL2" s="7" t="s">
        <v>28</v>
      </c>
      <c r="CM2" s="7" t="s">
        <v>28</v>
      </c>
      <c r="CN2" s="7" t="s">
        <v>14</v>
      </c>
      <c r="CO2" s="7" t="s">
        <v>14</v>
      </c>
      <c r="CP2" s="7" t="s">
        <v>14</v>
      </c>
      <c r="CQ2" s="7" t="s">
        <v>15</v>
      </c>
      <c r="CR2" s="7" t="s">
        <v>15</v>
      </c>
      <c r="CS2" s="7" t="s">
        <v>15</v>
      </c>
      <c r="CT2" s="7" t="s">
        <v>39</v>
      </c>
      <c r="CU2" s="7" t="s">
        <v>39</v>
      </c>
      <c r="CV2" s="7" t="s">
        <v>39</v>
      </c>
      <c r="CW2" s="7" t="s">
        <v>59</v>
      </c>
      <c r="CX2" s="7" t="s">
        <v>59</v>
      </c>
    </row>
    <row r="3" spans="1:102" x14ac:dyDescent="0.25">
      <c r="B3" s="5" t="s">
        <v>34</v>
      </c>
      <c r="C3" s="7" t="s">
        <v>49</v>
      </c>
      <c r="D3" s="7" t="s">
        <v>48</v>
      </c>
      <c r="E3" s="7" t="s">
        <v>45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45</v>
      </c>
      <c r="R3" s="7" t="s">
        <v>45</v>
      </c>
      <c r="S3" s="7" t="s">
        <v>45</v>
      </c>
      <c r="T3" s="7" t="s">
        <v>45</v>
      </c>
      <c r="U3" s="7" t="s">
        <v>45</v>
      </c>
      <c r="V3" s="7" t="s">
        <v>45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45</v>
      </c>
      <c r="AD3" s="7" t="s">
        <v>45</v>
      </c>
      <c r="AE3" s="7" t="s">
        <v>45</v>
      </c>
      <c r="AF3" s="7" t="s">
        <v>45</v>
      </c>
      <c r="AG3" s="7" t="s">
        <v>45</v>
      </c>
      <c r="AH3" s="7" t="s">
        <v>45</v>
      </c>
      <c r="AI3" s="7" t="s">
        <v>45</v>
      </c>
      <c r="AJ3" s="7" t="s">
        <v>45</v>
      </c>
      <c r="AK3" s="7" t="s">
        <v>45</v>
      </c>
      <c r="AL3" s="7" t="s">
        <v>45</v>
      </c>
      <c r="AM3" s="7" t="s">
        <v>45</v>
      </c>
      <c r="AN3" s="7" t="s">
        <v>45</v>
      </c>
      <c r="AO3" s="7" t="s">
        <v>45</v>
      </c>
      <c r="AP3" s="7" t="s">
        <v>45</v>
      </c>
      <c r="AQ3" s="7" t="s">
        <v>45</v>
      </c>
      <c r="AR3" s="7" t="s">
        <v>45</v>
      </c>
      <c r="AS3" s="7" t="s">
        <v>45</v>
      </c>
      <c r="AT3" s="7" t="s">
        <v>45</v>
      </c>
      <c r="AU3" s="7" t="s">
        <v>45</v>
      </c>
      <c r="AV3" s="7" t="s">
        <v>45</v>
      </c>
      <c r="AW3" s="7" t="s">
        <v>45</v>
      </c>
      <c r="AX3" s="7" t="s">
        <v>45</v>
      </c>
      <c r="AY3" s="7" t="s">
        <v>45</v>
      </c>
      <c r="AZ3" s="7" t="s">
        <v>45</v>
      </c>
      <c r="BA3" s="7" t="s">
        <v>45</v>
      </c>
      <c r="BB3" s="7" t="s">
        <v>45</v>
      </c>
      <c r="BC3" s="7" t="s">
        <v>45</v>
      </c>
      <c r="BD3" s="7" t="s">
        <v>45</v>
      </c>
      <c r="BE3" s="7" t="s">
        <v>45</v>
      </c>
      <c r="BF3" s="7" t="s">
        <v>45</v>
      </c>
      <c r="BG3" s="7" t="s">
        <v>45</v>
      </c>
      <c r="BH3" s="7" t="s">
        <v>45</v>
      </c>
      <c r="BI3" s="7" t="s">
        <v>45</v>
      </c>
      <c r="BJ3" s="7" t="s">
        <v>45</v>
      </c>
      <c r="BK3" s="7" t="s">
        <v>45</v>
      </c>
      <c r="BL3" s="7" t="s">
        <v>45</v>
      </c>
      <c r="BM3" s="7" t="s">
        <v>45</v>
      </c>
      <c r="BN3" s="7" t="s">
        <v>45</v>
      </c>
      <c r="BO3" s="7" t="s">
        <v>45</v>
      </c>
      <c r="BP3" s="7" t="s">
        <v>45</v>
      </c>
      <c r="BQ3" s="7" t="s">
        <v>45</v>
      </c>
      <c r="BR3" s="7" t="s">
        <v>45</v>
      </c>
      <c r="BS3" s="7" t="s">
        <v>45</v>
      </c>
      <c r="BT3" s="7" t="s">
        <v>45</v>
      </c>
      <c r="BU3" s="7" t="s">
        <v>45</v>
      </c>
      <c r="BV3" s="7" t="s">
        <v>45</v>
      </c>
      <c r="BW3" s="7" t="s">
        <v>45</v>
      </c>
      <c r="BX3" s="7" t="s">
        <v>45</v>
      </c>
      <c r="BY3" s="7" t="s">
        <v>45</v>
      </c>
      <c r="BZ3" s="7" t="s">
        <v>45</v>
      </c>
      <c r="CA3" s="7" t="s">
        <v>45</v>
      </c>
      <c r="CB3" s="7" t="s">
        <v>45</v>
      </c>
      <c r="CC3" s="7" t="s">
        <v>45</v>
      </c>
      <c r="CD3" s="7" t="s">
        <v>45</v>
      </c>
      <c r="CE3" s="7" t="s">
        <v>45</v>
      </c>
      <c r="CF3" s="7" t="s">
        <v>45</v>
      </c>
      <c r="CG3" s="7" t="s">
        <v>45</v>
      </c>
      <c r="CH3" s="7" t="s">
        <v>45</v>
      </c>
      <c r="CI3" s="7" t="s">
        <v>45</v>
      </c>
      <c r="CJ3" s="7" t="s">
        <v>45</v>
      </c>
      <c r="CK3" s="7" t="s">
        <v>45</v>
      </c>
      <c r="CL3" s="7" t="s">
        <v>45</v>
      </c>
      <c r="CM3" s="7" t="s">
        <v>45</v>
      </c>
      <c r="CN3" s="7" t="s">
        <v>45</v>
      </c>
      <c r="CO3" s="7" t="s">
        <v>45</v>
      </c>
      <c r="CP3" s="7" t="s">
        <v>45</v>
      </c>
      <c r="CQ3" s="7" t="s">
        <v>45</v>
      </c>
      <c r="CR3" s="7" t="s">
        <v>45</v>
      </c>
      <c r="CS3" s="7" t="s">
        <v>45</v>
      </c>
      <c r="CT3" s="7" t="s">
        <v>45</v>
      </c>
      <c r="CU3" s="7" t="s">
        <v>45</v>
      </c>
      <c r="CV3" s="7" t="s">
        <v>45</v>
      </c>
      <c r="CW3" s="7" t="s">
        <v>45</v>
      </c>
      <c r="CX3" s="7" t="s">
        <v>45</v>
      </c>
    </row>
    <row r="4" spans="1:102" s="2" customFormat="1" ht="27" customHeight="1" x14ac:dyDescent="0.25">
      <c r="B4" s="5" t="s">
        <v>33</v>
      </c>
      <c r="C4" s="5" t="s">
        <v>9</v>
      </c>
      <c r="D4" s="5" t="s">
        <v>8</v>
      </c>
      <c r="E4" s="5" t="s">
        <v>9</v>
      </c>
      <c r="F4" s="7" t="s">
        <v>8</v>
      </c>
      <c r="G4" s="5" t="s">
        <v>11</v>
      </c>
      <c r="H4" s="5" t="s">
        <v>9</v>
      </c>
      <c r="I4" s="5" t="s">
        <v>8</v>
      </c>
      <c r="J4" s="5" t="s">
        <v>11</v>
      </c>
      <c r="K4" s="5" t="s">
        <v>9</v>
      </c>
      <c r="L4" s="5" t="s">
        <v>8</v>
      </c>
      <c r="M4" s="5" t="s">
        <v>11</v>
      </c>
      <c r="N4" s="5" t="s">
        <v>9</v>
      </c>
      <c r="O4" s="5" t="s">
        <v>8</v>
      </c>
      <c r="P4" s="5" t="s">
        <v>11</v>
      </c>
      <c r="Q4" s="5" t="s">
        <v>9</v>
      </c>
      <c r="R4" s="5" t="s">
        <v>8</v>
      </c>
      <c r="S4" s="5" t="s">
        <v>11</v>
      </c>
      <c r="T4" s="5" t="s">
        <v>9</v>
      </c>
      <c r="U4" s="5" t="s">
        <v>8</v>
      </c>
      <c r="V4" s="5" t="s">
        <v>11</v>
      </c>
      <c r="W4" s="5" t="s">
        <v>9</v>
      </c>
      <c r="X4" s="5" t="s">
        <v>8</v>
      </c>
      <c r="Y4" s="5" t="s">
        <v>11</v>
      </c>
      <c r="Z4" s="5" t="s">
        <v>9</v>
      </c>
      <c r="AA4" s="5" t="s">
        <v>8</v>
      </c>
      <c r="AB4" s="5" t="s">
        <v>11</v>
      </c>
      <c r="AC4" s="5" t="s">
        <v>9</v>
      </c>
      <c r="AD4" s="5" t="s">
        <v>8</v>
      </c>
      <c r="AE4" s="5" t="s">
        <v>11</v>
      </c>
      <c r="AF4" s="5" t="s">
        <v>9</v>
      </c>
      <c r="AG4" s="5" t="s">
        <v>8</v>
      </c>
      <c r="AH4" s="5" t="s">
        <v>11</v>
      </c>
      <c r="AI4" s="5" t="s">
        <v>9</v>
      </c>
      <c r="AJ4" s="5" t="s">
        <v>8</v>
      </c>
      <c r="AK4" s="5" t="s">
        <v>11</v>
      </c>
      <c r="AL4" s="5" t="s">
        <v>9</v>
      </c>
      <c r="AM4" s="5" t="s">
        <v>8</v>
      </c>
      <c r="AN4" s="5" t="s">
        <v>11</v>
      </c>
      <c r="AO4" s="5" t="s">
        <v>9</v>
      </c>
      <c r="AP4" s="5" t="s">
        <v>8</v>
      </c>
      <c r="AQ4" s="5" t="s">
        <v>11</v>
      </c>
      <c r="AR4" s="5" t="s">
        <v>9</v>
      </c>
      <c r="AS4" s="5" t="s">
        <v>8</v>
      </c>
      <c r="AT4" s="5" t="s">
        <v>11</v>
      </c>
      <c r="AU4" s="5" t="s">
        <v>9</v>
      </c>
      <c r="AV4" s="5" t="s">
        <v>8</v>
      </c>
      <c r="AW4" s="5" t="s">
        <v>11</v>
      </c>
      <c r="AX4" s="5" t="s">
        <v>9</v>
      </c>
      <c r="AY4" s="5" t="s">
        <v>8</v>
      </c>
      <c r="AZ4" s="5" t="s">
        <v>11</v>
      </c>
      <c r="BA4" s="5" t="s">
        <v>9</v>
      </c>
      <c r="BB4" s="5" t="s">
        <v>8</v>
      </c>
      <c r="BC4" s="5" t="s">
        <v>11</v>
      </c>
      <c r="BD4" s="5" t="s">
        <v>9</v>
      </c>
      <c r="BE4" s="5" t="s">
        <v>8</v>
      </c>
      <c r="BF4" s="5" t="s">
        <v>11</v>
      </c>
      <c r="BG4" s="5" t="s">
        <v>9</v>
      </c>
      <c r="BH4" s="5" t="s">
        <v>8</v>
      </c>
      <c r="BI4" s="5" t="s">
        <v>11</v>
      </c>
      <c r="BJ4" s="5" t="s">
        <v>9</v>
      </c>
      <c r="BK4" s="5" t="s">
        <v>8</v>
      </c>
      <c r="BL4" s="5" t="s">
        <v>11</v>
      </c>
      <c r="BM4" s="5" t="s">
        <v>9</v>
      </c>
      <c r="BN4" s="5" t="s">
        <v>8</v>
      </c>
      <c r="BO4" s="5" t="s">
        <v>11</v>
      </c>
      <c r="BP4" s="5" t="s">
        <v>9</v>
      </c>
      <c r="BQ4" s="5" t="s">
        <v>8</v>
      </c>
      <c r="BR4" s="5" t="s">
        <v>11</v>
      </c>
      <c r="BS4" s="5" t="s">
        <v>9</v>
      </c>
      <c r="BT4" s="5" t="s">
        <v>8</v>
      </c>
      <c r="BU4" s="5" t="s">
        <v>11</v>
      </c>
      <c r="BV4" s="5" t="s">
        <v>9</v>
      </c>
      <c r="BW4" s="5" t="s">
        <v>8</v>
      </c>
      <c r="BX4" s="5" t="s">
        <v>11</v>
      </c>
      <c r="BY4" s="5" t="s">
        <v>9</v>
      </c>
      <c r="BZ4" s="5" t="s">
        <v>8</v>
      </c>
      <c r="CA4" s="5" t="s">
        <v>11</v>
      </c>
      <c r="CB4" s="5" t="s">
        <v>9</v>
      </c>
      <c r="CC4" s="5" t="s">
        <v>8</v>
      </c>
      <c r="CD4" s="5" t="s">
        <v>11</v>
      </c>
      <c r="CE4" s="5" t="s">
        <v>9</v>
      </c>
      <c r="CF4" s="5" t="s">
        <v>8</v>
      </c>
      <c r="CG4" s="5" t="s">
        <v>11</v>
      </c>
      <c r="CH4" s="5" t="s">
        <v>9</v>
      </c>
      <c r="CI4" s="5" t="s">
        <v>8</v>
      </c>
      <c r="CJ4" s="5" t="s">
        <v>11</v>
      </c>
      <c r="CK4" s="5" t="s">
        <v>9</v>
      </c>
      <c r="CL4" s="5" t="s">
        <v>8</v>
      </c>
      <c r="CM4" s="5" t="s">
        <v>11</v>
      </c>
      <c r="CN4" s="5" t="s">
        <v>9</v>
      </c>
      <c r="CO4" s="5" t="s">
        <v>8</v>
      </c>
      <c r="CP4" s="5" t="s">
        <v>11</v>
      </c>
      <c r="CQ4" s="5" t="s">
        <v>9</v>
      </c>
      <c r="CR4" s="5" t="s">
        <v>8</v>
      </c>
      <c r="CS4" s="5" t="s">
        <v>11</v>
      </c>
      <c r="CT4" s="5" t="s">
        <v>9</v>
      </c>
      <c r="CU4" s="5" t="s">
        <v>8</v>
      </c>
      <c r="CV4" s="5" t="s">
        <v>11</v>
      </c>
      <c r="CW4" s="5" t="s">
        <v>9</v>
      </c>
      <c r="CX4" s="5" t="s">
        <v>8</v>
      </c>
    </row>
    <row r="5" spans="1:102" s="9" customFormat="1" x14ac:dyDescent="0.25">
      <c r="A5" s="4" t="s">
        <v>36</v>
      </c>
      <c r="B5" s="4" t="s">
        <v>35</v>
      </c>
      <c r="C5" s="6" t="s">
        <v>6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6</v>
      </c>
      <c r="Q5" s="6" t="s">
        <v>6</v>
      </c>
      <c r="R5" s="6" t="s">
        <v>6</v>
      </c>
      <c r="S5" s="6" t="s">
        <v>6</v>
      </c>
      <c r="T5" s="6" t="s">
        <v>6</v>
      </c>
      <c r="U5" s="6" t="s">
        <v>6</v>
      </c>
      <c r="V5" s="6" t="s">
        <v>6</v>
      </c>
      <c r="W5" s="6" t="s">
        <v>6</v>
      </c>
      <c r="X5" s="6" t="s">
        <v>6</v>
      </c>
      <c r="Y5" s="6" t="s">
        <v>6</v>
      </c>
      <c r="Z5" s="6" t="s">
        <v>6</v>
      </c>
      <c r="AA5" s="6" t="s">
        <v>6</v>
      </c>
      <c r="AB5" s="6" t="s">
        <v>6</v>
      </c>
      <c r="AC5" s="6" t="s">
        <v>6</v>
      </c>
      <c r="AD5" s="6" t="s">
        <v>6</v>
      </c>
      <c r="AE5" s="6" t="s">
        <v>6</v>
      </c>
      <c r="AF5" s="6" t="s">
        <v>6</v>
      </c>
      <c r="AG5" s="6" t="s">
        <v>6</v>
      </c>
      <c r="AH5" s="6" t="s">
        <v>6</v>
      </c>
      <c r="AI5" s="6" t="s">
        <v>6</v>
      </c>
      <c r="AJ5" s="6" t="s">
        <v>6</v>
      </c>
      <c r="AK5" s="6" t="s">
        <v>6</v>
      </c>
      <c r="AL5" s="6" t="s">
        <v>6</v>
      </c>
      <c r="AM5" s="6" t="s">
        <v>6</v>
      </c>
      <c r="AN5" s="6" t="s">
        <v>6</v>
      </c>
      <c r="AO5" s="6" t="s">
        <v>6</v>
      </c>
      <c r="AP5" s="6" t="s">
        <v>6</v>
      </c>
      <c r="AQ5" s="6" t="s">
        <v>6</v>
      </c>
      <c r="AR5" s="6" t="s">
        <v>6</v>
      </c>
      <c r="AS5" s="6" t="s">
        <v>6</v>
      </c>
      <c r="AT5" s="6" t="s">
        <v>6</v>
      </c>
      <c r="AU5" s="6" t="s">
        <v>6</v>
      </c>
      <c r="AV5" s="6" t="s">
        <v>6</v>
      </c>
      <c r="AW5" s="6" t="s">
        <v>6</v>
      </c>
      <c r="AX5" s="6" t="s">
        <v>6</v>
      </c>
      <c r="AY5" s="6" t="s">
        <v>6</v>
      </c>
      <c r="AZ5" s="6" t="s">
        <v>6</v>
      </c>
      <c r="BA5" s="6" t="s">
        <v>6</v>
      </c>
      <c r="BB5" s="6" t="s">
        <v>6</v>
      </c>
      <c r="BC5" s="6" t="s">
        <v>6</v>
      </c>
      <c r="BD5" s="6" t="s">
        <v>6</v>
      </c>
      <c r="BE5" s="6" t="s">
        <v>6</v>
      </c>
      <c r="BF5" s="6" t="s">
        <v>6</v>
      </c>
      <c r="BG5" s="6" t="s">
        <v>6</v>
      </c>
      <c r="BH5" s="6" t="s">
        <v>6</v>
      </c>
      <c r="BI5" s="6" t="s">
        <v>6</v>
      </c>
      <c r="BJ5" s="6" t="s">
        <v>6</v>
      </c>
      <c r="BK5" s="6" t="s">
        <v>6</v>
      </c>
      <c r="BL5" s="6" t="s">
        <v>6</v>
      </c>
      <c r="BM5" s="6" t="s">
        <v>6</v>
      </c>
      <c r="BN5" s="6" t="s">
        <v>6</v>
      </c>
      <c r="BO5" s="6" t="s">
        <v>6</v>
      </c>
      <c r="BP5" s="6" t="s">
        <v>6</v>
      </c>
      <c r="BQ5" s="6" t="s">
        <v>6</v>
      </c>
      <c r="BR5" s="6" t="s">
        <v>6</v>
      </c>
      <c r="BS5" s="6" t="s">
        <v>6</v>
      </c>
      <c r="BT5" s="6" t="s">
        <v>6</v>
      </c>
      <c r="BU5" s="6" t="s">
        <v>6</v>
      </c>
      <c r="BV5" s="6" t="s">
        <v>6</v>
      </c>
      <c r="BW5" s="6" t="s">
        <v>6</v>
      </c>
      <c r="BX5" s="6" t="s">
        <v>6</v>
      </c>
      <c r="BY5" s="6" t="s">
        <v>6</v>
      </c>
      <c r="BZ5" s="6" t="s">
        <v>6</v>
      </c>
      <c r="CA5" s="6" t="s">
        <v>6</v>
      </c>
      <c r="CB5" s="6" t="s">
        <v>6</v>
      </c>
      <c r="CC5" s="6" t="s">
        <v>6</v>
      </c>
      <c r="CD5" s="6" t="s">
        <v>6</v>
      </c>
      <c r="CE5" s="6" t="s">
        <v>6</v>
      </c>
      <c r="CF5" s="6" t="s">
        <v>6</v>
      </c>
      <c r="CG5" s="6" t="s">
        <v>6</v>
      </c>
      <c r="CH5" s="6" t="s">
        <v>6</v>
      </c>
      <c r="CI5" s="6" t="s">
        <v>6</v>
      </c>
      <c r="CJ5" s="6" t="s">
        <v>6</v>
      </c>
      <c r="CK5" s="6" t="s">
        <v>6</v>
      </c>
      <c r="CL5" s="6" t="s">
        <v>6</v>
      </c>
      <c r="CM5" s="6" t="s">
        <v>6</v>
      </c>
      <c r="CN5" s="6" t="s">
        <v>6</v>
      </c>
      <c r="CO5" s="6" t="s">
        <v>6</v>
      </c>
      <c r="CP5" s="6" t="s">
        <v>6</v>
      </c>
      <c r="CQ5" s="6" t="s">
        <v>6</v>
      </c>
      <c r="CR5" s="6" t="s">
        <v>6</v>
      </c>
      <c r="CS5" s="6" t="s">
        <v>6</v>
      </c>
      <c r="CT5" s="6" t="s">
        <v>6</v>
      </c>
      <c r="CU5" s="6" t="s">
        <v>6</v>
      </c>
      <c r="CV5" s="6" t="s">
        <v>6</v>
      </c>
      <c r="CW5" s="6" t="s">
        <v>6</v>
      </c>
      <c r="CX5" s="6" t="s">
        <v>6</v>
      </c>
    </row>
    <row r="6" spans="1:102" s="2" customFormat="1" ht="54.6" hidden="1" customHeight="1" x14ac:dyDescent="0.25">
      <c r="A6" s="4" t="s">
        <v>36</v>
      </c>
      <c r="B6" s="5" t="s">
        <v>32</v>
      </c>
      <c r="C6" s="7" t="str">
        <f>CONCATENATE(C2,", ",C4,", ","in ",C5)</f>
        <v>UK, Imports, in pound/ton</v>
      </c>
      <c r="D6" s="7" t="s">
        <v>46</v>
      </c>
      <c r="E6" s="7" t="str">
        <f t="shared" ref="E6:AN6" si="0">CONCATENATE(E2,", ",E4,", ","in ",E5)</f>
        <v>Baghdad, Imports, in pound/ton</v>
      </c>
      <c r="F6" s="7" t="str">
        <f t="shared" si="0"/>
        <v>Baghdad, Exports, in pound/ton</v>
      </c>
      <c r="G6" s="7" t="str">
        <f t="shared" si="0"/>
        <v>Baghdad, Bazaar (Local), in pound/ton</v>
      </c>
      <c r="H6" s="7" t="str">
        <f t="shared" si="0"/>
        <v>Basrah, Imports, in pound/ton</v>
      </c>
      <c r="I6" s="7" t="str">
        <f t="shared" si="0"/>
        <v>Basrah, Exports, in pound/ton</v>
      </c>
      <c r="J6" s="7" t="str">
        <f t="shared" si="0"/>
        <v>Basrah, Bazaar (Local), in pound/ton</v>
      </c>
      <c r="K6" s="7" t="str">
        <f t="shared" si="0"/>
        <v>Mosul, Imports, in pound/ton</v>
      </c>
      <c r="L6" s="7" t="str">
        <f t="shared" si="0"/>
        <v>Mosul, Exports, in pound/ton</v>
      </c>
      <c r="M6" s="7" t="str">
        <f t="shared" si="0"/>
        <v>Mosul, Bazaar (Local), in pound/ton</v>
      </c>
      <c r="N6" s="7"/>
      <c r="O6" s="7"/>
      <c r="P6" s="7"/>
      <c r="Q6" s="7" t="str">
        <f t="shared" si="0"/>
        <v>Palestine, Imports, in pound/ton</v>
      </c>
      <c r="R6" s="7" t="str">
        <f t="shared" si="0"/>
        <v>Palestine, Exports, in pound/ton</v>
      </c>
      <c r="S6" s="7" t="str">
        <f t="shared" si="0"/>
        <v>Palestine, Bazaar (Local), in pound/ton</v>
      </c>
      <c r="T6" s="7" t="str">
        <f t="shared" si="0"/>
        <v>Damascus, Imports, in pound/ton</v>
      </c>
      <c r="U6" s="7" t="str">
        <f t="shared" si="0"/>
        <v>Damascus, Exports, in pound/ton</v>
      </c>
      <c r="V6" s="7" t="str">
        <f t="shared" si="0"/>
        <v>Damascus, Bazaar (Local), in pound/ton</v>
      </c>
      <c r="W6" s="7" t="str">
        <f t="shared" si="0"/>
        <v>Beirut, Imports, in pound/ton</v>
      </c>
      <c r="X6" s="7" t="str">
        <f t="shared" si="0"/>
        <v>Beirut, Exports, in pound/ton</v>
      </c>
      <c r="Y6" s="7" t="str">
        <f t="shared" si="0"/>
        <v>Beirut, Bazaar (Local), in pound/ton</v>
      </c>
      <c r="Z6" s="7" t="str">
        <f t="shared" si="0"/>
        <v>Istanbul (Anatolia), Imports, in pound/ton</v>
      </c>
      <c r="AA6" s="7" t="str">
        <f t="shared" si="0"/>
        <v>Istanbul (Anatolia), Exports, in pound/ton</v>
      </c>
      <c r="AB6" s="7" t="str">
        <f t="shared" si="0"/>
        <v>Istanbul (Anatolia), Bazaar (Local), in pound/ton</v>
      </c>
      <c r="AC6" s="7" t="str">
        <f t="shared" si="0"/>
        <v>Istanbul (Rumeli), Imports, in pound/ton</v>
      </c>
      <c r="AD6" s="7" t="str">
        <f t="shared" si="0"/>
        <v>Istanbul (Rumeli), Exports, in pound/ton</v>
      </c>
      <c r="AE6" s="7" t="str">
        <f t="shared" si="0"/>
        <v>Istanbul (Rumeli), Bazaar (Local), in pound/ton</v>
      </c>
      <c r="AF6" s="7" t="str">
        <f t="shared" si="0"/>
        <v>Turkey, Imports, in pound/ton</v>
      </c>
      <c r="AG6" s="7" t="str">
        <f t="shared" si="0"/>
        <v>Turkey, Exports, in pound/ton</v>
      </c>
      <c r="AH6" s="7" t="str">
        <f t="shared" si="0"/>
        <v>Turkey, Bazaar (Local), in pound/ton</v>
      </c>
      <c r="AI6" s="7" t="str">
        <f t="shared" si="0"/>
        <v>Constantinople, Imports, in pound/ton</v>
      </c>
      <c r="AJ6" s="7" t="str">
        <f t="shared" si="0"/>
        <v>Constantinople, Exports, in pound/ton</v>
      </c>
      <c r="AK6" s="7" t="str">
        <f t="shared" si="0"/>
        <v>Constantinople, Bazaar (Local), in pound/ton</v>
      </c>
      <c r="AL6" s="7" t="str">
        <f t="shared" si="0"/>
        <v>Trebizond (Anatolia), Imports, in pound/ton</v>
      </c>
      <c r="AM6" s="7" t="str">
        <f t="shared" si="0"/>
        <v>Trebizond (Anatolia), Exports, in pound/ton</v>
      </c>
      <c r="AN6" s="7" t="str">
        <f t="shared" si="0"/>
        <v>Trebizond (Anatolia), Bazaar (Local), in pound/ton</v>
      </c>
      <c r="AO6" s="7" t="str">
        <f t="shared" ref="AO6:BT6" si="1">CONCATENATE(AO2,", ",AO4,", ","in ",AO5)</f>
        <v>Trebizond (Persia), Imports, in pound/ton</v>
      </c>
      <c r="AP6" s="7" t="str">
        <f t="shared" si="1"/>
        <v>Trebizond (Persia), Exports, in pound/ton</v>
      </c>
      <c r="AQ6" s="7" t="str">
        <f t="shared" si="1"/>
        <v>Trebizond (Persia), Bazaar (Local), in pound/ton</v>
      </c>
      <c r="AR6" s="7" t="str">
        <f t="shared" si="1"/>
        <v>Izmir, Imports, in pound/ton</v>
      </c>
      <c r="AS6" s="7" t="str">
        <f t="shared" si="1"/>
        <v>Izmir, Exports, in pound/ton</v>
      </c>
      <c r="AT6" s="7" t="str">
        <f t="shared" si="1"/>
        <v>Izmir, Bazaar (Local), in pound/ton</v>
      </c>
      <c r="AU6" s="7" t="str">
        <f t="shared" si="1"/>
        <v>Alexandretta, Imports, in pound/ton</v>
      </c>
      <c r="AV6" s="7" t="str">
        <f t="shared" si="1"/>
        <v>Alexandretta, Exports, in pound/ton</v>
      </c>
      <c r="AW6" s="7" t="str">
        <f t="shared" si="1"/>
        <v>Alexandretta, Bazaar (Local), in pound/ton</v>
      </c>
      <c r="AX6" s="7" t="str">
        <f t="shared" si="1"/>
        <v>Ispahan, Imports, in pound/ton</v>
      </c>
      <c r="AY6" s="7" t="str">
        <f t="shared" si="1"/>
        <v>Ispahan, Exports, in pound/ton</v>
      </c>
      <c r="AZ6" s="7" t="str">
        <f t="shared" si="1"/>
        <v>Ispahan, Bazaar (Local), in pound/ton</v>
      </c>
      <c r="BA6" s="7" t="str">
        <f t="shared" si="1"/>
        <v>Yezd, Imports, in pound/ton</v>
      </c>
      <c r="BB6" s="7" t="str">
        <f t="shared" si="1"/>
        <v>Yezd, Exports, in pound/ton</v>
      </c>
      <c r="BC6" s="7" t="str">
        <f t="shared" si="1"/>
        <v>Yezd, Bazaar (Local), in pound/ton</v>
      </c>
      <c r="BD6" s="7" t="str">
        <f t="shared" si="1"/>
        <v>Khorasan, Imports, in pound/ton</v>
      </c>
      <c r="BE6" s="7" t="str">
        <f t="shared" si="1"/>
        <v>Khorasan, Exports, in pound/ton</v>
      </c>
      <c r="BF6" s="7" t="str">
        <f t="shared" si="1"/>
        <v>Khorasan, Bazaar (Local), in pound/ton</v>
      </c>
      <c r="BG6" s="7" t="str">
        <f t="shared" si="1"/>
        <v>Kermanshah, Imports, in pound/ton</v>
      </c>
      <c r="BH6" s="7" t="str">
        <f t="shared" si="1"/>
        <v>Kermanshah, Exports, in pound/ton</v>
      </c>
      <c r="BI6" s="7" t="str">
        <f t="shared" si="1"/>
        <v>Kermanshah, Bazaar (Local), in pound/ton</v>
      </c>
      <c r="BJ6" s="7" t="str">
        <f t="shared" si="1"/>
        <v>Kerman, Imports, in pound/ton</v>
      </c>
      <c r="BK6" s="7" t="str">
        <f t="shared" si="1"/>
        <v>Kerman, Exports, in pound/ton</v>
      </c>
      <c r="BL6" s="7" t="str">
        <f t="shared" si="1"/>
        <v>Kerman, Bazaar (Local), in pound/ton</v>
      </c>
      <c r="BM6" s="7" t="str">
        <f t="shared" si="1"/>
        <v>Bam, Imports, in pound/ton</v>
      </c>
      <c r="BN6" s="7" t="str">
        <f t="shared" si="1"/>
        <v>Bam, Exports, in pound/ton</v>
      </c>
      <c r="BO6" s="7" t="str">
        <f t="shared" si="1"/>
        <v>Bam, Bazaar (Local), in pound/ton</v>
      </c>
      <c r="BP6" s="7" t="str">
        <f t="shared" si="1"/>
        <v>Resht, Imports, in pound/ton</v>
      </c>
      <c r="BQ6" s="7" t="str">
        <f t="shared" si="1"/>
        <v>Resht, Exports, in pound/ton</v>
      </c>
      <c r="BR6" s="7" t="str">
        <f t="shared" si="1"/>
        <v>Resht, Bazaar (Local), in pound/ton</v>
      </c>
      <c r="BS6" s="7" t="str">
        <f t="shared" si="1"/>
        <v>Mazandaran, Imports, in pound/ton</v>
      </c>
      <c r="BT6" s="7" t="str">
        <f t="shared" si="1"/>
        <v>Mazandaran, Exports, in pound/ton</v>
      </c>
      <c r="BU6" s="7" t="str">
        <f t="shared" ref="BU6:CV6" si="2">CONCATENATE(BU2,", ",BU4,", ","in ",BU5)</f>
        <v>Mazandaran, Bazaar (Local), in pound/ton</v>
      </c>
      <c r="BV6" s="7" t="str">
        <f t="shared" si="2"/>
        <v>Ghilan &amp; Tunekabun, Imports, in pound/ton</v>
      </c>
      <c r="BW6" s="7" t="str">
        <f t="shared" si="2"/>
        <v>Ghilan &amp; Tunekabun, Exports, in pound/ton</v>
      </c>
      <c r="BX6" s="7" t="str">
        <f t="shared" si="2"/>
        <v>Ghilan &amp; Tunekabun, Bazaar (Local), in pound/ton</v>
      </c>
      <c r="BY6" s="7" t="str">
        <f t="shared" si="2"/>
        <v>Bender Gez &amp; Astarabad, Imports, in pound/ton</v>
      </c>
      <c r="BZ6" s="7" t="str">
        <f t="shared" si="2"/>
        <v>Bender Gez &amp; Astarabad, Exports, in pound/ton</v>
      </c>
      <c r="CA6" s="7" t="str">
        <f t="shared" si="2"/>
        <v>Bender Gez &amp; Astarabad, Bazaar (Local), in pound/ton</v>
      </c>
      <c r="CB6" s="7" t="str">
        <f t="shared" si="2"/>
        <v>Astara, Imports, in pound/ton</v>
      </c>
      <c r="CC6" s="7" t="str">
        <f t="shared" si="2"/>
        <v>Astara, Exports, in pound/ton</v>
      </c>
      <c r="CD6" s="7" t="str">
        <f t="shared" si="2"/>
        <v>Astara, Bazaar (Local), in pound/ton</v>
      </c>
      <c r="CE6" s="7" t="str">
        <f t="shared" si="2"/>
        <v>Sultanabad, Imports, in pound/ton</v>
      </c>
      <c r="CF6" s="7" t="str">
        <f t="shared" si="2"/>
        <v>Sultanabad, Exports, in pound/ton</v>
      </c>
      <c r="CG6" s="7" t="str">
        <f t="shared" si="2"/>
        <v>Sultanabad, Bazaar (Local), in pound/ton</v>
      </c>
      <c r="CH6" s="7" t="str">
        <f t="shared" si="2"/>
        <v>Bahrain, Imports, in pound/ton</v>
      </c>
      <c r="CI6" s="7" t="str">
        <f t="shared" si="2"/>
        <v>Bahrain, Exports, in pound/ton</v>
      </c>
      <c r="CJ6" s="7" t="str">
        <f t="shared" si="2"/>
        <v>Bahrain, Bazaar (Local), in pound/ton</v>
      </c>
      <c r="CK6" s="7" t="str">
        <f t="shared" si="2"/>
        <v>Muscat, Imports, in pound/ton</v>
      </c>
      <c r="CL6" s="7" t="str">
        <f t="shared" si="2"/>
        <v>Muscat, Exports, in pound/ton</v>
      </c>
      <c r="CM6" s="7" t="str">
        <f t="shared" si="2"/>
        <v>Muscat, Bazaar (Local), in pound/ton</v>
      </c>
      <c r="CN6" s="7" t="str">
        <f t="shared" si="2"/>
        <v>Mohammerah, Imports, in pound/ton</v>
      </c>
      <c r="CO6" s="7" t="str">
        <f t="shared" si="2"/>
        <v>Mohammerah, Exports, in pound/ton</v>
      </c>
      <c r="CP6" s="7" t="str">
        <f t="shared" si="2"/>
        <v>Mohammerah, Bazaar (Local), in pound/ton</v>
      </c>
      <c r="CQ6" s="7" t="str">
        <f t="shared" si="2"/>
        <v>Lingah, Imports, in pound/ton</v>
      </c>
      <c r="CR6" s="7" t="str">
        <f t="shared" si="2"/>
        <v>Lingah, Exports, in pound/ton</v>
      </c>
      <c r="CS6" s="7" t="str">
        <f t="shared" si="2"/>
        <v>Lingah, Bazaar (Local), in pound/ton</v>
      </c>
      <c r="CT6" s="7" t="str">
        <f t="shared" si="2"/>
        <v>Shiraz, Imports, in pound/ton</v>
      </c>
      <c r="CU6" s="7" t="str">
        <f t="shared" si="2"/>
        <v>Shiraz, Exports, in pound/ton</v>
      </c>
      <c r="CV6" s="7" t="str">
        <f t="shared" si="2"/>
        <v>Shiraz, Bazaar (Local), in pound/ton</v>
      </c>
      <c r="CW6" s="7" t="str">
        <f t="shared" ref="CW6:CX6" si="3">CONCATENATE(CW2,", ",CW4,", ","in ",CW5)</f>
        <v>India, Imports, in pound/ton</v>
      </c>
      <c r="CX6" s="7" t="str">
        <f t="shared" si="3"/>
        <v>India, Exports, in pound/ton</v>
      </c>
    </row>
    <row r="7" spans="1:102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</row>
    <row r="8" spans="1:102" x14ac:dyDescent="0.25">
      <c r="A8" s="8">
        <f t="shared" ref="A8:A39" si="4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</row>
    <row r="9" spans="1:102" x14ac:dyDescent="0.25">
      <c r="A9" s="8">
        <f t="shared" si="4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</row>
    <row r="10" spans="1:102" x14ac:dyDescent="0.25">
      <c r="A10" s="8">
        <f t="shared" si="4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X10" s="1">
        <v>28.196617412227337</v>
      </c>
    </row>
    <row r="11" spans="1:102" x14ac:dyDescent="0.25">
      <c r="A11" s="8">
        <f t="shared" si="4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X11" s="1">
        <v>27.949604045363685</v>
      </c>
    </row>
    <row r="12" spans="1:102" x14ac:dyDescent="0.25">
      <c r="A12" s="8">
        <f t="shared" si="4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X12" s="1">
        <v>28.005627009646297</v>
      </c>
    </row>
    <row r="13" spans="1:102" x14ac:dyDescent="0.25">
      <c r="A13" s="8">
        <f t="shared" si="4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X13" s="1">
        <v>27.914146122106828</v>
      </c>
    </row>
    <row r="14" spans="1:102" x14ac:dyDescent="0.25">
      <c r="A14" s="8">
        <f t="shared" si="4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X14" s="1">
        <v>23.732744878117664</v>
      </c>
    </row>
    <row r="15" spans="1:102" x14ac:dyDescent="0.25">
      <c r="A15" s="8">
        <f t="shared" si="4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X15" s="1">
        <v>19.662374894991448</v>
      </c>
    </row>
    <row r="16" spans="1:102" x14ac:dyDescent="0.25">
      <c r="A16" s="8">
        <f t="shared" si="4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X16" s="1">
        <v>18.737862913154306</v>
      </c>
    </row>
    <row r="17" spans="1:102" x14ac:dyDescent="0.25">
      <c r="A17" s="8">
        <f t="shared" si="4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X17" s="1">
        <v>19.821616733292771</v>
      </c>
    </row>
    <row r="18" spans="1:102" x14ac:dyDescent="0.25">
      <c r="A18" s="8">
        <f t="shared" si="4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X18" s="1">
        <v>22.501270965499252</v>
      </c>
    </row>
    <row r="19" spans="1:102" x14ac:dyDescent="0.25">
      <c r="A19" s="8">
        <f t="shared" si="4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X19" s="1">
        <v>17.98013346948234</v>
      </c>
    </row>
    <row r="20" spans="1:102" x14ac:dyDescent="0.25">
      <c r="A20" s="8">
        <f t="shared" si="4"/>
        <v>1853</v>
      </c>
      <c r="C20" s="1"/>
      <c r="D20" s="1">
        <v>33.6535865308445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X20" s="1">
        <v>21.376287259928738</v>
      </c>
    </row>
    <row r="21" spans="1:102" x14ac:dyDescent="0.25">
      <c r="A21" s="8">
        <f t="shared" si="4"/>
        <v>1854</v>
      </c>
      <c r="C21" s="1">
        <v>21.104955859972229</v>
      </c>
      <c r="D21" s="1">
        <v>34.897354142193883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X21" s="1">
        <v>19.11753715129921</v>
      </c>
    </row>
    <row r="22" spans="1:102" x14ac:dyDescent="0.25">
      <c r="A22" s="8">
        <f t="shared" si="4"/>
        <v>1855</v>
      </c>
      <c r="C22" s="1">
        <v>26.328953884371025</v>
      </c>
      <c r="D22" s="1">
        <v>45.53952735808209</v>
      </c>
      <c r="E22" s="1">
        <f>34.04/20*20</f>
        <v>34.04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X22" s="1">
        <v>16.888977565286346</v>
      </c>
    </row>
    <row r="23" spans="1:102" x14ac:dyDescent="0.25">
      <c r="A23" s="8">
        <f t="shared" si="4"/>
        <v>1856</v>
      </c>
      <c r="C23" s="1">
        <v>29.453520313764297</v>
      </c>
      <c r="D23" s="1">
        <v>51.373613247842833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X23" s="1">
        <v>22.301065384114015</v>
      </c>
    </row>
    <row r="24" spans="1:102" x14ac:dyDescent="0.25">
      <c r="A24" s="8">
        <f t="shared" si="4"/>
        <v>1857</v>
      </c>
      <c r="C24" s="1">
        <v>35.142920205904254</v>
      </c>
      <c r="D24" s="1">
        <v>59.356588500375537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X24" s="1">
        <v>31.882522594942198</v>
      </c>
    </row>
    <row r="25" spans="1:102" x14ac:dyDescent="0.25">
      <c r="A25" s="8">
        <f t="shared" si="4"/>
        <v>1858</v>
      </c>
      <c r="C25" s="1">
        <v>27.350254073003097</v>
      </c>
      <c r="D25" s="1">
        <v>56.965582272512961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"/>
      <c r="S25" s="3">
        <f>2240*0.0253121043211853</f>
        <v>56.699113679455067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X25" s="1">
        <v>28.284278048144603</v>
      </c>
    </row>
    <row r="26" spans="1:102" x14ac:dyDescent="0.25">
      <c r="A26" s="8">
        <f t="shared" si="4"/>
        <v>1859</v>
      </c>
      <c r="C26" s="1">
        <v>25.913653876928002</v>
      </c>
      <c r="D26" s="1">
        <v>57.016567218907291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X26" s="1">
        <v>25.767236790649164</v>
      </c>
    </row>
    <row r="27" spans="1:102" x14ac:dyDescent="0.25">
      <c r="A27" s="8">
        <f t="shared" si="4"/>
        <v>1860</v>
      </c>
      <c r="C27" s="1">
        <v>26.851512093813092</v>
      </c>
      <c r="D27" s="1">
        <v>55.663936167701422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X27" s="1">
        <v>23.860326866255317</v>
      </c>
    </row>
    <row r="28" spans="1:102" x14ac:dyDescent="0.25">
      <c r="A28" s="8">
        <f t="shared" si="4"/>
        <v>1861</v>
      </c>
      <c r="C28" s="1">
        <v>23.39193059602929</v>
      </c>
      <c r="D28" s="1">
        <v>49.239794153565953</v>
      </c>
      <c r="E28" s="1"/>
      <c r="F28" s="1"/>
      <c r="G28" s="1"/>
      <c r="H28" s="1"/>
      <c r="I28" s="1"/>
      <c r="J28" s="1">
        <f>2240*0.0269345238095238</f>
        <v>60.333333333333314</v>
      </c>
      <c r="K28" s="1"/>
      <c r="L28" s="1"/>
      <c r="M28" s="1"/>
      <c r="N28" s="1"/>
      <c r="O28" s="1"/>
      <c r="P28" s="1"/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X28" s="1">
        <v>22.334998533501341</v>
      </c>
    </row>
    <row r="29" spans="1:102" x14ac:dyDescent="0.25">
      <c r="A29" s="8">
        <f t="shared" si="4"/>
        <v>1862</v>
      </c>
      <c r="C29" s="1">
        <v>22.114922708393635</v>
      </c>
      <c r="D29" s="1">
        <v>49.797805224184685</v>
      </c>
      <c r="E29" s="1"/>
      <c r="F29" s="1"/>
      <c r="G29" s="1"/>
      <c r="H29" s="1"/>
      <c r="I29" s="1"/>
      <c r="J29" s="1">
        <f>2240*0.0302083333333333</f>
        <v>67.666666666666586</v>
      </c>
      <c r="K29" s="1"/>
      <c r="L29" s="1"/>
      <c r="M29" s="1"/>
      <c r="N29" s="1"/>
      <c r="O29" s="1"/>
      <c r="P29" s="1"/>
      <c r="Q29" s="1"/>
      <c r="R29" s="3"/>
      <c r="S29" s="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X29" s="1">
        <v>23.349400093421391</v>
      </c>
    </row>
    <row r="30" spans="1:102" x14ac:dyDescent="0.25">
      <c r="A30" s="8">
        <f t="shared" si="4"/>
        <v>1863</v>
      </c>
      <c r="C30" s="1">
        <v>21.502575126425217</v>
      </c>
      <c r="D30" s="1">
        <v>36.229260610495885</v>
      </c>
      <c r="E30" s="1"/>
      <c r="F30" s="1"/>
      <c r="G30" s="1"/>
      <c r="H30" s="1"/>
      <c r="I30" s="1"/>
      <c r="J30" s="1">
        <f>2240*0.0303571428571429</f>
        <v>68.000000000000099</v>
      </c>
      <c r="K30" s="1"/>
      <c r="L30" s="1"/>
      <c r="M30" s="1"/>
      <c r="N30" s="1"/>
      <c r="O30" s="1"/>
      <c r="P30" s="1"/>
      <c r="Q30" s="1"/>
      <c r="R30" s="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X30" s="1">
        <v>22.574260504475529</v>
      </c>
    </row>
    <row r="31" spans="1:102" x14ac:dyDescent="0.25">
      <c r="A31" s="8">
        <f t="shared" si="4"/>
        <v>1864</v>
      </c>
      <c r="C31" s="1">
        <v>26.787322423557942</v>
      </c>
      <c r="D31" s="1">
        <v>33.426332471920446</v>
      </c>
      <c r="E31" s="1"/>
      <c r="F31" s="1"/>
      <c r="G31" s="1"/>
      <c r="H31" s="1"/>
      <c r="I31" s="1"/>
      <c r="J31" s="1">
        <f>2240*0.0224404761904762</f>
        <v>50.266666666666694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>
        <v>42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X31" s="1">
        <v>23.249419284638325</v>
      </c>
    </row>
    <row r="32" spans="1:102" x14ac:dyDescent="0.25">
      <c r="A32" s="8">
        <f t="shared" si="4"/>
        <v>1865</v>
      </c>
      <c r="C32" s="1">
        <v>22.05</v>
      </c>
      <c r="D32" s="1">
        <v>30.24</v>
      </c>
      <c r="E32" s="1"/>
      <c r="F32" s="1"/>
      <c r="G32" s="1"/>
      <c r="H32" s="1"/>
      <c r="I32" s="1"/>
      <c r="J32" s="1">
        <f>2240*0.0255059523809524</f>
        <v>57.133333333333375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>
        <v>40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X32" s="1">
        <v>25.31142643472451</v>
      </c>
    </row>
    <row r="33" spans="1:102" x14ac:dyDescent="0.25">
      <c r="A33" s="8">
        <f t="shared" si="4"/>
        <v>1866</v>
      </c>
      <c r="C33" s="1">
        <v>20.29</v>
      </c>
      <c r="D33" s="1">
        <v>30.05</v>
      </c>
      <c r="E33" s="1"/>
      <c r="F33" s="1"/>
      <c r="G33" s="1"/>
      <c r="H33" s="1"/>
      <c r="I33" s="1"/>
      <c r="J33" s="3">
        <f>2240*0.0220982142857143</f>
        <v>49.500000000000036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>
        <v>40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X33" s="1">
        <v>23.968114517250367</v>
      </c>
    </row>
    <row r="34" spans="1:102" x14ac:dyDescent="0.25">
      <c r="A34" s="8">
        <f t="shared" si="4"/>
        <v>1867</v>
      </c>
      <c r="C34" s="1">
        <v>21.8</v>
      </c>
      <c r="D34" s="1">
        <v>30.84</v>
      </c>
      <c r="E34" s="1">
        <f>2240*0.00315648703921331</f>
        <v>7.0705309678378141</v>
      </c>
      <c r="F34" s="1"/>
      <c r="G34" s="1"/>
      <c r="H34" s="1"/>
      <c r="I34" s="1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X34" s="1">
        <v>22.619271829104019</v>
      </c>
    </row>
    <row r="35" spans="1:102" x14ac:dyDescent="0.25">
      <c r="A35" s="8">
        <f t="shared" si="4"/>
        <v>1868</v>
      </c>
      <c r="C35" s="1">
        <v>22.62</v>
      </c>
      <c r="D35" s="1">
        <v>34.630000000000003</v>
      </c>
      <c r="E35" s="1"/>
      <c r="F35" s="1"/>
      <c r="G35" s="1"/>
      <c r="H35" s="1"/>
      <c r="I35" s="1"/>
      <c r="J35" s="3">
        <f>2240*0.025</f>
        <v>56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>
        <v>40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W35" s="1">
        <v>24.723766192500221</v>
      </c>
      <c r="CX35" s="1">
        <v>21.576160163378809</v>
      </c>
    </row>
    <row r="36" spans="1:102" x14ac:dyDescent="0.25">
      <c r="A36" s="8">
        <f t="shared" si="4"/>
        <v>1869</v>
      </c>
      <c r="C36" s="1">
        <v>24.54</v>
      </c>
      <c r="D36" s="1">
        <v>36.14</v>
      </c>
      <c r="E36" s="1">
        <f>2240*0.033179506648635</f>
        <v>74.322094892942388</v>
      </c>
      <c r="F36" s="1"/>
      <c r="G36" s="1"/>
      <c r="H36" s="1"/>
      <c r="I36" s="1"/>
      <c r="J36" s="1">
        <f>2240*0.0225</f>
        <v>50.4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>
        <v>42.857142857142854</v>
      </c>
      <c r="AM36" s="1"/>
      <c r="AN36" s="1"/>
      <c r="AO36" s="1">
        <v>42.857142857142854</v>
      </c>
      <c r="AP36" s="1"/>
      <c r="AQ36" s="1"/>
      <c r="AR36" s="1">
        <v>48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W36" s="1">
        <v>24.852838008688462</v>
      </c>
      <c r="CX36" s="1">
        <v>22.828430019260598</v>
      </c>
    </row>
    <row r="37" spans="1:102" x14ac:dyDescent="0.25">
      <c r="A37" s="8">
        <f t="shared" si="4"/>
        <v>1870</v>
      </c>
      <c r="C37" s="1">
        <v>22.57</v>
      </c>
      <c r="D37" s="1">
        <v>32.25</v>
      </c>
      <c r="E37" s="1">
        <f>2240*0.00401186438943774</f>
        <v>8.9865762323405374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>
        <v>42.857142857142854</v>
      </c>
      <c r="AM37" s="1"/>
      <c r="AN37" s="1"/>
      <c r="AO37" s="1">
        <v>42.857142857142854</v>
      </c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W37" s="1">
        <v>28.227400490682861</v>
      </c>
      <c r="CX37" s="1">
        <v>21.859108675750942</v>
      </c>
    </row>
    <row r="38" spans="1:102" x14ac:dyDescent="0.25">
      <c r="A38" s="8">
        <f t="shared" si="4"/>
        <v>1871</v>
      </c>
      <c r="C38" s="1">
        <v>25.1</v>
      </c>
      <c r="D38" s="1">
        <v>31.85</v>
      </c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>
        <f>20*2.11614583333333</f>
        <v>42.3229166666666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>
        <v>42.857142857142854</v>
      </c>
      <c r="AM38" s="1"/>
      <c r="AN38" s="1"/>
      <c r="AO38" s="1">
        <v>42.857142857142854</v>
      </c>
      <c r="AP38" s="1"/>
      <c r="AQ38" s="1"/>
      <c r="AR38" s="1">
        <v>56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W38" s="1">
        <v>29.143223000977518</v>
      </c>
      <c r="CX38" s="1">
        <v>20.935006250036015</v>
      </c>
    </row>
    <row r="39" spans="1:102" x14ac:dyDescent="0.25">
      <c r="A39" s="8">
        <f t="shared" si="4"/>
        <v>1872</v>
      </c>
      <c r="C39" s="1">
        <v>26.2</v>
      </c>
      <c r="D39" s="1">
        <v>32.08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>
        <f>20*2.00572916666667</f>
        <v>40.1145833333334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>
        <v>42.857142857142854</v>
      </c>
      <c r="AM39" s="1"/>
      <c r="AN39" s="1"/>
      <c r="AO39" s="1">
        <v>42.857142857142854</v>
      </c>
      <c r="AP39" s="1"/>
      <c r="AQ39" s="1"/>
      <c r="AR39" s="1">
        <v>48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W39" s="1">
        <v>27.68417542250851</v>
      </c>
      <c r="CX39" s="1">
        <v>19.625016861734178</v>
      </c>
    </row>
    <row r="40" spans="1:102" x14ac:dyDescent="0.25">
      <c r="A40" s="8">
        <f t="shared" ref="A40:A71" si="5">A39+1</f>
        <v>1873</v>
      </c>
      <c r="C40" s="1">
        <v>23.96</v>
      </c>
      <c r="D40" s="1">
        <v>30.02</v>
      </c>
      <c r="F40" s="1"/>
      <c r="G40" s="1"/>
      <c r="H40" s="3"/>
      <c r="I40" s="1"/>
      <c r="J40" s="1">
        <f>2240*0.00895833333333333</f>
        <v>20.066666666666659</v>
      </c>
      <c r="K40" s="1"/>
      <c r="L40" s="1"/>
      <c r="M40" s="1"/>
      <c r="N40" s="1"/>
      <c r="O40" s="1"/>
      <c r="P40" s="1"/>
      <c r="Q40" s="1"/>
      <c r="R40" s="3"/>
      <c r="S40" s="1"/>
      <c r="T40" s="1"/>
      <c r="U40" s="1"/>
      <c r="V40" s="1"/>
      <c r="W40" s="1">
        <f>20*1.81666666666667</f>
        <v>36.3333333333334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>
        <v>42.857142857142854</v>
      </c>
      <c r="AM40" s="1"/>
      <c r="AN40" s="1"/>
      <c r="AO40" s="1">
        <v>42.857142857142854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W40" s="1">
        <v>29.836883915333306</v>
      </c>
      <c r="CX40" s="1">
        <v>22.684614563761073</v>
      </c>
    </row>
    <row r="41" spans="1:102" x14ac:dyDescent="0.25">
      <c r="A41" s="8">
        <f t="shared" si="5"/>
        <v>1874</v>
      </c>
      <c r="C41" s="1">
        <v>22.42</v>
      </c>
      <c r="D41" s="1">
        <v>26.5</v>
      </c>
      <c r="E41" s="1">
        <f>2240*0.00246970969404502</f>
        <v>5.5321497146608447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f>2240*0.0165419769206338</f>
        <v>37.054028302219706</v>
      </c>
      <c r="R41" s="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>
        <v>42.857142857142854</v>
      </c>
      <c r="AM41" s="1"/>
      <c r="AN41" s="1"/>
      <c r="AO41" s="1">
        <v>42.857142857142854</v>
      </c>
      <c r="AP41" s="1"/>
      <c r="AQ41" s="1"/>
      <c r="AR41" s="1">
        <v>43</v>
      </c>
      <c r="AS41" s="1"/>
      <c r="AT41" s="10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Q41" s="1"/>
      <c r="BR41" s="3"/>
      <c r="BS41" s="3"/>
      <c r="BT41" s="3"/>
      <c r="BU41" s="3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>
        <f>20*1.14933660933661</f>
        <v>22.986732186732198</v>
      </c>
      <c r="CL41" s="1">
        <f>20*0.940677284427284</f>
        <v>18.81354568854568</v>
      </c>
      <c r="CM41" s="1"/>
      <c r="CN41" s="1"/>
      <c r="CO41" s="1"/>
      <c r="CP41" s="1"/>
      <c r="CQ41" s="1"/>
      <c r="CR41" s="1"/>
      <c r="CS41" s="1"/>
      <c r="CW41" s="1">
        <v>28.115808261410574</v>
      </c>
      <c r="CX41" s="1">
        <v>20.467272784683193</v>
      </c>
    </row>
    <row r="42" spans="1:102" x14ac:dyDescent="0.25">
      <c r="A42" s="8">
        <f t="shared" si="5"/>
        <v>1875</v>
      </c>
      <c r="C42" s="1">
        <v>21.16</v>
      </c>
      <c r="D42" s="1">
        <v>23.64</v>
      </c>
      <c r="E42" s="1">
        <f>2240*0.00169163413175498</f>
        <v>3.7892604551311551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>
        <f>2240*0.017710703550896</f>
        <v>39.671975954007038</v>
      </c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>
        <v>42.857142857142854</v>
      </c>
      <c r="AM42" s="1"/>
      <c r="AN42" s="1"/>
      <c r="AO42" s="1">
        <v>42.857142857142854</v>
      </c>
      <c r="AP42" s="1"/>
      <c r="AQ42" s="1"/>
      <c r="AR42" s="1">
        <v>37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Q42" s="1"/>
      <c r="BR42" s="1"/>
      <c r="BS42" s="1"/>
      <c r="BT42" s="1"/>
      <c r="BU42" s="1"/>
      <c r="BV42" s="1"/>
      <c r="BW42" s="1"/>
      <c r="BX42" s="3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>
        <f>20*1.10098563193418</f>
        <v>22.0197126386836</v>
      </c>
      <c r="CL42" s="1">
        <f>20*1.10098563193418</f>
        <v>22.0197126386836</v>
      </c>
      <c r="CM42" s="1"/>
      <c r="CN42" s="1"/>
      <c r="CO42" s="1"/>
      <c r="CP42" s="1"/>
      <c r="CQ42" s="1"/>
      <c r="CR42" s="1"/>
      <c r="CS42" s="1"/>
      <c r="CW42" s="1">
        <v>31.22040225230969</v>
      </c>
      <c r="CX42" s="1">
        <v>16.981560026828127</v>
      </c>
    </row>
    <row r="43" spans="1:102" x14ac:dyDescent="0.25">
      <c r="A43" s="8">
        <f t="shared" si="5"/>
        <v>1876</v>
      </c>
      <c r="C43" s="1">
        <v>20.92</v>
      </c>
      <c r="D43" s="1">
        <v>22.88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f>2240*0.0218802516055979</f>
        <v>49.011763596539296</v>
      </c>
      <c r="R43" s="3"/>
      <c r="S43" s="1"/>
      <c r="T43" s="1"/>
      <c r="U43" s="1"/>
      <c r="V43" s="1"/>
      <c r="W43" s="1">
        <v>39.599734975446253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>
        <v>50</v>
      </c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Q43" s="1"/>
      <c r="BR43" s="1"/>
      <c r="BS43" s="1"/>
      <c r="BT43" s="1"/>
      <c r="BU43" s="1"/>
      <c r="BV43" s="1"/>
      <c r="BW43" s="1"/>
      <c r="BX43" s="3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>
        <f>20*1.14630518229937</f>
        <v>22.9261036459874</v>
      </c>
      <c r="CL43" s="1">
        <f>20*1.02113392676094</f>
        <v>20.4226785352188</v>
      </c>
      <c r="CM43" s="1"/>
      <c r="CN43" s="1"/>
      <c r="CO43" s="1"/>
      <c r="CP43" s="1"/>
      <c r="CQ43" s="1"/>
      <c r="CR43" s="1"/>
      <c r="CS43" s="1"/>
      <c r="CW43" s="1">
        <v>27.572537244143422</v>
      </c>
      <c r="CX43" s="1">
        <v>16.311295907533946</v>
      </c>
    </row>
    <row r="44" spans="1:102" x14ac:dyDescent="0.25">
      <c r="A44" s="8">
        <f t="shared" si="5"/>
        <v>1877</v>
      </c>
      <c r="C44" s="1">
        <v>25.73</v>
      </c>
      <c r="D44" s="1">
        <v>27.56</v>
      </c>
      <c r="E44" s="1">
        <f>2240*0.00285844266451443</f>
        <v>6.4029115685123239</v>
      </c>
      <c r="F44" s="1">
        <f>2240*0.00284852516708042</f>
        <v>6.3806963742601406</v>
      </c>
      <c r="H44" s="1"/>
      <c r="I44" s="1"/>
      <c r="J44" s="1"/>
      <c r="K44" s="1"/>
      <c r="L44" s="1"/>
      <c r="M44" s="1"/>
      <c r="N44" s="1"/>
      <c r="O44" s="1"/>
      <c r="P44" s="1"/>
      <c r="Q44" s="3">
        <f>2240*0.0204501627312151</f>
        <v>45.808364517921824</v>
      </c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>
        <v>50</v>
      </c>
      <c r="AM44" s="1"/>
      <c r="AN44" s="1"/>
      <c r="AO44" s="1">
        <v>50</v>
      </c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>
        <f>20*1.16716575728232</f>
        <v>23.3433151456464</v>
      </c>
      <c r="CL44" s="1">
        <f>20*1.06105977934756</f>
        <v>21.2211955869512</v>
      </c>
      <c r="CM44" s="1"/>
      <c r="CN44" s="1"/>
      <c r="CO44" s="1"/>
      <c r="CP44" s="1"/>
      <c r="CQ44" s="1"/>
      <c r="CR44" s="1"/>
      <c r="CS44" s="1"/>
      <c r="CW44" s="1">
        <v>32.918562926412207</v>
      </c>
      <c r="CX44" s="1">
        <v>18.371442674301239</v>
      </c>
    </row>
    <row r="45" spans="1:102" x14ac:dyDescent="0.25">
      <c r="A45" s="8">
        <f t="shared" si="5"/>
        <v>1878</v>
      </c>
      <c r="C45" s="1">
        <v>21.47</v>
      </c>
      <c r="D45" s="1">
        <v>23.11</v>
      </c>
      <c r="E45" s="1">
        <f>2240*0.0146467289987667</f>
        <v>32.808672957237413</v>
      </c>
      <c r="F45" s="1">
        <f>2240*0.0146492447583978</f>
        <v>32.814308258811074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>
        <v>50</v>
      </c>
      <c r="AM45" s="1"/>
      <c r="AN45" s="1"/>
      <c r="AO45" s="1">
        <v>50</v>
      </c>
      <c r="AP45" s="1"/>
      <c r="AQ45" s="1"/>
      <c r="AR45" s="1"/>
      <c r="AS45" s="1"/>
      <c r="AT45" s="1"/>
      <c r="AU45" s="1">
        <v>34.759036144578317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>
        <f>20*1.01750430379852</f>
        <v>20.350086075970403</v>
      </c>
      <c r="CL45" s="1">
        <f>20*1.01750430379852</f>
        <v>20.350086075970403</v>
      </c>
      <c r="CM45" s="1"/>
      <c r="CN45" s="1"/>
      <c r="CO45" s="1"/>
      <c r="CP45" s="1"/>
      <c r="CQ45" s="1"/>
      <c r="CR45" s="1"/>
      <c r="CS45" s="1"/>
      <c r="CW45" s="1">
        <v>29.313641206416875</v>
      </c>
      <c r="CX45" s="1">
        <v>17.701409686917525</v>
      </c>
    </row>
    <row r="46" spans="1:102" x14ac:dyDescent="0.25">
      <c r="A46" s="8">
        <f t="shared" si="5"/>
        <v>1879</v>
      </c>
      <c r="C46" s="1">
        <v>20.22</v>
      </c>
      <c r="D46" s="1">
        <v>21.67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3">
        <f>2240*0.0147336844940684</f>
        <v>33.003453266713215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>
        <v>50</v>
      </c>
      <c r="AM46" s="1"/>
      <c r="AN46" s="1"/>
      <c r="AO46" s="1">
        <v>50</v>
      </c>
      <c r="AP46" s="1"/>
      <c r="AQ46" s="1"/>
      <c r="AR46" s="1"/>
      <c r="AS46" s="1"/>
      <c r="AT46" s="1"/>
      <c r="AU46" s="1">
        <v>33.375999999999998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>
        <f>20*1.19698652912864</f>
        <v>23.9397305825728</v>
      </c>
      <c r="CL46" s="1">
        <f>20*1.09130663736773</f>
        <v>21.826132747354599</v>
      </c>
      <c r="CM46" s="1"/>
      <c r="CN46" s="1"/>
      <c r="CO46" s="1"/>
      <c r="CP46" s="1"/>
      <c r="CQ46" s="1"/>
      <c r="CR46" s="1"/>
      <c r="CS46" s="1"/>
      <c r="CW46" s="1">
        <v>27.734262334416552</v>
      </c>
      <c r="CX46" s="1">
        <v>18.371792195638442</v>
      </c>
    </row>
    <row r="47" spans="1:102" x14ac:dyDescent="0.25">
      <c r="A47" s="8">
        <f t="shared" si="5"/>
        <v>1880</v>
      </c>
      <c r="C47" s="1">
        <v>21.71</v>
      </c>
      <c r="D47" s="1">
        <v>23.34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f>2240*0.0156842447840083</f>
        <v>35.132708316178594</v>
      </c>
      <c r="R47" s="3"/>
      <c r="S47" s="3">
        <f>2240*0.0163633805712713</f>
        <v>36.653972479647713</v>
      </c>
      <c r="T47" s="1"/>
      <c r="U47" s="1"/>
      <c r="V47" s="1"/>
      <c r="W47" s="1">
        <f>20*1.76385035934514</f>
        <v>35.2770071869028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>
        <v>50</v>
      </c>
      <c r="AM47" s="1"/>
      <c r="AN47" s="1"/>
      <c r="AO47" s="1">
        <v>50</v>
      </c>
      <c r="AP47" s="1"/>
      <c r="AQ47" s="1"/>
      <c r="AR47" s="1"/>
      <c r="AS47" s="1"/>
      <c r="AT47" s="1"/>
      <c r="AU47" s="1">
        <v>27.620137299771166</v>
      </c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>
        <f>20*1.1970429931476</f>
        <v>23.940859862952003</v>
      </c>
      <c r="CL47" s="1">
        <f>20*1.82061887795007</f>
        <v>36.412377559001399</v>
      </c>
      <c r="CM47" s="1"/>
      <c r="CN47" s="1"/>
      <c r="CO47" s="1"/>
      <c r="CP47" s="1"/>
      <c r="CQ47" s="1"/>
      <c r="CR47" s="1"/>
      <c r="CS47" s="1"/>
      <c r="CW47" s="1">
        <v>30.344136332356499</v>
      </c>
      <c r="CX47" s="1">
        <v>21.258362383306121</v>
      </c>
    </row>
    <row r="48" spans="1:102" x14ac:dyDescent="0.25">
      <c r="A48" s="8">
        <f t="shared" si="5"/>
        <v>1881</v>
      </c>
      <c r="C48" s="1">
        <v>21.72</v>
      </c>
      <c r="D48" s="1">
        <v>23.65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f>2240*0.016337754983342</f>
        <v>36.596571162686082</v>
      </c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>
        <v>50</v>
      </c>
      <c r="AM48" s="1"/>
      <c r="AN48" s="1"/>
      <c r="AO48" s="1"/>
      <c r="AP48" s="1"/>
      <c r="AQ48" s="1"/>
      <c r="AR48" s="1"/>
      <c r="AS48" s="1"/>
      <c r="AT48" s="1"/>
      <c r="AU48" s="1">
        <v>28.552447552447553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>
        <f>20*1.22291407737549</f>
        <v>24.458281547509802</v>
      </c>
      <c r="CL48" s="1">
        <f>20*1.801018913953</f>
        <v>36.020378279059997</v>
      </c>
      <c r="CM48" s="1"/>
      <c r="CN48" s="1"/>
      <c r="CO48" s="1"/>
      <c r="CP48" s="1"/>
      <c r="CQ48" s="1"/>
      <c r="CR48" s="1"/>
      <c r="CS48" s="1"/>
      <c r="CW48" s="1">
        <v>28.381573817976104</v>
      </c>
      <c r="CX48" s="1">
        <v>19.204822171303324</v>
      </c>
    </row>
    <row r="49" spans="1:102" x14ac:dyDescent="0.25">
      <c r="A49" s="8">
        <f t="shared" si="5"/>
        <v>1882</v>
      </c>
      <c r="C49" s="1">
        <v>21.11</v>
      </c>
      <c r="D49" s="1">
        <v>23.3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f>2240*0.0138563104583359</f>
        <v>31.038135426672419</v>
      </c>
      <c r="R49" s="3"/>
      <c r="S49" s="1"/>
      <c r="T49" s="1">
        <v>40.641999999999996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>
        <v>50</v>
      </c>
      <c r="AM49" s="1"/>
      <c r="AN49" s="1"/>
      <c r="AO49" s="1"/>
      <c r="AP49" s="1"/>
      <c r="AQ49" s="1"/>
      <c r="AR49" s="1">
        <v>31.333333333333336</v>
      </c>
      <c r="AS49" s="1"/>
      <c r="AT49" s="1"/>
      <c r="AU49" s="1">
        <v>32.971014492753625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>
        <f>20*1.16228341813581</f>
        <v>23.245668362716199</v>
      </c>
      <c r="CL49" s="1">
        <f>20*0.999356188986414</f>
        <v>19.987123779728279</v>
      </c>
      <c r="CM49" s="1"/>
      <c r="CN49" s="1"/>
      <c r="CO49" s="1"/>
      <c r="CP49" s="1"/>
      <c r="CQ49" s="1"/>
      <c r="CR49" s="1"/>
      <c r="CS49" s="1"/>
      <c r="CW49" s="1">
        <v>27.770660597264904</v>
      </c>
      <c r="CX49" s="1">
        <v>18.374495188767387</v>
      </c>
    </row>
    <row r="50" spans="1:102" x14ac:dyDescent="0.25">
      <c r="A50" s="8">
        <f t="shared" si="5"/>
        <v>1883</v>
      </c>
      <c r="C50" s="1">
        <v>20.100000000000001</v>
      </c>
      <c r="D50" s="1">
        <v>21.4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f>2240*0.014775600344492</f>
        <v>33.09734477166208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>
        <v>33.583333333333336</v>
      </c>
      <c r="AM50" s="1"/>
      <c r="AN50" s="1"/>
      <c r="AO50" s="1">
        <v>34.25</v>
      </c>
      <c r="AP50" s="1"/>
      <c r="AQ50" s="1"/>
      <c r="AR50" s="1">
        <v>31.000000000000004</v>
      </c>
      <c r="AS50" s="1"/>
      <c r="AT50" s="1"/>
      <c r="AU50" s="1">
        <v>34.048657718120808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>
        <f>20*1.14340383771739</f>
        <v>22.868076754347801</v>
      </c>
      <c r="CL50" s="1">
        <f>20*1.63631790618197</f>
        <v>32.7263581236394</v>
      </c>
      <c r="CM50" s="1"/>
      <c r="CN50" s="1"/>
      <c r="CO50" s="1"/>
      <c r="CP50" s="1"/>
      <c r="CQ50" s="1"/>
      <c r="CR50" s="1"/>
      <c r="CS50" s="1"/>
      <c r="CW50" s="1">
        <v>26.530906556271816</v>
      </c>
      <c r="CX50" s="1">
        <v>17.267128990482966</v>
      </c>
    </row>
    <row r="51" spans="1:102" x14ac:dyDescent="0.25">
      <c r="A51" s="8">
        <f t="shared" si="5"/>
        <v>1884</v>
      </c>
      <c r="C51" s="1">
        <v>15.51</v>
      </c>
      <c r="D51" s="1">
        <v>17.170000000000002</v>
      </c>
      <c r="F51" s="1"/>
      <c r="G51" s="1"/>
      <c r="H51" s="1"/>
      <c r="I51" s="1"/>
      <c r="J51" s="1"/>
      <c r="K51" s="3">
        <f>0.0181818181818182*2240</f>
        <v>40.727272727272762</v>
      </c>
      <c r="L51" s="3"/>
      <c r="M51" s="3"/>
      <c r="N51" s="3"/>
      <c r="O51" s="3"/>
      <c r="P51" s="3"/>
      <c r="Q51" s="1">
        <f>2240*0.0116766895910356</f>
        <v>26.155784683919741</v>
      </c>
      <c r="R51" s="1"/>
      <c r="S51" s="1"/>
      <c r="T51" s="1"/>
      <c r="U51" s="1"/>
      <c r="V51" s="1"/>
      <c r="W51" s="1"/>
      <c r="X51" s="3"/>
      <c r="Y51" s="3"/>
      <c r="Z51" s="1"/>
      <c r="AA51" s="1"/>
      <c r="AB51" s="1"/>
      <c r="AC51" s="1"/>
      <c r="AD51" s="1"/>
      <c r="AE51" s="1"/>
      <c r="AF51" s="3"/>
      <c r="AG51" s="1"/>
      <c r="AH51" s="3"/>
      <c r="AI51" s="1"/>
      <c r="AJ51" s="1"/>
      <c r="AK51" s="1"/>
      <c r="AL51" s="1">
        <v>26</v>
      </c>
      <c r="AM51" s="1"/>
      <c r="AN51" s="3"/>
      <c r="AO51" s="3">
        <v>26.666666666666664</v>
      </c>
      <c r="AP51" s="3"/>
      <c r="AQ51" s="3"/>
      <c r="AR51" s="1">
        <v>19.733333333333331</v>
      </c>
      <c r="AS51" s="1"/>
      <c r="AT51" s="1"/>
      <c r="AU51" s="1"/>
      <c r="AV51" s="1"/>
      <c r="AW51" s="3"/>
      <c r="AX51" s="3"/>
      <c r="AY51" s="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3"/>
      <c r="BK51" s="3"/>
      <c r="BL51" s="1"/>
      <c r="BM51" s="3"/>
      <c r="BN51" s="1"/>
      <c r="BO51" s="3"/>
      <c r="BQ51" s="3"/>
      <c r="BR51" s="1"/>
      <c r="BS51" s="1"/>
      <c r="BT51" s="1"/>
      <c r="BU51" s="1"/>
      <c r="BV51" s="1"/>
      <c r="BW51" s="3"/>
      <c r="BX51" s="1"/>
      <c r="BY51" s="3"/>
      <c r="BZ51" s="1"/>
      <c r="CA51" s="3"/>
      <c r="CB51" s="3"/>
      <c r="CC51" s="1"/>
      <c r="CD51" s="3"/>
      <c r="CE51" s="3"/>
      <c r="CF51" s="1"/>
      <c r="CG51" s="3"/>
      <c r="CH51" s="1"/>
      <c r="CI51" s="1"/>
      <c r="CJ51" s="1"/>
      <c r="CK51" s="1">
        <f>20*1.14333123316242</f>
        <v>22.866624663248398</v>
      </c>
      <c r="CL51" s="3">
        <f>20*0.764876643788101</f>
        <v>15.297532875762021</v>
      </c>
      <c r="CM51" s="3"/>
      <c r="CN51" s="3"/>
      <c r="CO51" s="1"/>
      <c r="CP51" s="3"/>
      <c r="CQ51" s="1"/>
      <c r="CR51" s="3"/>
      <c r="CS51" s="3"/>
      <c r="CW51" s="1">
        <v>25.412926284157294</v>
      </c>
      <c r="CX51" s="1">
        <v>16.321697242109604</v>
      </c>
    </row>
    <row r="52" spans="1:102" x14ac:dyDescent="0.25">
      <c r="A52" s="8">
        <f t="shared" si="5"/>
        <v>1885</v>
      </c>
      <c r="C52" s="1">
        <v>13.89</v>
      </c>
      <c r="D52" s="1">
        <v>15.33</v>
      </c>
      <c r="F52" s="1"/>
      <c r="G52" s="1"/>
      <c r="H52" s="1"/>
      <c r="I52" s="1"/>
      <c r="J52" s="1"/>
      <c r="K52" s="1"/>
      <c r="L52" s="1"/>
      <c r="M52" s="1"/>
      <c r="N52" s="1">
        <v>19.944038315830326</v>
      </c>
      <c r="O52" s="1">
        <v>13.172974312493501</v>
      </c>
      <c r="P52" s="1"/>
      <c r="Q52" s="1">
        <f>2240*0.0142857142857143</f>
        <v>32.000000000000028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>
        <f>(AVERAGE(0.00959891521552955,0.0126981191133369))*2240</f>
        <v>24.972678448330424</v>
      </c>
      <c r="AJ52" s="1"/>
      <c r="AK52" s="1"/>
      <c r="AL52" s="1">
        <v>23.62954630671166</v>
      </c>
      <c r="AM52" s="1"/>
      <c r="AN52" s="1"/>
      <c r="AO52" s="1">
        <v>24.663951120162935</v>
      </c>
      <c r="AP52" s="1"/>
      <c r="AQ52" s="1"/>
      <c r="AR52" s="1">
        <v>18.000000000000004</v>
      </c>
      <c r="AS52" s="10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>
        <f>20*0.770523584634819</f>
        <v>15.41047169269638</v>
      </c>
      <c r="CL52" s="1">
        <f>20*0.752057877813505</f>
        <v>15.0411575562701</v>
      </c>
      <c r="CM52" s="1"/>
      <c r="CN52" s="1"/>
      <c r="CO52" s="1"/>
      <c r="CP52" s="1"/>
      <c r="CQ52" s="1"/>
      <c r="CR52" s="1"/>
      <c r="CS52" s="1"/>
      <c r="CW52" s="1">
        <v>19.351075139529438</v>
      </c>
      <c r="CX52" s="1">
        <v>13.844958314745501</v>
      </c>
    </row>
    <row r="53" spans="1:102" x14ac:dyDescent="0.25">
      <c r="A53" s="8">
        <f t="shared" si="5"/>
        <v>1886</v>
      </c>
      <c r="C53" s="1">
        <v>13.07</v>
      </c>
      <c r="D53" s="1">
        <v>14.23</v>
      </c>
      <c r="F53" s="1"/>
      <c r="G53" s="1"/>
      <c r="H53" s="1"/>
      <c r="I53" s="1"/>
      <c r="J53" s="1"/>
      <c r="K53" s="1"/>
      <c r="L53" s="1"/>
      <c r="M53" s="1"/>
      <c r="N53" s="1">
        <v>19.867353735308726</v>
      </c>
      <c r="O53" s="1">
        <v>12.032882723655129</v>
      </c>
      <c r="P53" s="1"/>
      <c r="Q53" s="1">
        <f>2240*0.00918367346938776</f>
        <v>20.57142857142858</v>
      </c>
      <c r="R53" s="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J53" s="1"/>
      <c r="AK53" s="1"/>
      <c r="AL53" s="1">
        <v>21.537463509568603</v>
      </c>
      <c r="AM53" s="1"/>
      <c r="AN53" s="1"/>
      <c r="AO53" s="1">
        <v>24.847612597358619</v>
      </c>
      <c r="AP53" s="1"/>
      <c r="AQ53" s="1"/>
      <c r="AR53" s="1">
        <v>24.242424242424242</v>
      </c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>
        <f>20*0.750756692223203</f>
        <v>15.01513384446406</v>
      </c>
      <c r="CL53" s="1">
        <f>20*0.713674614985909</f>
        <v>14.27349229971818</v>
      </c>
      <c r="CM53" s="1"/>
      <c r="CN53" s="1"/>
      <c r="CO53" s="1"/>
      <c r="CP53" s="1"/>
      <c r="CQ53" s="1"/>
      <c r="CR53" s="1"/>
      <c r="CS53" s="1"/>
      <c r="CW53" s="1">
        <v>18.77296048332342</v>
      </c>
      <c r="CX53" s="1">
        <v>14.579778664710719</v>
      </c>
    </row>
    <row r="54" spans="1:102" x14ac:dyDescent="0.25">
      <c r="A54" s="8">
        <f t="shared" si="5"/>
        <v>1887</v>
      </c>
      <c r="C54" s="1">
        <v>12.16</v>
      </c>
      <c r="D54" s="1">
        <v>13.19</v>
      </c>
      <c r="E54" s="1">
        <f>2240*0.0114770577105014</f>
        <v>25.708609271523134</v>
      </c>
      <c r="F54" s="1"/>
      <c r="G54" s="1"/>
      <c r="H54" s="1"/>
      <c r="I54" s="1"/>
      <c r="J54" s="1"/>
      <c r="K54" s="1"/>
      <c r="L54" s="1"/>
      <c r="M54" s="1"/>
      <c r="N54" s="1">
        <v>17.764804379256915</v>
      </c>
      <c r="O54" s="1">
        <v>11.156106782812158</v>
      </c>
      <c r="P54" s="1"/>
      <c r="Q54" s="1">
        <f>2240*0.0107621173469388</f>
        <v>24.107142857142914</v>
      </c>
      <c r="R54" s="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>
        <f>(AVERAGE(0.00899894715875139,0.0099200685127034))*2240</f>
        <v>21.189297552029366</v>
      </c>
      <c r="AJ54" s="1"/>
      <c r="AK54" s="1"/>
      <c r="AL54" s="1">
        <v>19.99768223432611</v>
      </c>
      <c r="AM54" s="1"/>
      <c r="AN54" s="1"/>
      <c r="AO54" s="1">
        <v>20</v>
      </c>
      <c r="AP54" s="1"/>
      <c r="AQ54" s="1"/>
      <c r="AR54" s="1"/>
      <c r="AS54" s="1"/>
      <c r="AT54" s="1"/>
      <c r="AU54" s="1">
        <v>32.914117647058823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>
        <f>20*0.727749006142437</f>
        <v>14.55498012284874</v>
      </c>
      <c r="CL54" s="1">
        <f>20*0.692048111501488</f>
        <v>13.84096223002976</v>
      </c>
      <c r="CM54" s="1"/>
      <c r="CN54" s="1"/>
      <c r="CO54" s="1"/>
      <c r="CP54" s="1"/>
      <c r="CQ54" s="1">
        <f>20*1.0858</f>
        <v>21.716000000000001</v>
      </c>
      <c r="CS54" s="1"/>
      <c r="CT54" s="1">
        <f>20*1.12289762127769</f>
        <v>22.457952425553799</v>
      </c>
      <c r="CW54" s="1">
        <v>17.5147789403986</v>
      </c>
      <c r="CX54" s="1">
        <v>13.754509856475238</v>
      </c>
    </row>
    <row r="55" spans="1:102" x14ac:dyDescent="0.25">
      <c r="A55" s="8">
        <f t="shared" si="5"/>
        <v>1888</v>
      </c>
      <c r="C55" s="1">
        <v>13.445</v>
      </c>
      <c r="D55" s="1">
        <v>15.05</v>
      </c>
      <c r="E55" s="1">
        <f>2240*0.0138391683257579</f>
        <v>30.999737049697696</v>
      </c>
      <c r="F55" s="1"/>
      <c r="G55" s="1"/>
      <c r="H55" s="1"/>
      <c r="I55" s="3"/>
      <c r="J55" s="1"/>
      <c r="K55" s="1"/>
      <c r="L55" s="1"/>
      <c r="M55" s="1"/>
      <c r="N55" s="1">
        <v>19.380984590096954</v>
      </c>
      <c r="O55" s="1">
        <v>12.977666242574502</v>
      </c>
      <c r="P55" s="1"/>
      <c r="Q55" s="1">
        <f>2240*0.00970496894409938</f>
        <v>21.739130434782609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>
        <v>19.41562793191261</v>
      </c>
      <c r="AM55" s="1"/>
      <c r="AN55" s="1"/>
      <c r="AO55" s="1">
        <v>20.804988662131517</v>
      </c>
      <c r="AP55" s="1"/>
      <c r="AQ55" s="1"/>
      <c r="AR55" s="1">
        <v>34.666616907996215</v>
      </c>
      <c r="AS55" s="1"/>
      <c r="AT55" s="1"/>
      <c r="AU55" s="1">
        <v>32.292704626334519</v>
      </c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3"/>
      <c r="BG55" s="1"/>
      <c r="BH55" s="1"/>
      <c r="BI55" s="1"/>
      <c r="BJ55" s="1"/>
      <c r="BK55" s="1"/>
      <c r="BL55" s="1"/>
      <c r="BM55" s="1"/>
      <c r="BN55" s="1"/>
      <c r="BO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>
        <f>20*0.973333333333333</f>
        <v>19.466666666666661</v>
      </c>
      <c r="CJ55" s="1"/>
      <c r="CK55" s="1">
        <f>20*0.702285509600622</f>
        <v>14.045710192012439</v>
      </c>
      <c r="CL55" s="1">
        <f>20*0.66397902725877</f>
        <v>13.279580545175399</v>
      </c>
      <c r="CM55" s="1"/>
      <c r="CN55" s="1"/>
      <c r="CO55" s="1"/>
      <c r="CP55" s="1"/>
      <c r="CQ55" s="1">
        <f>20*0.933460076045627</f>
        <v>18.669201520912541</v>
      </c>
      <c r="CS55" s="1"/>
      <c r="CT55" s="1">
        <f>20*1.16660763566238</f>
        <v>23.332152713247602</v>
      </c>
      <c r="CW55" s="1">
        <v>16.767139319320258</v>
      </c>
      <c r="CX55" s="1">
        <v>12.202365298967639</v>
      </c>
    </row>
    <row r="56" spans="1:102" x14ac:dyDescent="0.25">
      <c r="A56" s="8">
        <f t="shared" si="5"/>
        <v>1889</v>
      </c>
      <c r="C56" s="1">
        <v>15.465</v>
      </c>
      <c r="D56" s="1">
        <v>16.14</v>
      </c>
      <c r="E56" s="1">
        <f>2240*0.0142996651785714</f>
        <v>32.031249999999936</v>
      </c>
      <c r="F56" s="1"/>
      <c r="G56" s="1"/>
      <c r="H56" s="1"/>
      <c r="I56" s="3"/>
      <c r="J56" s="1"/>
      <c r="K56" s="1"/>
      <c r="L56" s="1"/>
      <c r="M56" s="1"/>
      <c r="N56" s="1">
        <v>19.053879364947644</v>
      </c>
      <c r="O56" s="1">
        <v>15.32598604560105</v>
      </c>
      <c r="P56" s="1"/>
      <c r="Q56" s="1">
        <f>2240*0.00892857142857143</f>
        <v>20.000000000000004</v>
      </c>
      <c r="R56" s="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>
        <v>19.249399956360463</v>
      </c>
      <c r="AM56" s="1"/>
      <c r="AN56" s="1"/>
      <c r="AO56" s="1">
        <v>20</v>
      </c>
      <c r="AP56" s="1"/>
      <c r="AQ56" s="1"/>
      <c r="AR56" s="1">
        <v>34.666143062844355</v>
      </c>
      <c r="AS56" s="1"/>
      <c r="AT56" s="1"/>
      <c r="AU56" s="1">
        <v>30.461267605633807</v>
      </c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>
        <f>2240*0.0163125</f>
        <v>36.54</v>
      </c>
      <c r="BH56" s="1"/>
      <c r="BI56" s="1"/>
      <c r="BJ56" s="1"/>
      <c r="BK56" s="1"/>
      <c r="BL56" s="1"/>
      <c r="BM56" s="1"/>
      <c r="BN56" s="1"/>
      <c r="BO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>
        <f>20*1.05621301775148</f>
        <v>21.124260355029598</v>
      </c>
      <c r="CJ56" s="1"/>
      <c r="CK56" s="1">
        <f>20*0.714741726767359</f>
        <v>14.294834535347182</v>
      </c>
      <c r="CL56" s="1">
        <f>20*0.826344161111042</f>
        <v>16.526883222220839</v>
      </c>
      <c r="CM56" s="1"/>
      <c r="CN56" s="1"/>
      <c r="CO56" s="1"/>
      <c r="CP56" s="1"/>
      <c r="CQ56" s="1">
        <f>20*1.2308</f>
        <v>24.616</v>
      </c>
      <c r="CS56" s="1"/>
      <c r="CT56" s="1">
        <f>20*1.72895884676707</f>
        <v>34.579176935341401</v>
      </c>
      <c r="CW56" s="1">
        <v>16.785209102519335</v>
      </c>
      <c r="CX56" s="1">
        <v>14.122962432552697</v>
      </c>
    </row>
    <row r="57" spans="1:102" x14ac:dyDescent="0.25">
      <c r="A57" s="8">
        <f t="shared" si="5"/>
        <v>1890</v>
      </c>
      <c r="C57" s="1">
        <v>12.79</v>
      </c>
      <c r="D57" s="1">
        <v>14.26</v>
      </c>
      <c r="E57" s="1">
        <f>2240*0.0102674247474811</f>
        <v>22.999031434357665</v>
      </c>
      <c r="F57" s="1"/>
      <c r="G57" s="1"/>
      <c r="H57" s="1"/>
      <c r="I57" s="3"/>
      <c r="J57" s="1"/>
      <c r="K57" s="1"/>
      <c r="L57" s="1"/>
      <c r="M57" s="1"/>
      <c r="N57" s="1">
        <v>19.277698651014685</v>
      </c>
      <c r="O57" s="1">
        <v>12.813999691556822</v>
      </c>
      <c r="P57" s="1"/>
      <c r="Q57" s="1">
        <f>2240*0.00892857142857143</f>
        <v>20.000000000000004</v>
      </c>
      <c r="R57" s="1"/>
      <c r="S57" s="1"/>
      <c r="T57" s="1">
        <v>23.534469200524249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>
        <v>18.043596730245234</v>
      </c>
      <c r="AM57" s="1"/>
      <c r="AN57" s="1"/>
      <c r="AO57" s="1">
        <v>18.799911758217515</v>
      </c>
      <c r="AP57" s="1"/>
      <c r="AQ57" s="1"/>
      <c r="AR57" s="1">
        <v>34.666666666666671</v>
      </c>
      <c r="AS57" s="1"/>
      <c r="AT57" s="1"/>
      <c r="AU57" s="1">
        <v>20.011997600479884</v>
      </c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J57" s="1"/>
      <c r="CK57" s="1">
        <f>20*0.997852140470603</f>
        <v>19.957042809412059</v>
      </c>
      <c r="CL57" s="1">
        <f>20*0.808800983459343</f>
        <v>16.176019669186861</v>
      </c>
      <c r="CM57" s="1"/>
      <c r="CN57" s="1">
        <f>20*0.911428571428571</f>
        <v>18.228571428571421</v>
      </c>
      <c r="CO57" s="1"/>
      <c r="CP57" s="1"/>
      <c r="CQ57" s="1">
        <f>20*1.07685714285714</f>
        <v>21.537142857142801</v>
      </c>
      <c r="CS57" s="1"/>
      <c r="CT57" s="1">
        <f>20*1.18099918099918</f>
        <v>23.6199836199836</v>
      </c>
      <c r="CW57" s="1">
        <v>20.393994595642464</v>
      </c>
      <c r="CX57" s="1">
        <v>18.132216432493781</v>
      </c>
    </row>
    <row r="58" spans="1:102" x14ac:dyDescent="0.25">
      <c r="A58" s="8">
        <f t="shared" si="5"/>
        <v>1891</v>
      </c>
      <c r="C58" s="1">
        <v>12.995000000000001</v>
      </c>
      <c r="D58" s="1">
        <v>14.39</v>
      </c>
      <c r="E58" s="1">
        <f>2240*0.0142887707072559</f>
        <v>32.006846384253215</v>
      </c>
      <c r="F58" s="1"/>
      <c r="G58" s="1"/>
      <c r="H58" s="1">
        <f>2240*0.00850258815671631</f>
        <v>19.045797471044533</v>
      </c>
      <c r="I58" s="3"/>
      <c r="J58" s="1"/>
      <c r="K58" s="1"/>
      <c r="L58" s="1"/>
      <c r="M58" s="1"/>
      <c r="N58" s="1">
        <v>18.184306346950031</v>
      </c>
      <c r="O58" s="1">
        <v>12.470987300120646</v>
      </c>
      <c r="P58" s="1"/>
      <c r="Q58" s="1">
        <f>2240*0.00898580586080586</f>
        <v>20.128205128205128</v>
      </c>
      <c r="R58" s="1"/>
      <c r="S58" s="1"/>
      <c r="T58" s="1">
        <v>24.070588235294117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>
        <v>19.200755191944619</v>
      </c>
      <c r="AM58" s="1"/>
      <c r="AN58" s="1"/>
      <c r="AO58" s="1">
        <v>20</v>
      </c>
      <c r="AP58" s="1"/>
      <c r="AQ58" s="1"/>
      <c r="AR58" s="1">
        <v>34.666610971292513</v>
      </c>
      <c r="AS58" s="1"/>
      <c r="AT58" s="1"/>
      <c r="AU58" s="1">
        <v>20.101010101010083</v>
      </c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>
        <f>2240*0.0100404416488208</f>
        <v>22.490589293358592</v>
      </c>
      <c r="BQ58" s="1"/>
      <c r="BR58" s="3"/>
      <c r="BS58" s="3"/>
      <c r="BT58" s="3"/>
      <c r="BU58" s="3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H58" s="1">
        <f>20*1.14285714285714</f>
        <v>22.857142857142797</v>
      </c>
      <c r="CI58" s="1">
        <f>20*1.14266666666667</f>
        <v>22.853333333333403</v>
      </c>
      <c r="CJ58" s="1"/>
      <c r="CK58" s="1">
        <f>20*0.791797595889236</f>
        <v>15.835951917784721</v>
      </c>
      <c r="CL58" s="1">
        <f>20*0.8723193853017</f>
        <v>17.446387706033999</v>
      </c>
      <c r="CM58" s="1"/>
      <c r="CN58" s="1">
        <f>20*0.716255112861688</f>
        <v>14.325102257233759</v>
      </c>
      <c r="CO58" s="1"/>
      <c r="CP58" s="1"/>
      <c r="CQ58" s="1">
        <f>20*0.964333333333333</f>
        <v>19.286666666666662</v>
      </c>
      <c r="CS58" s="1"/>
      <c r="CT58" s="1">
        <f>20*0.833415233415233</f>
        <v>16.668304668304661</v>
      </c>
      <c r="CW58" s="1">
        <v>16.532026244842267</v>
      </c>
      <c r="CX58" s="1">
        <v>14.005353096691174</v>
      </c>
    </row>
    <row r="59" spans="1:102" x14ac:dyDescent="0.25">
      <c r="A59" s="8">
        <f t="shared" si="5"/>
        <v>1892</v>
      </c>
      <c r="C59" s="1">
        <v>13.145</v>
      </c>
      <c r="D59" s="1">
        <v>15.17</v>
      </c>
      <c r="E59" s="1">
        <f>2240*0.0133928571428571</f>
        <v>29.999999999999904</v>
      </c>
      <c r="F59" s="1"/>
      <c r="G59" s="1"/>
      <c r="H59" s="1">
        <f>2240*0.00892857142857143</f>
        <v>20.000000000000004</v>
      </c>
      <c r="I59" s="3"/>
      <c r="J59" s="1"/>
      <c r="K59" s="1"/>
      <c r="L59" s="1"/>
      <c r="M59" s="1"/>
      <c r="N59" s="1">
        <v>18.060488320648407</v>
      </c>
      <c r="O59" s="1">
        <v>12.941768100250453</v>
      </c>
      <c r="P59" s="1"/>
      <c r="Q59" s="1">
        <f>2240*0.00909391534391534</f>
        <v>20.370370370370363</v>
      </c>
      <c r="R59" s="1"/>
      <c r="S59" s="1"/>
      <c r="T59" s="1">
        <v>24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>
        <v>20</v>
      </c>
      <c r="AM59" s="1"/>
      <c r="AN59" s="1"/>
      <c r="AO59" s="1">
        <v>20</v>
      </c>
      <c r="AP59" s="1"/>
      <c r="AQ59" s="1"/>
      <c r="AR59" s="1">
        <v>34.666167859835276</v>
      </c>
      <c r="AS59" s="1"/>
      <c r="AT59" s="1"/>
      <c r="AU59" s="1">
        <v>19.999999999999982</v>
      </c>
      <c r="AV59" s="1"/>
      <c r="AW59" s="1"/>
      <c r="AX59" s="1"/>
      <c r="AY59" s="1"/>
      <c r="AZ59" s="3">
        <f>2240*0.0169891458235017</f>
        <v>38.055686644643814</v>
      </c>
      <c r="BA59" s="3"/>
      <c r="BB59" s="3"/>
      <c r="BC59" s="3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>
        <f>2240*0.0142464635473341</f>
        <v>31.912078346028387</v>
      </c>
      <c r="BQ59" s="1"/>
      <c r="BR59" s="3"/>
      <c r="BS59" s="3"/>
      <c r="BT59" s="3"/>
      <c r="BU59" s="3"/>
      <c r="BV59" s="1"/>
      <c r="BW59" s="1"/>
      <c r="BX59" s="1"/>
      <c r="BY59" s="3">
        <f>2240*0.0109722222222222</f>
        <v>24.577777777777726</v>
      </c>
      <c r="CA59" s="1"/>
      <c r="CB59" s="1"/>
      <c r="CC59" s="1"/>
      <c r="CD59" s="1"/>
      <c r="CE59" s="1"/>
      <c r="CF59" s="1"/>
      <c r="CH59" s="1">
        <f>20*1.12508250825083</f>
        <v>22.501650165016599</v>
      </c>
      <c r="CI59" s="1">
        <f>20*1.125</f>
        <v>22.5</v>
      </c>
      <c r="CJ59" s="1"/>
      <c r="CK59" s="1">
        <f>20*0.857168167658805</f>
        <v>17.143363353176099</v>
      </c>
      <c r="CL59" s="1">
        <f>20*0.769480068033123</f>
        <v>15.389601360662459</v>
      </c>
      <c r="CM59" s="1"/>
      <c r="CN59" s="1">
        <f>20*0.714719930525402</f>
        <v>14.29439861050804</v>
      </c>
      <c r="CO59" s="1"/>
      <c r="CP59" s="1"/>
      <c r="CQ59" s="1">
        <f>20*1.06247619047619</f>
        <v>21.249523809523797</v>
      </c>
      <c r="CS59" s="1"/>
      <c r="CT59" s="1">
        <f>20*0.843946666666667</f>
        <v>16.87893333333334</v>
      </c>
      <c r="CW59" s="1">
        <v>16.22481590821884</v>
      </c>
      <c r="CX59" s="1">
        <v>12.294539095809549</v>
      </c>
    </row>
    <row r="60" spans="1:102" x14ac:dyDescent="0.25">
      <c r="A60" s="8">
        <f t="shared" si="5"/>
        <v>1893</v>
      </c>
      <c r="C60" s="1">
        <v>14.29</v>
      </c>
      <c r="D60" s="1">
        <v>16.09</v>
      </c>
      <c r="E60" s="1"/>
      <c r="F60" s="1"/>
      <c r="G60" s="1"/>
      <c r="H60" s="1">
        <f>2240*0.00892857142857143</f>
        <v>20.000000000000004</v>
      </c>
      <c r="I60" s="3"/>
      <c r="J60" s="1"/>
      <c r="K60" s="1"/>
      <c r="L60" s="1"/>
      <c r="M60" s="1"/>
      <c r="N60" s="1">
        <v>19.254556155635321</v>
      </c>
      <c r="O60" s="1">
        <v>14.029586796951152</v>
      </c>
      <c r="P60" s="1"/>
      <c r="Q60" s="1">
        <f>2240*0.00803571428571428</f>
        <v>17.999999999999986</v>
      </c>
      <c r="R60" s="1"/>
      <c r="S60" s="1"/>
      <c r="T60" s="1">
        <v>21.333333333333332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>
        <v>18.937397931409908</v>
      </c>
      <c r="AM60" s="1"/>
      <c r="AN60" s="1"/>
      <c r="AO60" s="1">
        <v>20</v>
      </c>
      <c r="AP60" s="1"/>
      <c r="AQ60" s="1"/>
      <c r="AR60" s="1"/>
      <c r="AS60" s="1"/>
      <c r="AT60" s="1"/>
      <c r="AU60" s="1">
        <v>20.003617571059412</v>
      </c>
      <c r="AV60" s="1"/>
      <c r="AW60" s="1"/>
      <c r="AX60" s="1"/>
      <c r="AY60" s="1"/>
      <c r="AZ60" s="3">
        <f>2240*0.0180032733224223</f>
        <v>40.327332242225957</v>
      </c>
      <c r="BA60" s="3"/>
      <c r="BB60" s="3"/>
      <c r="BC60" s="3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>
        <f>2240*0.0138888888888889</f>
        <v>31.111111111111136</v>
      </c>
      <c r="BQ60" s="1"/>
      <c r="BR60" s="3"/>
      <c r="BS60" s="3"/>
      <c r="BT60" s="3"/>
      <c r="BU60" s="3"/>
      <c r="BV60" s="1"/>
      <c r="BW60" s="1"/>
      <c r="BX60" s="1"/>
      <c r="BY60" s="1"/>
      <c r="CA60" s="1"/>
      <c r="CB60" s="1"/>
      <c r="CC60" s="1"/>
      <c r="CD60" s="1"/>
      <c r="CE60" s="1"/>
      <c r="CF60" s="1"/>
      <c r="CH60" s="1">
        <f>20*1.10766666666667</f>
        <v>22.1533333333334</v>
      </c>
      <c r="CI60" s="1"/>
      <c r="CJ60" s="1"/>
      <c r="CK60" s="1">
        <f>20*0.655832602934433</f>
        <v>13.116652058688661</v>
      </c>
      <c r="CL60" s="1">
        <f>20*0.764446990858566</f>
        <v>15.288939817171322</v>
      </c>
      <c r="CM60" s="1"/>
      <c r="CN60" s="1">
        <f>20*0.596776901124727</f>
        <v>11.935538022494541</v>
      </c>
      <c r="CO60" s="1"/>
      <c r="CP60" s="1"/>
      <c r="CQ60" s="1">
        <f>20*1.10770833333333</f>
        <v>22.154166666666598</v>
      </c>
      <c r="CS60" s="1"/>
      <c r="CT60" s="1">
        <f>20*0.8448</f>
        <v>16.896000000000001</v>
      </c>
      <c r="CW60" s="1">
        <v>18.587318040504503</v>
      </c>
      <c r="CX60" s="1">
        <v>12.436674493358293</v>
      </c>
    </row>
    <row r="61" spans="1:102" x14ac:dyDescent="0.25">
      <c r="A61" s="8">
        <f t="shared" si="5"/>
        <v>1894</v>
      </c>
      <c r="C61" s="1">
        <v>11.715</v>
      </c>
      <c r="D61" s="1">
        <v>14.05</v>
      </c>
      <c r="F61" s="1"/>
      <c r="G61" s="1">
        <f>2240*0.00805431473214285</f>
        <v>18.041664999999984</v>
      </c>
      <c r="H61" s="1">
        <f>2240*0.00744028315697793</f>
        <v>16.666234271630561</v>
      </c>
      <c r="I61" s="3"/>
      <c r="J61" s="1"/>
      <c r="K61" s="1"/>
      <c r="L61" s="1"/>
      <c r="M61" s="1"/>
      <c r="N61" s="1">
        <v>14.858999191598164</v>
      </c>
      <c r="O61" s="1">
        <v>11.332664213895786</v>
      </c>
      <c r="P61" s="1"/>
      <c r="Q61" s="1">
        <f>2240*0.00714285714285714</f>
        <v>15.999999999999993</v>
      </c>
      <c r="R61" s="1"/>
      <c r="S61" s="1"/>
      <c r="T61" s="1">
        <v>17.054263565891471</v>
      </c>
      <c r="U61" s="1"/>
      <c r="V61" s="1"/>
      <c r="W61" s="1">
        <f>20*0.7315546443378</f>
        <v>14.631092886756001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>
        <v>16.775542200156782</v>
      </c>
      <c r="AM61" s="1"/>
      <c r="AN61" s="1"/>
      <c r="AO61" s="1">
        <v>16.888888888888889</v>
      </c>
      <c r="AP61" s="1"/>
      <c r="AQ61" s="1"/>
      <c r="AR61" s="1">
        <v>23.999918709100516</v>
      </c>
      <c r="AS61" s="1"/>
      <c r="AT61" s="1"/>
      <c r="AU61" s="1">
        <v>19.999999999999982</v>
      </c>
      <c r="AV61" s="1"/>
      <c r="AW61" s="1"/>
      <c r="AX61" s="1"/>
      <c r="AY61" s="1"/>
      <c r="BA61" s="1"/>
      <c r="BB61" s="1"/>
      <c r="BC61" s="1"/>
      <c r="BD61" s="1"/>
      <c r="BE61" s="1"/>
      <c r="BF61" s="1"/>
      <c r="BG61" s="1"/>
      <c r="BH61" s="1"/>
      <c r="BI61" s="1"/>
      <c r="BJ61" s="1">
        <f>2240*0.0107692307692308</f>
        <v>24.123076923076994</v>
      </c>
      <c r="BK61" s="1"/>
      <c r="BL61" s="1"/>
      <c r="BM61" s="1"/>
      <c r="BN61" s="1"/>
      <c r="BO61" s="1"/>
      <c r="BP61" s="1">
        <f>2240*0.0140855267989442</f>
        <v>31.551580029635009</v>
      </c>
      <c r="BQ61" s="1"/>
      <c r="BR61" s="1"/>
      <c r="BS61" s="1"/>
      <c r="BT61" s="1"/>
      <c r="BU61" s="1"/>
      <c r="BV61" s="1"/>
      <c r="BW61" s="1"/>
      <c r="BX61" s="1"/>
      <c r="BY61" s="1"/>
      <c r="CA61" s="1"/>
      <c r="CB61" s="1"/>
      <c r="CC61" s="1"/>
      <c r="CD61" s="1"/>
      <c r="CE61" s="1"/>
      <c r="CF61" s="1"/>
      <c r="CH61" s="1">
        <f>20*0.951384615384615</f>
        <v>19.027692307692302</v>
      </c>
      <c r="CI61" s="1">
        <f>20*0.716216216216216</f>
        <v>14.324324324324319</v>
      </c>
      <c r="CJ61" s="1"/>
      <c r="CK61" s="1">
        <f>20*0.645588079515612</f>
        <v>12.91176159031224</v>
      </c>
      <c r="CL61" s="1">
        <f>20*0.672206172640256</f>
        <v>13.444123452805119</v>
      </c>
      <c r="CM61" s="1"/>
      <c r="CN61" s="1">
        <f>20*0.563629273365397</f>
        <v>11.272585467307941</v>
      </c>
      <c r="CO61" s="1"/>
      <c r="CP61" s="1"/>
      <c r="CQ61" s="1">
        <f>20*0.8332</f>
        <v>16.664000000000001</v>
      </c>
      <c r="CS61" s="1"/>
      <c r="CT61" s="1">
        <f>20*0.782217142857143</f>
        <v>15.644342857142862</v>
      </c>
      <c r="CW61" s="1">
        <v>13.406381884338854</v>
      </c>
      <c r="CX61" s="1">
        <v>11.017185954817593</v>
      </c>
    </row>
    <row r="62" spans="1:102" x14ac:dyDescent="0.25">
      <c r="A62" s="8">
        <f t="shared" si="5"/>
        <v>1895</v>
      </c>
      <c r="C62" s="1">
        <v>9.754999999999999</v>
      </c>
      <c r="D62" s="1">
        <v>11.88</v>
      </c>
      <c r="F62" s="1"/>
      <c r="G62" s="1">
        <f>2240*0.0095612982183624</f>
        <v>21.417308009131776</v>
      </c>
      <c r="H62" s="1">
        <f>2240*0.00745523030920491</f>
        <v>16.699715892619</v>
      </c>
      <c r="I62" s="3"/>
      <c r="J62" s="1"/>
      <c r="K62" s="1"/>
      <c r="L62" s="1"/>
      <c r="M62" s="1"/>
      <c r="N62" s="1">
        <v>11.540299602036621</v>
      </c>
      <c r="O62" s="1">
        <v>8.7148797629066301</v>
      </c>
      <c r="P62" s="1"/>
      <c r="Q62" s="1">
        <f>2240*0.00683890577507599</f>
        <v>15.319148936170217</v>
      </c>
      <c r="R62" s="3"/>
      <c r="S62" s="1"/>
      <c r="T62" s="1"/>
      <c r="U62" s="1"/>
      <c r="V62" s="1"/>
      <c r="W62" s="1">
        <v>13.445378151260506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>
        <v>14.425962165688194</v>
      </c>
      <c r="AM62" s="1"/>
      <c r="AN62" s="1"/>
      <c r="AO62" s="1">
        <v>15.99809885931559</v>
      </c>
      <c r="AP62" s="1"/>
      <c r="AQ62" s="1"/>
      <c r="AR62" s="1"/>
      <c r="AS62" s="1"/>
      <c r="AT62" s="1"/>
      <c r="AU62" s="1">
        <v>19.999999999999982</v>
      </c>
      <c r="AV62" s="1"/>
      <c r="AW62" s="1"/>
      <c r="AX62" s="1"/>
      <c r="AY62" s="1"/>
      <c r="AZ62" s="3">
        <f>2240*0.0142307692307692</f>
        <v>31.876923076923006</v>
      </c>
      <c r="BA62" s="3"/>
      <c r="BB62" s="3"/>
      <c r="BC62" s="3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>
        <f>2240*0.00843501099642495</f>
        <v>18.894424631991885</v>
      </c>
      <c r="BQ62" s="1"/>
      <c r="BR62" s="1"/>
      <c r="BS62" s="1"/>
      <c r="BT62" s="1"/>
      <c r="BU62" s="1"/>
      <c r="BV62" s="1"/>
      <c r="BW62" s="1"/>
      <c r="BX62" s="1"/>
      <c r="BY62" s="1"/>
      <c r="CA62" s="1"/>
      <c r="CB62" s="1"/>
      <c r="CC62" s="1"/>
      <c r="CD62" s="1"/>
      <c r="CE62" s="1"/>
      <c r="CF62" s="1"/>
      <c r="CH62" s="1">
        <f>20*0.86600566572238</f>
        <v>17.3201133144476</v>
      </c>
      <c r="CI62" s="1">
        <f>20*0.971676300578035</f>
        <v>19.433526011560701</v>
      </c>
      <c r="CJ62" s="1"/>
      <c r="CK62" s="1">
        <f>20*0.673295059528982</f>
        <v>13.465901190579642</v>
      </c>
      <c r="CL62" s="1"/>
      <c r="CM62" s="1"/>
      <c r="CN62" s="1">
        <f>20*1.1892567145534</f>
        <v>23.785134291068001</v>
      </c>
      <c r="CO62" s="1"/>
      <c r="CP62" s="1"/>
      <c r="CQ62" s="1">
        <f>20*0.72225</f>
        <v>14.444999999999999</v>
      </c>
      <c r="CS62" s="1"/>
      <c r="CT62" s="1">
        <f>20*0.833333333333333</f>
        <v>16.666666666666661</v>
      </c>
      <c r="CW62" s="1">
        <v>12.48864810871536</v>
      </c>
      <c r="CX62" s="1">
        <v>8.7881702428286843</v>
      </c>
    </row>
    <row r="63" spans="1:102" x14ac:dyDescent="0.25">
      <c r="A63" s="8">
        <f t="shared" si="5"/>
        <v>1896</v>
      </c>
      <c r="C63" s="1">
        <v>10.594999999999999</v>
      </c>
      <c r="D63" s="1">
        <v>12.01</v>
      </c>
      <c r="F63" s="1"/>
      <c r="G63" s="1"/>
      <c r="H63" s="1">
        <f>2240*0.00744036222132263</f>
        <v>16.666411375762692</v>
      </c>
      <c r="I63" s="3"/>
      <c r="J63" s="1"/>
      <c r="K63" s="1"/>
      <c r="L63" s="1"/>
      <c r="M63" s="1"/>
      <c r="N63" s="1">
        <v>12.887469775949175</v>
      </c>
      <c r="O63" s="1">
        <v>10.561256703519332</v>
      </c>
      <c r="P63" s="1"/>
      <c r="Q63" s="1">
        <f>2240*0.00709325396825397</f>
        <v>15.888888888888893</v>
      </c>
      <c r="R63" s="3"/>
      <c r="S63" s="1"/>
      <c r="T63" s="1"/>
      <c r="U63" s="1"/>
      <c r="V63" s="1"/>
      <c r="W63" s="1">
        <v>13.088529358298491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>
        <v>14.048938134810712</v>
      </c>
      <c r="AM63" s="1"/>
      <c r="AN63" s="1"/>
      <c r="AO63" s="1">
        <v>16</v>
      </c>
      <c r="AP63" s="1"/>
      <c r="AQ63" s="1"/>
      <c r="AR63" s="1"/>
      <c r="AS63" s="1"/>
      <c r="AT63" s="1"/>
      <c r="AU63" s="1">
        <v>19.984381595609943</v>
      </c>
      <c r="AV63" s="1"/>
      <c r="AW63" s="1"/>
      <c r="AX63" s="1"/>
      <c r="AY63" s="1"/>
      <c r="AZ63" s="3">
        <f>2240*0.0153846153846154</f>
        <v>34.461538461538495</v>
      </c>
      <c r="BA63" s="3"/>
      <c r="BB63" s="3"/>
      <c r="BC63" s="3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CA63" s="1"/>
      <c r="CB63" s="1"/>
      <c r="CC63" s="1"/>
      <c r="CD63" s="1"/>
      <c r="CE63" s="1"/>
      <c r="CF63" s="1"/>
      <c r="CH63" s="1">
        <f>20*0.804415584415584</f>
        <v>16.088311688311681</v>
      </c>
      <c r="CI63" s="1">
        <f>20*0.88967803030303</f>
        <v>17.793560606060602</v>
      </c>
      <c r="CJ63" s="1"/>
      <c r="CK63" s="1">
        <f>20*0.695879380184042</f>
        <v>13.917587603680841</v>
      </c>
      <c r="CL63" s="1"/>
      <c r="CM63" s="1"/>
      <c r="CN63" s="1">
        <f>20*0.562414826928318</f>
        <v>11.248296538566361</v>
      </c>
      <c r="CO63" s="1"/>
      <c r="CP63" s="1"/>
      <c r="CQ63" s="1">
        <f>20*0.764666666666667</f>
        <v>15.29333333333334</v>
      </c>
      <c r="CS63" s="1"/>
      <c r="CT63" s="1">
        <f>20*0.627466666666667</f>
        <v>12.549333333333339</v>
      </c>
      <c r="CW63" s="1">
        <v>14.259756347350024</v>
      </c>
      <c r="CX63" s="1">
        <v>9.8089215031317831</v>
      </c>
    </row>
    <row r="64" spans="1:102" x14ac:dyDescent="0.25">
      <c r="A64" s="8">
        <f t="shared" si="5"/>
        <v>1897</v>
      </c>
      <c r="C64" s="1">
        <v>9.2850000000000001</v>
      </c>
      <c r="D64" s="1">
        <v>10.88</v>
      </c>
      <c r="E64" s="1">
        <f>2240*0.00892839694358133</f>
        <v>19.999609153622178</v>
      </c>
      <c r="F64" s="1"/>
      <c r="G64" s="1"/>
      <c r="H64" s="1">
        <f>2240*0.00744035644353501</f>
        <v>16.666398433518424</v>
      </c>
      <c r="I64" s="3"/>
      <c r="J64" s="1"/>
      <c r="K64" s="1"/>
      <c r="L64" s="1"/>
      <c r="M64" s="1"/>
      <c r="N64" s="1">
        <v>11.561926850166376</v>
      </c>
      <c r="O64" s="1">
        <v>8.8480444655200134</v>
      </c>
      <c r="P64" s="1"/>
      <c r="Q64" s="1">
        <f>2240*0.00628496009050343</f>
        <v>14.078310602727683</v>
      </c>
      <c r="R64" s="1"/>
      <c r="S64" s="1"/>
      <c r="T64" s="1"/>
      <c r="U64" s="1"/>
      <c r="V64" s="1"/>
      <c r="W64" s="1">
        <v>13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>
        <v>13.128413168981121</v>
      </c>
      <c r="AM64" s="1"/>
      <c r="AN64" s="1"/>
      <c r="AO64" s="1">
        <v>16.002906976744185</v>
      </c>
      <c r="AP64" s="1"/>
      <c r="AQ64" s="1"/>
      <c r="AR64" s="1"/>
      <c r="AS64" s="1"/>
      <c r="AT64" s="1"/>
      <c r="AU64" s="1">
        <v>20.015032211882588</v>
      </c>
      <c r="AV64" s="1"/>
      <c r="AW64" s="1"/>
      <c r="AX64" s="1"/>
      <c r="AY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3"/>
      <c r="BS64" s="3"/>
      <c r="BT64" s="3"/>
      <c r="BU64" s="3"/>
      <c r="BV64" s="1"/>
      <c r="BW64" s="1"/>
      <c r="BX64" s="1"/>
      <c r="BY64" s="1"/>
      <c r="CA64" s="1"/>
      <c r="CB64" s="1"/>
      <c r="CC64" s="1"/>
      <c r="CD64" s="1"/>
      <c r="CE64" s="1"/>
      <c r="CF64" s="1"/>
      <c r="CH64" s="1">
        <f>20*0.906341463414634</f>
        <v>18.126829268292678</v>
      </c>
      <c r="CI64" s="1">
        <f>20*0.944334975369458</f>
        <v>18.88669950738916</v>
      </c>
      <c r="CJ64" s="1"/>
      <c r="CK64" s="1">
        <f>20*0.653604354957852</f>
        <v>13.07208709915704</v>
      </c>
      <c r="CL64" s="1"/>
      <c r="CM64" s="1"/>
      <c r="CN64" s="1">
        <f>20*0.748529411764706</f>
        <v>14.97058823529412</v>
      </c>
      <c r="CO64" s="1"/>
      <c r="CP64" s="1"/>
      <c r="CQ64" s="1">
        <f>20*0.812444444444444</f>
        <v>16.248888888888878</v>
      </c>
      <c r="CS64" s="1"/>
      <c r="CT64" s="1">
        <f>20*0.661528194861528</f>
        <v>13.23056389723056</v>
      </c>
      <c r="CW64" s="1">
        <v>13.755659255588769</v>
      </c>
      <c r="CX64" s="1">
        <v>9.6155154279792789</v>
      </c>
    </row>
    <row r="65" spans="1:102" x14ac:dyDescent="0.25">
      <c r="A65" s="8">
        <f t="shared" si="5"/>
        <v>1898</v>
      </c>
      <c r="C65" s="1">
        <v>9.745000000000001</v>
      </c>
      <c r="D65" s="1">
        <v>11.26</v>
      </c>
      <c r="E65" s="1">
        <f>2240*0.00361081932773109</f>
        <v>8.0882352941176414</v>
      </c>
      <c r="F65" s="1"/>
      <c r="G65" s="1"/>
      <c r="H65" s="1"/>
      <c r="I65" s="3"/>
      <c r="J65" s="1"/>
      <c r="K65" s="1"/>
      <c r="L65" s="1"/>
      <c r="M65" s="1"/>
      <c r="N65" s="1">
        <v>12.267247608464125</v>
      </c>
      <c r="O65" s="1">
        <v>9.5825345559524475</v>
      </c>
      <c r="P65" s="1"/>
      <c r="Q65" s="1">
        <f>2240*0.00714285714285714</f>
        <v>15.999999999999993</v>
      </c>
      <c r="R65" s="1"/>
      <c r="S65" s="1"/>
      <c r="T65" s="1">
        <v>16.8</v>
      </c>
      <c r="U65" s="1"/>
      <c r="V65" s="1"/>
      <c r="W65" s="1">
        <v>13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>
        <v>14.870077376140431</v>
      </c>
      <c r="AM65" s="1"/>
      <c r="AN65" s="1"/>
      <c r="AO65" s="1">
        <v>16.001461988304094</v>
      </c>
      <c r="AP65" s="1"/>
      <c r="AQ65" s="1"/>
      <c r="AR65" s="1"/>
      <c r="AS65" s="1"/>
      <c r="AT65" s="1"/>
      <c r="AU65" s="1">
        <v>20.02430724355856</v>
      </c>
      <c r="AV65" s="1"/>
      <c r="AW65" s="1"/>
      <c r="AX65" s="1"/>
      <c r="AY65" s="1"/>
      <c r="AZ65" s="3">
        <f>2240*0.0161172161172161</f>
        <v>36.102564102564067</v>
      </c>
      <c r="BA65" s="3"/>
      <c r="BB65" s="3"/>
      <c r="BC65" s="3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CA65" s="1"/>
      <c r="CB65" s="1"/>
      <c r="CC65" s="1"/>
      <c r="CD65" s="1"/>
      <c r="CE65" s="1"/>
      <c r="CF65" s="1"/>
      <c r="CH65" s="1">
        <f>20*0.716082474226804</f>
        <v>14.321649484536081</v>
      </c>
      <c r="CI65" s="1">
        <f>20*0.812529002320186</f>
        <v>16.250580046403719</v>
      </c>
      <c r="CJ65" s="1"/>
      <c r="CK65" s="1">
        <f>20*0.608365137645684</f>
        <v>12.167302752913681</v>
      </c>
      <c r="CL65" s="1"/>
      <c r="CM65" s="1"/>
      <c r="CN65" s="1">
        <f>20*0.76510196229319</f>
        <v>15.302039245863801</v>
      </c>
      <c r="CO65" s="1"/>
      <c r="CP65" s="1"/>
      <c r="CQ65" s="1">
        <f>20*0.75</f>
        <v>15</v>
      </c>
      <c r="CS65" s="1"/>
      <c r="CT65" s="1">
        <f>20*0.880325052055105</f>
        <v>17.606501041102099</v>
      </c>
      <c r="CW65" s="1">
        <v>13.057254328822872</v>
      </c>
      <c r="CX65" s="1">
        <v>8.9184606074293278</v>
      </c>
    </row>
    <row r="66" spans="1:102" x14ac:dyDescent="0.25">
      <c r="A66" s="8">
        <f t="shared" si="5"/>
        <v>1899</v>
      </c>
      <c r="C66" s="1">
        <v>10.875</v>
      </c>
      <c r="D66" s="1">
        <v>12.23</v>
      </c>
      <c r="E66" s="1">
        <f>2240*0.00892857142857143</f>
        <v>20.000000000000004</v>
      </c>
      <c r="F66" s="1"/>
      <c r="G66" s="1"/>
      <c r="H66" s="1"/>
      <c r="I66" s="3"/>
      <c r="J66" s="1"/>
      <c r="K66" s="1"/>
      <c r="L66" s="1"/>
      <c r="M66" s="1"/>
      <c r="N66" s="1">
        <v>12.246014560073954</v>
      </c>
      <c r="O66" s="1">
        <v>10.477488310139508</v>
      </c>
      <c r="P66" s="1"/>
      <c r="Q66" s="1">
        <f>2240*0.00669642857142857</f>
        <v>14.999999999999996</v>
      </c>
      <c r="R66" s="1"/>
      <c r="S66" s="1"/>
      <c r="T66" s="1"/>
      <c r="U66" s="1"/>
      <c r="V66" s="1"/>
      <c r="W66" s="1">
        <v>12.891891891891891</v>
      </c>
      <c r="X66" s="1"/>
      <c r="Y66" s="1"/>
      <c r="Z66" s="1"/>
      <c r="AA66" s="1"/>
      <c r="AB66" s="1"/>
      <c r="AC66" s="1"/>
      <c r="AD66" s="1"/>
      <c r="AE66" s="1"/>
      <c r="AF66" s="1">
        <v>12.263295371434541</v>
      </c>
      <c r="AG66" s="1"/>
      <c r="AH66" s="1"/>
      <c r="AI66" s="1"/>
      <c r="AJ66" s="1"/>
      <c r="AK66" s="1"/>
      <c r="AL66" s="1">
        <v>14.446543580936025</v>
      </c>
      <c r="AM66" s="1"/>
      <c r="AN66" s="1"/>
      <c r="AO66" s="1">
        <v>16.001662510390691</v>
      </c>
      <c r="AP66" s="1"/>
      <c r="AQ66" s="1"/>
      <c r="AR66" s="1"/>
      <c r="AS66" s="1"/>
      <c r="AT66" s="1"/>
      <c r="AU66" s="1">
        <v>14.285586924219897</v>
      </c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CA66" s="1"/>
      <c r="CB66" s="1"/>
      <c r="CC66" s="1"/>
      <c r="CD66" s="1"/>
      <c r="CE66" s="1"/>
      <c r="CF66" s="1"/>
      <c r="CH66" s="1">
        <f>20*0.833942659226477</f>
        <v>16.67885318452954</v>
      </c>
      <c r="CI66" s="1">
        <f>20*0.966292134831461</f>
        <v>19.32584269662922</v>
      </c>
      <c r="CJ66" s="1"/>
      <c r="CK66" s="1">
        <f>20*0.615784439860882</f>
        <v>12.315688797217641</v>
      </c>
      <c r="CL66" s="1"/>
      <c r="CM66" s="1"/>
      <c r="CN66" s="1">
        <f>20*0.763625503956996</f>
        <v>15.27251007913992</v>
      </c>
      <c r="CO66" s="1"/>
      <c r="CP66" s="1"/>
      <c r="CQ66" s="1">
        <f>20*0.8</f>
        <v>16</v>
      </c>
      <c r="CS66" s="1"/>
      <c r="CT66" s="1">
        <f>20*1.11941333336132</f>
        <v>22.388266667226404</v>
      </c>
      <c r="CW66" s="1">
        <v>13.031110173746168</v>
      </c>
      <c r="CX66" s="1">
        <v>10.297846272295217</v>
      </c>
    </row>
    <row r="67" spans="1:102" x14ac:dyDescent="0.25">
      <c r="A67" s="8">
        <f t="shared" si="5"/>
        <v>1900</v>
      </c>
      <c r="C67" s="1">
        <v>11</v>
      </c>
      <c r="D67" s="1">
        <v>12.59</v>
      </c>
      <c r="E67" s="1">
        <f>2240*0.00892505762635633</f>
        <v>19.992129083038179</v>
      </c>
      <c r="F67" s="1"/>
      <c r="G67" s="1"/>
      <c r="H67" s="1"/>
      <c r="I67" s="3"/>
      <c r="J67" s="1"/>
      <c r="K67" s="1"/>
      <c r="L67" s="1"/>
      <c r="M67" s="1"/>
      <c r="N67" s="1">
        <v>11.773442840507915</v>
      </c>
      <c r="O67" s="1">
        <v>10.892510850197096</v>
      </c>
      <c r="P67" s="1"/>
      <c r="Q67" s="1">
        <f>2240*0.00613573807258393</f>
        <v>13.744053282588004</v>
      </c>
      <c r="R67" s="1"/>
      <c r="S67" s="1"/>
      <c r="T67" s="1"/>
      <c r="U67" s="1"/>
      <c r="V67" s="1"/>
      <c r="W67" s="1">
        <v>12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>
        <v>14.320486815415821</v>
      </c>
      <c r="AM67" s="1"/>
      <c r="AN67" s="1"/>
      <c r="AO67" s="1">
        <v>15.997652582159624</v>
      </c>
      <c r="AP67" s="1"/>
      <c r="AQ67" s="1"/>
      <c r="AR67" s="1"/>
      <c r="AS67" s="1"/>
      <c r="AT67" s="1"/>
      <c r="AU67" s="1">
        <v>12.466206896551714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>
        <f>20*1.23000261309758</f>
        <v>24.600052261951603</v>
      </c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CA67" s="1"/>
      <c r="CB67" s="1"/>
      <c r="CC67" s="1"/>
      <c r="CD67" s="1"/>
      <c r="CE67" s="1"/>
      <c r="CF67" s="1"/>
      <c r="CH67" s="1">
        <f>20*0.741727425687044</f>
        <v>14.834548513740879</v>
      </c>
      <c r="CI67" s="1">
        <f>20*0.933333333333333</f>
        <v>18.666666666666661</v>
      </c>
      <c r="CJ67" s="1"/>
      <c r="CK67" s="1">
        <f>20*0.567502293034386</f>
        <v>11.350045860687722</v>
      </c>
      <c r="CL67" s="1"/>
      <c r="CM67" s="1"/>
      <c r="CN67" s="1">
        <f>20*0.83402520944977</f>
        <v>16.6805041889954</v>
      </c>
      <c r="CO67" s="1"/>
      <c r="CP67" s="1"/>
      <c r="CQ67" s="1">
        <f>20*0.8</f>
        <v>16</v>
      </c>
      <c r="CS67" s="1"/>
      <c r="CT67" s="1">
        <f>20*0.817861339600248</f>
        <v>16.357226792004958</v>
      </c>
      <c r="CW67" s="1">
        <v>13.996592885227827</v>
      </c>
      <c r="CX67" s="1">
        <v>10.675389276304514</v>
      </c>
    </row>
    <row r="68" spans="1:102" x14ac:dyDescent="0.25">
      <c r="A68" s="8">
        <f t="shared" si="5"/>
        <v>1901</v>
      </c>
      <c r="C68" s="1">
        <v>9.99</v>
      </c>
      <c r="D68" s="1">
        <v>12.61</v>
      </c>
      <c r="E68" s="1">
        <f>2240*0.0119047619047619</f>
        <v>26.666666666666657</v>
      </c>
      <c r="F68" s="1"/>
      <c r="G68" s="1"/>
      <c r="H68" s="1"/>
      <c r="I68" s="3"/>
      <c r="J68" s="1"/>
      <c r="K68" s="1"/>
      <c r="L68" s="1"/>
      <c r="M68" s="1"/>
      <c r="N68" s="1">
        <v>10.538214576974562</v>
      </c>
      <c r="O68" s="1">
        <v>11.161969302706314</v>
      </c>
      <c r="P68" s="1"/>
      <c r="Q68" s="1">
        <f>2240*0.00638435737155054</f>
        <v>14.300960512273209</v>
      </c>
      <c r="R68" s="1"/>
      <c r="S68" s="1"/>
      <c r="T68" s="1"/>
      <c r="U68" s="1"/>
      <c r="V68" s="1"/>
      <c r="W68" s="1">
        <v>12.147651006711408</v>
      </c>
      <c r="X68" s="1"/>
      <c r="Y68" s="1"/>
      <c r="Z68" s="1"/>
      <c r="AA68" s="1"/>
      <c r="AB68" s="1"/>
      <c r="AC68" s="1"/>
      <c r="AD68" s="1"/>
      <c r="AE68" s="1"/>
      <c r="AF68" s="1">
        <v>9.2203443719137184</v>
      </c>
      <c r="AG68" s="1"/>
      <c r="AH68" s="1"/>
      <c r="AI68" s="1"/>
      <c r="AJ68" s="1"/>
      <c r="AK68" s="1"/>
      <c r="AL68" s="1">
        <v>13.055899438148748</v>
      </c>
      <c r="AM68" s="1"/>
      <c r="AN68" s="1"/>
      <c r="AO68" s="1">
        <v>14.014251781472684</v>
      </c>
      <c r="AP68" s="1"/>
      <c r="AQ68" s="1"/>
      <c r="AR68" s="1"/>
      <c r="AS68" s="1"/>
      <c r="AT68" s="1"/>
      <c r="AU68" s="1">
        <v>11.791481069042305</v>
      </c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>
        <f>20*1.27436252926449</f>
        <v>25.4872505852898</v>
      </c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CA68" s="1"/>
      <c r="CB68" s="1"/>
      <c r="CC68" s="1"/>
      <c r="CD68" s="1"/>
      <c r="CE68" s="1"/>
      <c r="CF68" s="1"/>
      <c r="CH68" s="1">
        <f>20*0.690665342601787</f>
        <v>13.81330685203574</v>
      </c>
      <c r="CI68" s="1">
        <f>20*0.939592908732764</f>
        <v>18.791858174655282</v>
      </c>
      <c r="CJ68" s="1"/>
      <c r="CK68" s="1">
        <f>20*0.513867014359569</f>
        <v>10.277340287191381</v>
      </c>
      <c r="CL68" s="1"/>
      <c r="CM68" s="1"/>
      <c r="CN68" s="1">
        <f>20*0.844303681263197</f>
        <v>16.88607362526394</v>
      </c>
      <c r="CO68" s="1"/>
      <c r="CP68" s="1"/>
      <c r="CQ68" s="1">
        <f>20*0.66672</f>
        <v>13.334399999999999</v>
      </c>
      <c r="CS68" s="1"/>
      <c r="CT68" s="1">
        <f>20*0.821338181818182</f>
        <v>16.426763636363638</v>
      </c>
      <c r="CW68" s="1">
        <v>14.423713620561537</v>
      </c>
      <c r="CX68" s="1">
        <v>11.233178337141371</v>
      </c>
    </row>
    <row r="69" spans="1:102" x14ac:dyDescent="0.25">
      <c r="A69" s="8">
        <f t="shared" si="5"/>
        <v>1902</v>
      </c>
      <c r="C69" s="1">
        <v>7.9649999999999999</v>
      </c>
      <c r="D69" s="1">
        <v>11.16</v>
      </c>
      <c r="E69" s="1">
        <f>2240*0.0119047619047619</f>
        <v>26.666666666666657</v>
      </c>
      <c r="F69" s="1"/>
      <c r="G69" s="1"/>
      <c r="H69" s="1"/>
      <c r="I69" s="3"/>
      <c r="J69" s="1"/>
      <c r="K69" s="1"/>
      <c r="L69" s="1"/>
      <c r="M69" s="1"/>
      <c r="N69" s="1">
        <v>9.4133004482763898</v>
      </c>
      <c r="O69" s="1">
        <v>8.2306081812381748</v>
      </c>
      <c r="P69" s="1"/>
      <c r="Q69" s="1">
        <f>2240*0.00506585612968592</f>
        <v>11.34751773049646</v>
      </c>
      <c r="R69" s="1"/>
      <c r="S69" s="1"/>
      <c r="T69" s="1">
        <v>18.669778296382731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>
        <v>12.372333548804137</v>
      </c>
      <c r="AM69" s="1"/>
      <c r="AN69" s="1"/>
      <c r="AO69" s="1">
        <v>13.980582524271846</v>
      </c>
      <c r="AP69" s="1"/>
      <c r="AQ69" s="1"/>
      <c r="AR69" s="1"/>
      <c r="AS69" s="1"/>
      <c r="AT69" s="1"/>
      <c r="AU69" s="1">
        <v>11.030940294899676</v>
      </c>
      <c r="AV69" s="1"/>
      <c r="AW69" s="1"/>
      <c r="AX69" s="1"/>
      <c r="AY69" s="1"/>
      <c r="AZ69" s="1"/>
      <c r="BA69" s="1"/>
      <c r="BB69" s="1"/>
      <c r="BC69" s="1"/>
      <c r="BD69" s="3">
        <f>2240*0.00930220419904049</f>
        <v>20.836937405850698</v>
      </c>
      <c r="BE69" s="3">
        <f>2240*0.00898706280176982</f>
        <v>20.131020675964397</v>
      </c>
      <c r="BF69" s="1"/>
      <c r="BG69" s="1">
        <f>20*1.04244797891953</f>
        <v>20.848959578390598</v>
      </c>
      <c r="BH69" s="1"/>
      <c r="BI69" s="1">
        <f>20*1.17139001349528</f>
        <v>23.4278002699056</v>
      </c>
      <c r="BJ69" s="1"/>
      <c r="BK69" s="12"/>
      <c r="BL69" s="1"/>
      <c r="BM69" s="1"/>
      <c r="BN69" s="1"/>
      <c r="BO69" s="1"/>
      <c r="BP69" s="1">
        <f>2240*0.00595653157921938</f>
        <v>13.342630737451412</v>
      </c>
      <c r="BQ69" s="1"/>
      <c r="BR69" s="1"/>
      <c r="BS69" s="1"/>
      <c r="BT69" s="1"/>
      <c r="BU69" s="1"/>
      <c r="BV69" s="1"/>
      <c r="BW69" s="1"/>
      <c r="BX69" s="1"/>
      <c r="BY69" s="1"/>
      <c r="CA69" s="1"/>
      <c r="CB69" s="1"/>
      <c r="CC69" s="1"/>
      <c r="CD69" s="1"/>
      <c r="CE69" s="1"/>
      <c r="CF69" s="1"/>
      <c r="CH69" s="1">
        <f>20*0.69438202247191</f>
        <v>13.887640449438202</v>
      </c>
      <c r="CI69" s="1">
        <f>20*0.833333333333333</f>
        <v>16.666666666666661</v>
      </c>
      <c r="CJ69" s="1"/>
      <c r="CK69" s="1">
        <f>20*0.461356203921096</f>
        <v>9.2271240784219195</v>
      </c>
      <c r="CL69" s="1"/>
      <c r="CM69" s="1"/>
      <c r="CN69" s="1">
        <f>20*(AVERAGE(0.617122990004346,0.732251521298174))</f>
        <v>13.493745113025199</v>
      </c>
      <c r="CO69" s="1"/>
      <c r="CP69" s="1"/>
      <c r="CQ69" s="1"/>
      <c r="CS69" s="1"/>
      <c r="CW69" s="1">
        <v>12.35794290804731</v>
      </c>
      <c r="CX69" s="1">
        <v>9.4640263358361878</v>
      </c>
    </row>
    <row r="70" spans="1:102" x14ac:dyDescent="0.25">
      <c r="A70" s="8">
        <f t="shared" si="5"/>
        <v>1903</v>
      </c>
      <c r="C70" s="1">
        <v>8.8550000000000004</v>
      </c>
      <c r="D70" s="1">
        <v>11.95</v>
      </c>
      <c r="E70" s="1">
        <f>2240*0.0104087703581191</f>
        <v>23.315645602186784</v>
      </c>
      <c r="F70" s="1"/>
      <c r="G70" s="1"/>
      <c r="H70" s="1"/>
      <c r="I70" s="3"/>
      <c r="J70" s="1"/>
      <c r="K70" s="1"/>
      <c r="L70" s="1"/>
      <c r="M70" s="1"/>
      <c r="N70" s="1">
        <v>9.531656603749834</v>
      </c>
      <c r="O70" s="1">
        <v>8.6004786826040611</v>
      </c>
      <c r="P70" s="1"/>
      <c r="Q70" s="1">
        <f>2240*0.00560767135539475</f>
        <v>12.56118383608424</v>
      </c>
      <c r="R70" s="1"/>
      <c r="S70" s="1"/>
      <c r="T70" s="1">
        <v>14.285714285714286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>
        <v>10.668928419971877</v>
      </c>
      <c r="AG70" s="1"/>
      <c r="AH70" s="1"/>
      <c r="AI70" s="1"/>
      <c r="AJ70" s="1"/>
      <c r="AK70" s="1"/>
      <c r="AL70" s="1">
        <v>12.238229093464511</v>
      </c>
      <c r="AM70" s="1"/>
      <c r="AN70" s="1"/>
      <c r="AO70" s="1">
        <v>10</v>
      </c>
      <c r="AP70" s="1"/>
      <c r="AQ70" s="1"/>
      <c r="AR70" s="1"/>
      <c r="AS70" s="1"/>
      <c r="AT70" s="1"/>
      <c r="AU70" s="1">
        <v>11.457943925233634</v>
      </c>
      <c r="AV70" s="1"/>
      <c r="AW70" s="1"/>
      <c r="AX70" s="1"/>
      <c r="AY70" s="1"/>
      <c r="AZ70" s="1"/>
      <c r="BA70" s="1"/>
      <c r="BB70" s="1"/>
      <c r="BC70" s="1"/>
      <c r="BD70" s="3">
        <f>2240*0.00870466847715642</f>
        <v>19.498457388830381</v>
      </c>
      <c r="BE70" s="3">
        <f>2240*0.0126336565218371</f>
        <v>28.299390608915104</v>
      </c>
      <c r="BF70" s="1"/>
      <c r="BG70" s="1">
        <f>20*1.09054767413359</f>
        <v>21.810953482671799</v>
      </c>
      <c r="BH70" s="1"/>
      <c r="BI70" s="1"/>
      <c r="BJ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CA70" s="1"/>
      <c r="CB70" s="1"/>
      <c r="CC70" s="1"/>
      <c r="CD70" s="1"/>
      <c r="CE70" s="1"/>
      <c r="CF70" s="1"/>
      <c r="CH70" s="1">
        <f>20*0.705864818540875</f>
        <v>14.117296370817501</v>
      </c>
      <c r="CI70" s="1">
        <f>20*0.688634835238736</f>
        <v>13.77269670477472</v>
      </c>
      <c r="CJ70" s="1"/>
      <c r="CK70" s="1">
        <f>20*0.507411330815071</f>
        <v>10.148226616301418</v>
      </c>
      <c r="CL70" s="1"/>
      <c r="CM70" s="1"/>
      <c r="CN70" s="1"/>
      <c r="CO70" s="1"/>
      <c r="CP70" s="1"/>
      <c r="CQ70" s="1"/>
      <c r="CS70" s="1"/>
      <c r="CW70" s="1">
        <v>12.042927750595078</v>
      </c>
      <c r="CX70" s="1">
        <v>8.273625776316706</v>
      </c>
    </row>
    <row r="71" spans="1:102" x14ac:dyDescent="0.25">
      <c r="A71" s="8">
        <f t="shared" si="5"/>
        <v>1904</v>
      </c>
      <c r="C71" s="1">
        <v>10.185</v>
      </c>
      <c r="D71" s="1">
        <v>12.49</v>
      </c>
      <c r="E71" s="1">
        <f>2240*0.013392160981214</f>
        <v>29.998440597919362</v>
      </c>
      <c r="F71" s="1"/>
      <c r="G71" s="1"/>
      <c r="H71" s="1"/>
      <c r="I71" s="3"/>
      <c r="J71" s="1"/>
      <c r="K71" s="1"/>
      <c r="L71" s="1"/>
      <c r="M71" s="1"/>
      <c r="N71" s="1">
        <v>11.433839540722561</v>
      </c>
      <c r="O71" s="1">
        <v>10.575998431926488</v>
      </c>
      <c r="P71" s="1"/>
      <c r="Q71" s="1">
        <f>2240*0.00672483766233766</f>
        <v>15.063636363636359</v>
      </c>
      <c r="R71" s="3"/>
      <c r="S71" s="1"/>
      <c r="T71" s="1">
        <v>18.050541516245488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>
        <v>16.397714743910996</v>
      </c>
      <c r="AG71" s="1"/>
      <c r="AH71" s="1"/>
      <c r="AI71" s="1"/>
      <c r="AJ71" s="1"/>
      <c r="AK71" s="1"/>
      <c r="AL71" s="1">
        <v>13.777179686946667</v>
      </c>
      <c r="AM71" s="1"/>
      <c r="AN71" s="1"/>
      <c r="AO71" s="1"/>
      <c r="AP71" s="1"/>
      <c r="AQ71" s="1"/>
      <c r="AR71" s="1"/>
      <c r="AS71" s="1"/>
      <c r="AT71" s="1"/>
      <c r="AU71" s="1">
        <v>11.260264900662241</v>
      </c>
      <c r="AV71" s="1"/>
      <c r="AW71" s="1"/>
      <c r="AX71" s="1"/>
      <c r="AY71" s="1"/>
      <c r="AZ71" s="1"/>
      <c r="BA71" s="1"/>
      <c r="BB71" s="1"/>
      <c r="BC71" s="1"/>
      <c r="BD71" s="3">
        <f>2240*0.00933379756017875</f>
        <v>20.907706534800401</v>
      </c>
      <c r="BE71" s="3">
        <f>2240*0.0124630435305146</f>
        <v>27.917217508352703</v>
      </c>
      <c r="BF71" s="1"/>
      <c r="BG71" s="1">
        <f>20*1.07640404229737</f>
        <v>21.5280808459474</v>
      </c>
      <c r="BH71" s="1"/>
      <c r="BI71" s="1">
        <f>20*1.67047473978167</f>
        <v>33.4094947956334</v>
      </c>
      <c r="BJ71" s="1"/>
      <c r="BK71" s="12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CA71" s="1"/>
      <c r="CB71" s="1"/>
      <c r="CC71" s="1"/>
      <c r="CD71" s="1"/>
      <c r="CE71" s="1"/>
      <c r="CF71" s="1"/>
      <c r="CH71" s="1">
        <f>20*0.80154347210422</f>
        <v>16.030869442084398</v>
      </c>
      <c r="CI71" s="1">
        <f>20*0.800213219616205</f>
        <v>16.004264392324099</v>
      </c>
      <c r="CJ71" s="1"/>
      <c r="CK71" s="1">
        <f>20*0.849823284649199</f>
        <v>16.996465692983978</v>
      </c>
      <c r="CL71" s="1"/>
      <c r="CM71" s="1"/>
      <c r="CN71" s="1"/>
      <c r="CO71" s="1"/>
      <c r="CP71" s="1"/>
      <c r="CQ71" s="1"/>
      <c r="CS71" s="1"/>
      <c r="CW71" s="1">
        <v>11.912004450290457</v>
      </c>
      <c r="CX71" s="1">
        <v>9.2198009199810791</v>
      </c>
    </row>
    <row r="72" spans="1:102" x14ac:dyDescent="0.25">
      <c r="A72" s="8">
        <f t="shared" ref="A72:A103" si="6">A71+1</f>
        <v>1905</v>
      </c>
      <c r="C72" s="1">
        <v>11.809999999999999</v>
      </c>
      <c r="D72" s="1">
        <v>15.21</v>
      </c>
      <c r="E72" s="1">
        <f>2240*0.0126088606583573</f>
        <v>28.243847874720352</v>
      </c>
      <c r="F72" s="1"/>
      <c r="G72" s="1"/>
      <c r="H72" s="1"/>
      <c r="I72" s="3"/>
      <c r="J72" s="1"/>
      <c r="K72" s="1"/>
      <c r="L72" s="1"/>
      <c r="M72" s="1"/>
      <c r="N72" s="1">
        <v>12.530117103403153</v>
      </c>
      <c r="O72" s="1">
        <v>13.211300811180092</v>
      </c>
      <c r="P72" s="1"/>
      <c r="Q72" s="1">
        <f>2240*0.00788095238095238</f>
        <v>17.653333333333332</v>
      </c>
      <c r="R72" s="3"/>
      <c r="S72" s="1"/>
      <c r="T72" s="1">
        <v>13.2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>
        <v>14.430274466315499</v>
      </c>
      <c r="AM72" s="1"/>
      <c r="AN72" s="1"/>
      <c r="AO72" s="1"/>
      <c r="AP72" s="1"/>
      <c r="AQ72" s="1"/>
      <c r="AR72" s="1">
        <v>16.22762105263158</v>
      </c>
      <c r="AS72" s="1"/>
      <c r="AT72" s="1"/>
      <c r="AU72" s="1">
        <v>11.795501627700492</v>
      </c>
      <c r="AV72" s="1"/>
      <c r="AW72" s="1"/>
      <c r="AX72" s="1"/>
      <c r="AY72" s="1"/>
      <c r="AZ72" s="1"/>
      <c r="BA72" s="1">
        <f>2240*0.0124672734073058</f>
        <v>27.926692432364991</v>
      </c>
      <c r="BB72" s="1"/>
      <c r="BC72" s="1"/>
      <c r="BD72" s="3">
        <f>2240*0.0130584088620342</f>
        <v>29.250835850956609</v>
      </c>
      <c r="BE72" s="3">
        <f>2240*0.013897625835039</f>
        <v>31.130681870487361</v>
      </c>
      <c r="BF72" s="1"/>
      <c r="BG72" s="1">
        <f>20*1.32209638047958</f>
        <v>26.441927609591602</v>
      </c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Z72" s="3"/>
      <c r="CA72" s="1"/>
      <c r="CB72" s="1"/>
      <c r="CC72" s="1"/>
      <c r="CD72" s="1"/>
      <c r="CE72" s="1"/>
      <c r="CF72" s="1"/>
      <c r="CH72" s="1">
        <f>20*0.849086639732035</f>
        <v>16.981732794640699</v>
      </c>
      <c r="CI72" s="1">
        <f>20*0.866666666666667</f>
        <v>17.333333333333339</v>
      </c>
      <c r="CJ72" s="1"/>
      <c r="CK72" s="1">
        <f>20*0.9</f>
        <v>18</v>
      </c>
      <c r="CL72" s="1"/>
      <c r="CM72" s="1"/>
      <c r="CN72" s="1"/>
      <c r="CO72" s="1"/>
      <c r="CP72" s="1"/>
      <c r="CQ72" s="1"/>
      <c r="CS72" s="1"/>
      <c r="CW72" s="1">
        <v>14.540824658150829</v>
      </c>
      <c r="CX72" s="1">
        <v>11.387233483814104</v>
      </c>
    </row>
    <row r="73" spans="1:102" x14ac:dyDescent="0.25">
      <c r="A73" s="8">
        <f t="shared" si="6"/>
        <v>1906</v>
      </c>
      <c r="C73" s="1">
        <v>9.0749999999999993</v>
      </c>
      <c r="D73" s="1">
        <v>12.52</v>
      </c>
      <c r="E73" s="1">
        <f>(2240/175)*1.6254658326935</f>
        <v>20.805962658476801</v>
      </c>
      <c r="F73" s="1"/>
      <c r="G73" s="1"/>
      <c r="H73" s="1"/>
      <c r="I73" s="3"/>
      <c r="J73" s="1"/>
      <c r="K73" s="1"/>
      <c r="L73" s="1"/>
      <c r="M73" s="1"/>
      <c r="N73" s="1">
        <v>11.416930516936914</v>
      </c>
      <c r="O73" s="1">
        <v>9.1766580627684977</v>
      </c>
      <c r="P73" s="1"/>
      <c r="Q73" s="1">
        <f>2240*0.00687016185784659</f>
        <v>15.389162561576363</v>
      </c>
      <c r="R73" s="3"/>
      <c r="S73" s="1"/>
      <c r="T73" s="1">
        <v>13.461538461538462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>
        <v>13.99592303485308</v>
      </c>
      <c r="AM73" s="1"/>
      <c r="AN73" s="1"/>
      <c r="AO73" s="1">
        <v>14.986276303751144</v>
      </c>
      <c r="AP73" s="1"/>
      <c r="AQ73" s="1"/>
      <c r="AR73" s="1">
        <v>13.649410902875282</v>
      </c>
      <c r="AS73" s="1"/>
      <c r="AT73" s="1"/>
      <c r="AU73" s="1">
        <v>11.961949763740353</v>
      </c>
      <c r="AV73" s="1"/>
      <c r="AW73" s="1"/>
      <c r="AX73" s="1"/>
      <c r="AY73" s="1"/>
      <c r="AZ73" s="1"/>
      <c r="BA73" s="1">
        <f>2240*0.0126080691642651</f>
        <v>28.242074927953823</v>
      </c>
      <c r="BB73" s="1"/>
      <c r="BC73" s="1"/>
      <c r="BD73" s="3">
        <f>2240*0.0124117505782689</f>
        <v>27.802321295322336</v>
      </c>
      <c r="BE73" s="3">
        <f>2240*0.0146334154624759</f>
        <v>32.778850635946014</v>
      </c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>
        <f>2240*0.0097987819840721</f>
        <v>21.949271644321502</v>
      </c>
      <c r="BT73" s="1"/>
      <c r="BU73" s="1"/>
      <c r="BV73" s="3">
        <f>2240*0.00996440404488293</f>
        <v>22.320265060537764</v>
      </c>
      <c r="BW73" s="1"/>
      <c r="BX73" s="1"/>
      <c r="BY73" s="3">
        <f>2240*0.0103055398320535</f>
        <v>23.084409223799838</v>
      </c>
      <c r="BZ73" s="3">
        <f>2240*0.0102894377936051</f>
        <v>23.048340657675425</v>
      </c>
      <c r="CA73" s="1"/>
      <c r="CB73" s="1"/>
      <c r="CC73" s="1"/>
      <c r="CD73" s="1"/>
      <c r="CE73" s="1"/>
      <c r="CF73" s="1"/>
      <c r="CH73" s="1">
        <f>20*0.734608569077907</f>
        <v>14.69217138155814</v>
      </c>
      <c r="CI73" s="1">
        <f>20*0.75001996007984</f>
        <v>15.0003992015968</v>
      </c>
      <c r="CJ73" s="1"/>
      <c r="CK73" s="1">
        <f>20*0.666651162790698</f>
        <v>13.333023255813961</v>
      </c>
      <c r="CL73" s="1"/>
      <c r="CM73" s="1"/>
      <c r="CN73" s="1">
        <f>20*0.774220499281489</f>
        <v>15.484409985629778</v>
      </c>
      <c r="CO73" s="1"/>
      <c r="CP73" s="1"/>
      <c r="CQ73" s="1">
        <f>20*0.723103776578864</f>
        <v>14.46207553157728</v>
      </c>
      <c r="CS73" s="1"/>
      <c r="CW73" s="1">
        <v>11.086421812960154</v>
      </c>
      <c r="CX73" s="1">
        <v>11.406277020544206</v>
      </c>
    </row>
    <row r="74" spans="1:102" x14ac:dyDescent="0.25">
      <c r="A74" s="8">
        <f t="shared" si="6"/>
        <v>1907</v>
      </c>
      <c r="C74" s="1">
        <v>9.875</v>
      </c>
      <c r="D74" s="1">
        <v>13.9</v>
      </c>
      <c r="E74" s="1">
        <f>(2240/175)*1.54627732913138</f>
        <v>19.792349812881668</v>
      </c>
      <c r="F74" s="1"/>
      <c r="G74" s="1"/>
      <c r="H74" s="1"/>
      <c r="I74" s="3"/>
      <c r="J74" s="3"/>
      <c r="K74" s="1"/>
      <c r="L74" s="1"/>
      <c r="M74" s="1"/>
      <c r="N74" s="1">
        <v>11.348387969616775</v>
      </c>
      <c r="O74" s="1">
        <v>9.0023420340100149</v>
      </c>
      <c r="P74" s="1"/>
      <c r="Q74" s="3">
        <f>2240*0.00730262929387656</f>
        <v>16.357889618283494</v>
      </c>
      <c r="R74" s="1"/>
      <c r="S74" s="3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>
        <v>15.765576389472798</v>
      </c>
      <c r="AJ74" s="1">
        <v>21.691176470588236</v>
      </c>
      <c r="AK74" s="1"/>
      <c r="AL74" s="1">
        <v>13.898464853218421</v>
      </c>
      <c r="AM74" s="1"/>
      <c r="AN74" s="1"/>
      <c r="AO74" s="1"/>
      <c r="AP74" s="1"/>
      <c r="AQ74" s="1"/>
      <c r="AR74" s="1">
        <v>14.410941560605051</v>
      </c>
      <c r="AS74" s="1"/>
      <c r="AT74" s="1"/>
      <c r="AU74" s="1">
        <v>14.016312056737576</v>
      </c>
      <c r="AV74" s="1"/>
      <c r="AW74" s="1"/>
      <c r="AX74" s="1"/>
      <c r="AY74" s="1"/>
      <c r="AZ74" s="1"/>
      <c r="BB74" s="1"/>
      <c r="BC74" s="1"/>
      <c r="BD74" s="3">
        <f>2240*0.00997577339790539</f>
        <v>22.345732411308074</v>
      </c>
      <c r="BE74" s="3">
        <f>2240*0.0110551386175936</f>
        <v>24.763510503409666</v>
      </c>
      <c r="BF74" s="1"/>
      <c r="BG74" s="1">
        <f>20*1.54106280193237</f>
        <v>30.821256038647398</v>
      </c>
      <c r="BH74" s="1"/>
      <c r="BI74" s="1"/>
      <c r="BJ74" s="1">
        <f>2240*0.0170933333333333</f>
        <v>38.289066666666592</v>
      </c>
      <c r="BK74" s="1"/>
      <c r="BL74" s="1"/>
      <c r="BM74" s="1"/>
      <c r="BN74" s="1"/>
      <c r="BO74" s="1"/>
      <c r="BP74" s="1"/>
      <c r="BQ74" s="1"/>
      <c r="BR74" s="1"/>
      <c r="BS74" s="1">
        <f>2240*0.00788331175260873</f>
        <v>17.658618325843555</v>
      </c>
      <c r="BT74" s="1"/>
      <c r="BU74" s="1"/>
      <c r="BV74" s="3">
        <f>2240*0.00787271877068053</f>
        <v>17.63489004632439</v>
      </c>
      <c r="BW74" s="1"/>
      <c r="BX74" s="1"/>
      <c r="BY74" s="3">
        <f>2240*0.00762191607608474</f>
        <v>17.073092010429818</v>
      </c>
      <c r="BZ74" s="3">
        <f>2240*0.00992810904004424</f>
        <v>22.238964249699098</v>
      </c>
      <c r="CA74" s="1"/>
      <c r="CB74" s="1"/>
      <c r="CC74" s="1"/>
      <c r="CD74" s="1"/>
      <c r="CE74" s="1"/>
      <c r="CF74" s="1"/>
      <c r="CH74" s="1">
        <f>20*0.800081930277334</f>
        <v>16.001638605546681</v>
      </c>
      <c r="CI74" s="1"/>
      <c r="CJ74" s="1"/>
      <c r="CK74" s="1">
        <f>20*0.546421568627451</f>
        <v>10.928431372549019</v>
      </c>
      <c r="CL74" s="1"/>
      <c r="CM74" s="1"/>
      <c r="CN74" s="1">
        <f>20*0.740632100805619</f>
        <v>14.812642016112381</v>
      </c>
      <c r="CO74" s="1"/>
      <c r="CP74" s="1"/>
      <c r="CQ74" s="1">
        <f>20*0.701691480240081</f>
        <v>14.033829604801619</v>
      </c>
      <c r="CS74" s="1"/>
      <c r="CW74" s="1">
        <v>11.425879287311739</v>
      </c>
      <c r="CX74" s="1">
        <v>11.809386820760526</v>
      </c>
    </row>
    <row r="75" spans="1:102" x14ac:dyDescent="0.25">
      <c r="A75" s="8">
        <f t="shared" si="6"/>
        <v>1908</v>
      </c>
      <c r="C75" s="1">
        <v>10.71</v>
      </c>
      <c r="D75" s="1">
        <v>14.54</v>
      </c>
      <c r="E75" s="1">
        <f>(2240/175)*1.37698707917532</f>
        <v>17.625434613444096</v>
      </c>
      <c r="F75" s="1"/>
      <c r="G75" s="1"/>
      <c r="H75" s="1"/>
      <c r="I75" s="3"/>
      <c r="J75" s="3">
        <f>2240*0.0104166666666667</f>
        <v>23.33333333333341</v>
      </c>
      <c r="K75" s="1"/>
      <c r="L75" s="1"/>
      <c r="M75" s="1"/>
      <c r="N75" s="1">
        <v>11.084855056913323</v>
      </c>
      <c r="O75" s="1">
        <v>12.963104326815934</v>
      </c>
      <c r="P75" s="1"/>
      <c r="Q75" s="1">
        <f>2240*0.00909495899351625</f>
        <v>20.372708145476402</v>
      </c>
      <c r="R75" s="3"/>
      <c r="S75" s="1"/>
      <c r="T75" s="1">
        <v>18.333333333333332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>
        <v>15.989291928791328</v>
      </c>
      <c r="AM75" s="1"/>
      <c r="AN75" s="1"/>
      <c r="AO75" s="1"/>
      <c r="AP75" s="1"/>
      <c r="AQ75" s="1"/>
      <c r="AR75" s="1">
        <v>14.933459963198196</v>
      </c>
      <c r="AS75" s="1"/>
      <c r="AT75" s="1"/>
      <c r="AU75" s="1">
        <v>14.169767441860454</v>
      </c>
      <c r="AV75" s="1"/>
      <c r="AW75" s="1"/>
      <c r="AX75" s="1"/>
      <c r="AY75" s="1"/>
      <c r="AZ75" s="1"/>
      <c r="BA75" s="1"/>
      <c r="BB75" s="1"/>
      <c r="BC75" s="1"/>
      <c r="BD75" s="3">
        <f>2240*0.00945854995114426</f>
        <v>21.187151890563143</v>
      </c>
      <c r="BE75" s="3">
        <f>2240*0.0115438558636315</f>
        <v>25.858237134534559</v>
      </c>
      <c r="BF75" s="1"/>
      <c r="BG75" s="1">
        <f>20*1.31486880466472</f>
        <v>26.297376093294396</v>
      </c>
      <c r="BH75" s="1"/>
      <c r="BI75" s="1"/>
      <c r="BJ75" s="1">
        <f>2240*0.0164102564102564</f>
        <v>36.758974358974335</v>
      </c>
      <c r="BK75" s="1"/>
      <c r="BL75" s="1"/>
      <c r="BM75" s="1"/>
      <c r="BN75" s="1"/>
      <c r="BO75" s="1"/>
      <c r="BP75" s="1"/>
      <c r="BQ75" s="1"/>
      <c r="BR75" s="1"/>
      <c r="BS75" s="1">
        <f>2240*0.00774643003942559</f>
        <v>17.35200328831332</v>
      </c>
      <c r="BT75" s="1"/>
      <c r="BU75" s="1"/>
      <c r="BV75" s="3">
        <f>2240*0.00787277024113053</f>
        <v>17.635005340132388</v>
      </c>
      <c r="BW75" s="1"/>
      <c r="BX75" s="1"/>
      <c r="BY75" s="3">
        <f>2240*0.00753692935489237</f>
        <v>16.882721754958908</v>
      </c>
      <c r="BZ75" s="3">
        <f>2240*0.0101720647773279</f>
        <v>22.785425101214496</v>
      </c>
      <c r="CA75" s="1"/>
      <c r="CB75" s="1">
        <f>2240*0.00869216731545149</f>
        <v>19.470454786611338</v>
      </c>
      <c r="CC75" s="3">
        <f>2240*0.0107583377117266</f>
        <v>24.098676474267581</v>
      </c>
      <c r="CD75" s="1"/>
      <c r="CE75" s="1"/>
      <c r="CF75" s="1"/>
      <c r="CH75" s="1">
        <f>20*0.797223447748463</f>
        <v>15.94446895496926</v>
      </c>
      <c r="CI75" s="1"/>
      <c r="CJ75" s="1"/>
      <c r="CK75" s="1">
        <f>20*0.582258064516129</f>
        <v>11.64516129032258</v>
      </c>
      <c r="CL75" s="1"/>
      <c r="CM75" s="1"/>
      <c r="CN75" s="1">
        <f>20*0.77053129705313</f>
        <v>15.410625941062598</v>
      </c>
      <c r="CO75" s="1"/>
      <c r="CP75" s="1"/>
      <c r="CQ75" s="1">
        <f>20*0.717669398360983</f>
        <v>14.35338796721966</v>
      </c>
      <c r="CS75" s="1"/>
      <c r="CW75" s="1">
        <v>11.732814229333387</v>
      </c>
      <c r="CX75" s="1">
        <v>11.174862103670669</v>
      </c>
    </row>
    <row r="76" spans="1:102" x14ac:dyDescent="0.25">
      <c r="A76" s="8">
        <f t="shared" si="6"/>
        <v>1909</v>
      </c>
      <c r="C76" s="1">
        <v>11.115</v>
      </c>
      <c r="D76" s="1">
        <v>14.56</v>
      </c>
      <c r="E76" s="1">
        <f>(2240/175)*1.42757792948467</f>
        <v>18.272997497403775</v>
      </c>
      <c r="F76" s="1"/>
      <c r="G76" s="1">
        <f>2240*0.00914634146341463</f>
        <v>20.48780487804877</v>
      </c>
      <c r="H76" s="1"/>
      <c r="I76" s="3"/>
      <c r="J76" s="1"/>
      <c r="K76" s="1"/>
      <c r="L76" s="1"/>
      <c r="M76" s="1"/>
      <c r="N76" s="1">
        <v>12.088185079100736</v>
      </c>
      <c r="O76" s="1">
        <v>13.681884138032189</v>
      </c>
      <c r="P76" s="1"/>
      <c r="Q76" s="1">
        <f>2240*0.00836322659046534</f>
        <v>18.733627562642361</v>
      </c>
      <c r="R76" s="3"/>
      <c r="S76" s="1"/>
      <c r="T76" s="1">
        <v>22.3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>
        <v>16.576486544364336</v>
      </c>
      <c r="AM76" s="1"/>
      <c r="AN76" s="1"/>
      <c r="AO76" s="1"/>
      <c r="AP76" s="1"/>
      <c r="AQ76" s="1"/>
      <c r="AR76" s="1"/>
      <c r="AS76" s="1"/>
      <c r="AT76" s="1"/>
      <c r="AU76" s="1">
        <v>14.243548387096761</v>
      </c>
      <c r="AV76" s="1"/>
      <c r="AW76" s="1"/>
      <c r="AX76" s="1"/>
      <c r="AY76" s="1"/>
      <c r="AZ76" s="1"/>
      <c r="BA76" s="1"/>
      <c r="BB76" s="1"/>
      <c r="BC76" s="1"/>
      <c r="BD76" s="3">
        <f>2240*0.0119147972646829</f>
        <v>26.689145872889696</v>
      </c>
      <c r="BE76" s="3">
        <f>2240*0.01551736359477</f>
        <v>34.7588944522848</v>
      </c>
      <c r="BF76" s="1"/>
      <c r="BG76" s="1">
        <f>20*1.48991031390135</f>
        <v>29.798206278027003</v>
      </c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>
        <f>2240*0.0095580568403604</f>
        <v>21.410047322407294</v>
      </c>
      <c r="BT76" s="1"/>
      <c r="BU76" s="1"/>
      <c r="BV76" s="3">
        <f>2240*0.00873124795581633</f>
        <v>19.557995421028579</v>
      </c>
      <c r="BW76" s="1"/>
      <c r="BX76" s="1"/>
      <c r="BY76" s="3">
        <f>2240*0.0101252635638242</f>
        <v>22.680590382966209</v>
      </c>
      <c r="BZ76" s="3"/>
      <c r="CA76" s="1"/>
      <c r="CB76" s="1">
        <f>2240*0.00906347083484458</f>
        <v>20.302174670051858</v>
      </c>
      <c r="CC76" s="3">
        <f>2240*0.0107941535971904</f>
        <v>24.178904057706497</v>
      </c>
      <c r="CD76" s="1"/>
      <c r="CE76" s="1"/>
      <c r="CF76" s="1"/>
      <c r="CH76" s="1">
        <f>20*0.866666666666667</f>
        <v>17.333333333333339</v>
      </c>
      <c r="CI76" s="1"/>
      <c r="CJ76" s="1"/>
      <c r="CK76" s="1">
        <f>20*0.663301476196886</f>
        <v>13.26602952393772</v>
      </c>
      <c r="CL76" s="1"/>
      <c r="CM76" s="1"/>
      <c r="CN76" s="1">
        <f>20*0.858530356382773</f>
        <v>17.170607127655458</v>
      </c>
      <c r="CO76" s="1"/>
      <c r="CP76" s="1"/>
      <c r="CQ76" s="1">
        <f>20*0.743466831606618</f>
        <v>14.869336632132359</v>
      </c>
      <c r="CS76" s="1"/>
      <c r="CW76" s="1">
        <v>11.870319596561723</v>
      </c>
      <c r="CX76" s="1">
        <v>11.892622663971354</v>
      </c>
    </row>
    <row r="77" spans="1:102" x14ac:dyDescent="0.25">
      <c r="A77" s="8">
        <f t="shared" si="6"/>
        <v>1910</v>
      </c>
      <c r="C77" s="1">
        <v>12.67</v>
      </c>
      <c r="D77" s="1">
        <v>15.89</v>
      </c>
      <c r="E77" s="1">
        <f>(2240/175)*1.67744592205024</f>
        <v>21.471307802243075</v>
      </c>
      <c r="F77" s="1"/>
      <c r="G77" s="1">
        <f>2240*0.0105691056910569</f>
        <v>23.674796747967456</v>
      </c>
      <c r="H77" s="1"/>
      <c r="I77" s="3"/>
      <c r="J77" s="1">
        <f>2240*0.00498511904761905</f>
        <v>11.166666666666671</v>
      </c>
      <c r="K77" s="1"/>
      <c r="L77" s="1"/>
      <c r="M77" s="1"/>
      <c r="N77" s="1">
        <v>12.111957190580195</v>
      </c>
      <c r="O77" s="1">
        <v>16.949002831941026</v>
      </c>
      <c r="P77" s="1"/>
      <c r="Q77" s="3">
        <f>2240*0.00909502001231527</f>
        <v>20.372844827586206</v>
      </c>
      <c r="R77" s="1"/>
      <c r="S77" s="3"/>
      <c r="T77" s="1">
        <v>19.375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0">
        <v>16.087092188745999</v>
      </c>
      <c r="AG77" s="1">
        <v>27.545233594382932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>
        <v>17.297409541608264</v>
      </c>
      <c r="AS77" s="1"/>
      <c r="AT77" s="1"/>
      <c r="AU77" s="1">
        <v>14.716235632183894</v>
      </c>
      <c r="AV77" s="1"/>
      <c r="AW77" s="1"/>
      <c r="AX77" s="1">
        <f>20*1.88317757009346</f>
        <v>37.663551401869199</v>
      </c>
      <c r="AY77" s="1"/>
      <c r="AZ77" s="1"/>
      <c r="BA77" s="1"/>
      <c r="BB77" s="1"/>
      <c r="BC77" s="1"/>
      <c r="BD77" s="3">
        <f>2240*0.0143735387655098</f>
        <v>32.196726834741952</v>
      </c>
      <c r="BE77" s="3">
        <f>2240*0.0145716263867197</f>
        <v>32.640443106252128</v>
      </c>
      <c r="BF77" s="1"/>
      <c r="BG77" s="1">
        <f>20*1.5707100591716</f>
        <v>31.414201183431999</v>
      </c>
      <c r="BH77" s="1"/>
      <c r="BI77" s="1"/>
      <c r="BJ77" s="1">
        <f>2240*0.0208233846153846</f>
        <v>46.644381538461509</v>
      </c>
      <c r="BK77" s="1"/>
      <c r="BL77" s="3"/>
      <c r="BM77" s="1">
        <f>2240*0.0150037509377344</f>
        <v>33.608402100525055</v>
      </c>
      <c r="BN77" s="1"/>
      <c r="BO77" s="1"/>
      <c r="BP77" s="1"/>
      <c r="BQ77" s="1"/>
      <c r="BR77" s="1"/>
      <c r="BS77" s="1">
        <f>2240*0.0112791008016386</f>
        <v>25.265185795670462</v>
      </c>
      <c r="BT77" s="1"/>
      <c r="BU77" s="1"/>
      <c r="BV77" s="3">
        <f>2240*0.0102107121466004</f>
        <v>22.871995208384899</v>
      </c>
      <c r="BW77" s="1"/>
      <c r="BX77" s="1"/>
      <c r="BY77" s="1">
        <f>2240*0.0110971450620566</f>
        <v>24.857604939006784</v>
      </c>
      <c r="BZ77" s="3"/>
      <c r="CA77" s="1"/>
      <c r="CB77" s="1">
        <f>2240*0.0112770253461154</f>
        <v>25.260536775298494</v>
      </c>
      <c r="CC77" s="3">
        <f>2240*0.0148604068666382</f>
        <v>33.287311381269568</v>
      </c>
      <c r="CD77" s="1"/>
      <c r="CE77" s="1"/>
      <c r="CF77" s="3"/>
      <c r="CH77" s="1">
        <f>20*1.42177599286033</f>
        <v>28.4355198572066</v>
      </c>
      <c r="CI77" s="1"/>
      <c r="CJ77" s="1"/>
      <c r="CK77" s="1">
        <f>20*0.737941131145015</f>
        <v>14.758822622900301</v>
      </c>
      <c r="CL77" s="1"/>
      <c r="CM77" s="1"/>
      <c r="CN77" s="1">
        <f>20*0.853424190800681</f>
        <v>17.068483816013618</v>
      </c>
      <c r="CO77" s="1"/>
      <c r="CP77" s="1"/>
      <c r="CQ77" s="1">
        <f>20*0.789862204724409</f>
        <v>15.797244094488182</v>
      </c>
      <c r="CS77" s="1"/>
      <c r="CW77" s="1">
        <v>12.203275852379385</v>
      </c>
      <c r="CX77" s="1">
        <v>11.85835734990339</v>
      </c>
    </row>
    <row r="78" spans="1:102" x14ac:dyDescent="0.25">
      <c r="A78" s="8">
        <f t="shared" si="6"/>
        <v>1911</v>
      </c>
      <c r="C78" s="1">
        <v>12.805</v>
      </c>
      <c r="D78" s="1">
        <v>15.39</v>
      </c>
      <c r="E78" s="1">
        <f>(2240/175)*1.29692434398914</f>
        <v>16.600631603060993</v>
      </c>
      <c r="F78" s="1"/>
      <c r="G78" s="1">
        <f>2240*0.00914634146341463</f>
        <v>20.48780487804877</v>
      </c>
      <c r="H78" s="1"/>
      <c r="I78" s="3"/>
      <c r="J78" s="3"/>
      <c r="K78" s="1"/>
      <c r="L78" s="1"/>
      <c r="M78" s="1"/>
      <c r="N78" s="1">
        <v>13.253959837654421</v>
      </c>
      <c r="O78" s="1">
        <v>17.11753747280585</v>
      </c>
      <c r="P78" s="1"/>
      <c r="Q78" s="1">
        <f>2240*0.0081609579907668</f>
        <v>18.280545899317634</v>
      </c>
      <c r="R78" s="3"/>
      <c r="S78" s="3"/>
      <c r="T78" s="1">
        <v>19.204545454545453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>
        <v>16.571092897703434</v>
      </c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>
        <v>13.928595132743363</v>
      </c>
      <c r="AV78" s="1"/>
      <c r="AW78" s="1"/>
      <c r="AX78" s="1">
        <f>20*1.86961516369902</f>
        <v>37.392303273980396</v>
      </c>
      <c r="AY78" s="1"/>
      <c r="AZ78" s="1"/>
      <c r="BA78" s="1"/>
      <c r="BB78" s="1"/>
      <c r="BC78" s="1"/>
      <c r="BD78" s="3">
        <f>2240*0.013398734270711</f>
        <v>30.013164766392638</v>
      </c>
      <c r="BE78" s="3">
        <f>2240*0.0132420770718643</f>
        <v>29.662252640976032</v>
      </c>
      <c r="BF78" s="1"/>
      <c r="BG78" s="1">
        <f>20*1.56137263528377</f>
        <v>31.2274527056754</v>
      </c>
      <c r="BH78" s="1"/>
      <c r="BI78" s="1"/>
      <c r="BJ78" s="1">
        <f>2240*0.0125</f>
        <v>28</v>
      </c>
      <c r="BK78" s="1"/>
      <c r="BL78" s="3"/>
      <c r="BM78" s="1">
        <f>2240*0.0150037509377344</f>
        <v>33.608402100525055</v>
      </c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CA78" s="1"/>
      <c r="CB78" s="1"/>
      <c r="CC78" s="1"/>
      <c r="CD78" s="1"/>
      <c r="CE78" s="1"/>
      <c r="CF78" s="3"/>
      <c r="CH78" s="1">
        <f>20*0.750123946455131</f>
        <v>15.002478929102621</v>
      </c>
      <c r="CI78" s="1"/>
      <c r="CJ78" s="1"/>
      <c r="CK78" s="1">
        <f>20*0.849618049387103</f>
        <v>16.99236098774206</v>
      </c>
      <c r="CL78" s="1"/>
      <c r="CM78" s="1"/>
      <c r="CN78" s="1">
        <f>20*0.810448521916412</f>
        <v>16.20897043832824</v>
      </c>
      <c r="CO78" s="1"/>
      <c r="CP78" s="1"/>
      <c r="CQ78" s="1">
        <f>20*0.812609065282563</f>
        <v>16.252181305651263</v>
      </c>
      <c r="CS78" s="1"/>
      <c r="CW78" s="1">
        <v>11.117461583754942</v>
      </c>
      <c r="CX78" s="1">
        <v>11.722005098603528</v>
      </c>
    </row>
    <row r="79" spans="1:102" x14ac:dyDescent="0.25">
      <c r="A79" s="8">
        <f t="shared" si="6"/>
        <v>1912</v>
      </c>
      <c r="C79" s="1">
        <v>12.715</v>
      </c>
      <c r="D79" s="1">
        <v>17.649999999999999</v>
      </c>
      <c r="E79" s="1">
        <f>(2240/175)*1.67335009633282</f>
        <v>21.418881233060098</v>
      </c>
      <c r="F79" s="1"/>
      <c r="G79" s="1">
        <f>2240*0.00914634146341463</f>
        <v>20.48780487804877</v>
      </c>
      <c r="H79" s="1"/>
      <c r="I79" s="3"/>
      <c r="J79" s="3">
        <f>2240*0.00546875</f>
        <v>12.25</v>
      </c>
      <c r="K79" s="1"/>
      <c r="L79" s="1"/>
      <c r="M79" s="1"/>
      <c r="N79" s="1">
        <v>12.290086488049331</v>
      </c>
      <c r="O79" s="1">
        <v>18.442227792190579</v>
      </c>
      <c r="P79" s="1"/>
      <c r="Q79" s="1">
        <f>2240*0.00833333333333333</f>
        <v>18.666666666666657</v>
      </c>
      <c r="R79" s="3"/>
      <c r="S79" s="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>
        <v>14.211078717201167</v>
      </c>
      <c r="AV79" s="1"/>
      <c r="AW79" s="1"/>
      <c r="AX79" s="1">
        <f>20*1.98187311178248</f>
        <v>39.6374622356496</v>
      </c>
      <c r="AY79" s="1"/>
      <c r="AZ79" s="1"/>
      <c r="BA79" s="1">
        <f>2240*0.0195604395604396</f>
        <v>43.815384615384701</v>
      </c>
      <c r="BB79" s="1"/>
      <c r="BC79" s="1"/>
      <c r="BD79" s="1">
        <f>2240*0.0146872804322002</f>
        <v>32.899508168128449</v>
      </c>
      <c r="BE79" s="1">
        <f>2240*0.0153846153846154</f>
        <v>34.461538461538495</v>
      </c>
      <c r="BF79" s="1"/>
      <c r="BG79" s="1">
        <f>20*1.88193624557261</f>
        <v>37.638724911452201</v>
      </c>
      <c r="BH79" s="3"/>
      <c r="BI79" s="1"/>
      <c r="BJ79" s="1">
        <f>2240*0.0166666666666667</f>
        <v>37.333333333333414</v>
      </c>
      <c r="BK79" s="1"/>
      <c r="BL79" s="3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H79" s="1">
        <f>20*0.749972840847366</f>
        <v>14.999456816947321</v>
      </c>
      <c r="CI79" s="1"/>
      <c r="CJ79" s="1"/>
      <c r="CK79" s="1"/>
      <c r="CL79" s="1"/>
      <c r="CM79" s="1"/>
      <c r="CN79" s="1">
        <f>20*0.912861356932153</f>
        <v>18.25722713864306</v>
      </c>
      <c r="CO79" s="1"/>
      <c r="CP79" s="1"/>
      <c r="CQ79" s="1">
        <f>20*0.852443814095571</f>
        <v>17.048876281911419</v>
      </c>
      <c r="CS79" s="1"/>
      <c r="CW79" s="1">
        <v>13.981217015677361</v>
      </c>
      <c r="CX79" s="1">
        <v>11.43133378656597</v>
      </c>
    </row>
    <row r="80" spans="1:102" x14ac:dyDescent="0.25">
      <c r="A80" s="8">
        <f t="shared" si="6"/>
        <v>1913</v>
      </c>
      <c r="C80" s="1">
        <v>10.33</v>
      </c>
      <c r="D80" s="1">
        <v>14.39</v>
      </c>
      <c r="E80" s="1"/>
      <c r="F80" s="1"/>
      <c r="G80" s="1"/>
      <c r="H80" s="1"/>
      <c r="I80" s="3"/>
      <c r="J80" s="1"/>
      <c r="K80" s="1"/>
      <c r="L80" s="1"/>
      <c r="M80" s="1"/>
      <c r="N80" s="1">
        <v>11.723038849601229</v>
      </c>
      <c r="O80" s="1">
        <v>15.637600088394857</v>
      </c>
      <c r="P80" s="1"/>
      <c r="Q80" s="1">
        <f>2240*0.00729060088672891</f>
        <v>16.330945986272759</v>
      </c>
      <c r="R80" s="3"/>
      <c r="S80" s="3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>
        <v>14.776032388663968</v>
      </c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H80" s="1">
        <f>20*0.733347005742412</f>
        <v>14.66694011484824</v>
      </c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W80" s="1">
        <v>11.224429772037848</v>
      </c>
      <c r="CX80" s="1">
        <v>12.482230121673528</v>
      </c>
    </row>
    <row r="81" spans="1:102" x14ac:dyDescent="0.25">
      <c r="A81" s="8">
        <f t="shared" si="6"/>
        <v>1914</v>
      </c>
      <c r="C81" s="1">
        <v>13.370000000000001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W81" s="1">
        <v>7.777506707227543</v>
      </c>
      <c r="CX81" s="1">
        <v>8.5144729390568532</v>
      </c>
    </row>
    <row r="82" spans="1:102" x14ac:dyDescent="0.25">
      <c r="A82" s="8">
        <f t="shared" si="6"/>
        <v>1915</v>
      </c>
      <c r="C82" s="1">
        <v>9.77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W82" s="1">
        <v>11.938079759607104</v>
      </c>
      <c r="CX82" s="1">
        <v>10.739134850770771</v>
      </c>
    </row>
    <row r="83" spans="1:102" x14ac:dyDescent="0.25">
      <c r="A83" s="8">
        <f t="shared" si="6"/>
        <v>1916</v>
      </c>
      <c r="C83" s="1">
        <v>11.09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W83" s="1">
        <v>15.276686018822531</v>
      </c>
      <c r="CX83" s="1">
        <v>13.944502723174843</v>
      </c>
    </row>
    <row r="84" spans="1:102" x14ac:dyDescent="0.25">
      <c r="A84" s="8">
        <f t="shared" si="6"/>
        <v>1917</v>
      </c>
      <c r="C84" s="1">
        <v>24.035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W84" s="1">
        <v>17.019639196147629</v>
      </c>
      <c r="CX84" s="1">
        <v>12.451333003167692</v>
      </c>
    </row>
    <row r="85" spans="1:102" x14ac:dyDescent="0.25">
      <c r="A85" s="8">
        <f t="shared" si="6"/>
        <v>1918</v>
      </c>
      <c r="C85" s="1">
        <v>25.15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W85" s="1">
        <v>15.611650371295196</v>
      </c>
      <c r="CX85" s="1">
        <v>15.381746828985372</v>
      </c>
    </row>
    <row r="86" spans="1:102" x14ac:dyDescent="0.25">
      <c r="A86" s="8">
        <f t="shared" si="6"/>
        <v>1919</v>
      </c>
      <c r="C86" s="1">
        <v>30.805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W86" s="1">
        <v>18.534001287617944</v>
      </c>
      <c r="CX86" s="1">
        <v>21.337093563370935</v>
      </c>
    </row>
    <row r="87" spans="1:102" x14ac:dyDescent="0.25">
      <c r="A87" s="8">
        <f t="shared" si="6"/>
        <v>1920</v>
      </c>
      <c r="C87" s="1">
        <v>45.4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W87" s="1">
        <v>36.276829501498362</v>
      </c>
      <c r="CX87" s="1">
        <v>27.118314687688414</v>
      </c>
    </row>
    <row r="88" spans="1:102" x14ac:dyDescent="0.25">
      <c r="A88" s="8">
        <f t="shared" si="6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W88" s="1">
        <v>21.890625000000004</v>
      </c>
      <c r="CX88" s="1">
        <v>17.386363636363637</v>
      </c>
    </row>
    <row r="89" spans="1:102" x14ac:dyDescent="0.25">
      <c r="A89" s="8">
        <f t="shared" si="6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W89" s="1">
        <v>15.750000000000002</v>
      </c>
      <c r="CX89" s="1">
        <v>12.272727272727273</v>
      </c>
    </row>
    <row r="90" spans="1:102" x14ac:dyDescent="0.25">
      <c r="A90" s="8">
        <f t="shared" si="6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W90" s="1">
        <v>16.6875</v>
      </c>
      <c r="CX90" s="1">
        <v>15.596590909090908</v>
      </c>
    </row>
    <row r="91" spans="1:102" x14ac:dyDescent="0.25">
      <c r="A91" s="8">
        <f t="shared" si="6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W91" s="1">
        <v>18.796875</v>
      </c>
      <c r="CX91" s="1">
        <v>9.4602272727272734</v>
      </c>
    </row>
    <row r="92" spans="1:102" x14ac:dyDescent="0.25">
      <c r="A92" s="8">
        <f t="shared" si="6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W92" s="1">
        <v>8.8125</v>
      </c>
      <c r="CX92" s="1"/>
    </row>
    <row r="93" spans="1:102" x14ac:dyDescent="0.25">
      <c r="A93" s="8">
        <f t="shared" si="6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W93" s="1">
        <v>9.12890625</v>
      </c>
      <c r="CX93" s="1"/>
    </row>
    <row r="94" spans="1:102" x14ac:dyDescent="0.25">
      <c r="A94" s="8">
        <f t="shared" si="6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W94" s="1">
        <v>8.6484375</v>
      </c>
      <c r="CX94" s="1"/>
    </row>
    <row r="95" spans="1:102" x14ac:dyDescent="0.25">
      <c r="A95" s="8">
        <f t="shared" si="6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W95" s="1">
        <v>7.5351562500000009</v>
      </c>
      <c r="CX95" s="1"/>
    </row>
    <row r="96" spans="1:102" x14ac:dyDescent="0.25">
      <c r="A96" s="8">
        <f t="shared" si="6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W96" s="1">
        <v>7.1455078125000009</v>
      </c>
      <c r="CX96" s="1"/>
    </row>
    <row r="97" spans="1:102" x14ac:dyDescent="0.25">
      <c r="A97" s="8">
        <f t="shared" si="6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W97" s="1">
        <v>6.1737132352941178</v>
      </c>
      <c r="CX97" s="1"/>
    </row>
    <row r="98" spans="1:102" x14ac:dyDescent="0.25">
      <c r="A98" s="8">
        <f t="shared" si="6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W98" s="1">
        <v>6.1709558823529411</v>
      </c>
      <c r="CX98" s="1"/>
    </row>
    <row r="99" spans="1:102" hidden="1" x14ac:dyDescent="0.25">
      <c r="A99" s="8">
        <f t="shared" si="6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</row>
    <row r="100" spans="1:102" hidden="1" x14ac:dyDescent="0.25">
      <c r="A100" s="8">
        <f t="shared" si="6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</row>
    <row r="101" spans="1:102" hidden="1" x14ac:dyDescent="0.25">
      <c r="A101" s="8">
        <f t="shared" si="6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</row>
    <row r="102" spans="1:102" hidden="1" x14ac:dyDescent="0.25">
      <c r="A102" s="8">
        <f t="shared" si="6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</row>
    <row r="103" spans="1:102" hidden="1" x14ac:dyDescent="0.25">
      <c r="A103" s="8">
        <f t="shared" si="6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</row>
    <row r="104" spans="1:102" hidden="1" x14ac:dyDescent="0.25">
      <c r="A104" s="8">
        <f t="shared" ref="A104:A135" si="7">A103+1</f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</row>
    <row r="105" spans="1:102" hidden="1" x14ac:dyDescent="0.25">
      <c r="A105" s="8">
        <f t="shared" si="7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</row>
    <row r="106" spans="1:102" hidden="1" x14ac:dyDescent="0.25">
      <c r="A106" s="8">
        <f t="shared" si="7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</row>
    <row r="107" spans="1:102" hidden="1" x14ac:dyDescent="0.25">
      <c r="A107" s="8">
        <f t="shared" si="7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</row>
    <row r="108" spans="1:102" hidden="1" x14ac:dyDescent="0.25">
      <c r="A108" s="8">
        <f t="shared" si="7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</row>
    <row r="109" spans="1:102" hidden="1" x14ac:dyDescent="0.25">
      <c r="A109" s="8">
        <f t="shared" si="7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</row>
    <row r="110" spans="1:102" hidden="1" x14ac:dyDescent="0.25">
      <c r="A110" s="8">
        <f t="shared" si="7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</row>
    <row r="111" spans="1:102" hidden="1" x14ac:dyDescent="0.25">
      <c r="A111" s="8">
        <f t="shared" si="7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</row>
    <row r="112" spans="1:102" hidden="1" x14ac:dyDescent="0.25">
      <c r="A112" s="8">
        <f t="shared" si="7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</row>
    <row r="113" spans="1:97" hidden="1" x14ac:dyDescent="0.25">
      <c r="A113" s="8">
        <f t="shared" si="7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</row>
    <row r="114" spans="1:97" hidden="1" x14ac:dyDescent="0.25">
      <c r="A114" s="8">
        <f t="shared" si="7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</row>
    <row r="115" spans="1:97" hidden="1" x14ac:dyDescent="0.25">
      <c r="A115" s="8">
        <f t="shared" si="7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</row>
    <row r="116" spans="1:97" hidden="1" x14ac:dyDescent="0.25">
      <c r="A116" s="8">
        <f t="shared" si="7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</row>
    <row r="117" spans="1:97" hidden="1" x14ac:dyDescent="0.25">
      <c r="A117" s="8">
        <f t="shared" si="7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</row>
    <row r="118" spans="1:97" hidden="1" x14ac:dyDescent="0.25">
      <c r="A118" s="8">
        <f t="shared" si="7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</row>
    <row r="119" spans="1:97" hidden="1" x14ac:dyDescent="0.25">
      <c r="A119" s="8">
        <f t="shared" si="7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</row>
    <row r="120" spans="1:97" hidden="1" x14ac:dyDescent="0.25">
      <c r="A120" s="8">
        <f t="shared" si="7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</row>
    <row r="121" spans="1:97" hidden="1" x14ac:dyDescent="0.25">
      <c r="A121" s="8">
        <f t="shared" si="7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</row>
    <row r="122" spans="1:97" hidden="1" x14ac:dyDescent="0.25">
      <c r="A122" s="8">
        <f t="shared" si="7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</row>
    <row r="123" spans="1:97" hidden="1" x14ac:dyDescent="0.25">
      <c r="A123" s="8">
        <f t="shared" si="7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</row>
    <row r="124" spans="1:97" hidden="1" x14ac:dyDescent="0.25">
      <c r="A124" s="8">
        <f t="shared" si="7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</row>
    <row r="125" spans="1:97" hidden="1" x14ac:dyDescent="0.25">
      <c r="A125" s="8">
        <f t="shared" si="7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</row>
    <row r="126" spans="1:97" hidden="1" x14ac:dyDescent="0.25">
      <c r="A126" s="8">
        <f t="shared" si="7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</row>
    <row r="127" spans="1:97" hidden="1" x14ac:dyDescent="0.25">
      <c r="A127" s="8">
        <f t="shared" si="7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</row>
    <row r="128" spans="1:97" hidden="1" x14ac:dyDescent="0.25">
      <c r="A128" s="8">
        <f t="shared" si="7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</row>
    <row r="129" spans="1:97" hidden="1" x14ac:dyDescent="0.25">
      <c r="A129" s="8">
        <f t="shared" si="7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</row>
    <row r="130" spans="1:97" hidden="1" x14ac:dyDescent="0.25">
      <c r="A130" s="8">
        <f t="shared" si="7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</row>
    <row r="131" spans="1:97" hidden="1" x14ac:dyDescent="0.25">
      <c r="A131" s="8">
        <f t="shared" si="7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</row>
    <row r="132" spans="1:97" hidden="1" x14ac:dyDescent="0.25">
      <c r="A132" s="8">
        <f t="shared" si="7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</row>
    <row r="133" spans="1:97" hidden="1" x14ac:dyDescent="0.25">
      <c r="A133" s="8">
        <f t="shared" si="7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</row>
    <row r="134" spans="1:97" hidden="1" x14ac:dyDescent="0.25">
      <c r="A134" s="8">
        <f t="shared" si="7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</row>
    <row r="135" spans="1:97" hidden="1" x14ac:dyDescent="0.25">
      <c r="A135" s="8">
        <f t="shared" si="7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</row>
    <row r="136" spans="1:97" hidden="1" x14ac:dyDescent="0.25">
      <c r="A136" s="8">
        <f t="shared" ref="A136:A145" si="8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</row>
    <row r="137" spans="1:97" hidden="1" x14ac:dyDescent="0.25">
      <c r="A137" s="8">
        <f t="shared" si="8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</row>
    <row r="138" spans="1:97" hidden="1" x14ac:dyDescent="0.25">
      <c r="A138" s="8">
        <f t="shared" si="8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</row>
    <row r="139" spans="1:97" hidden="1" x14ac:dyDescent="0.25">
      <c r="A139" s="8">
        <f t="shared" si="8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</row>
    <row r="140" spans="1:97" hidden="1" x14ac:dyDescent="0.25">
      <c r="A140" s="8">
        <f t="shared" si="8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</row>
    <row r="141" spans="1:97" hidden="1" x14ac:dyDescent="0.25">
      <c r="A141" s="8">
        <f t="shared" si="8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</row>
    <row r="142" spans="1:97" hidden="1" x14ac:dyDescent="0.25">
      <c r="A142" s="8">
        <f t="shared" si="8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</row>
    <row r="143" spans="1:97" hidden="1" x14ac:dyDescent="0.25">
      <c r="A143" s="8">
        <f t="shared" si="8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</row>
    <row r="144" spans="1:97" hidden="1" x14ac:dyDescent="0.25">
      <c r="A144" s="8">
        <f t="shared" si="8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</row>
    <row r="145" spans="1:97" hidden="1" x14ac:dyDescent="0.25">
      <c r="A145" s="8">
        <f t="shared" si="8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</row>
    <row r="146" spans="1:97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</row>
    <row r="147" spans="1:97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</row>
    <row r="148" spans="1:97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</row>
    <row r="149" spans="1:97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</row>
    <row r="150" spans="1:97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</row>
    <row r="151" spans="1:97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</row>
    <row r="152" spans="1:97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</row>
    <row r="153" spans="1:97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</row>
    <row r="154" spans="1:97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</row>
    <row r="155" spans="1:97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</row>
    <row r="156" spans="1:97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</row>
    <row r="157" spans="1:97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</row>
    <row r="158" spans="1:97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</row>
    <row r="159" spans="1:97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</row>
    <row r="160" spans="1:97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</row>
    <row r="161" spans="3:9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</row>
    <row r="162" spans="3:9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</row>
    <row r="163" spans="3:9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</row>
    <row r="164" spans="3:9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</row>
    <row r="165" spans="3:9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</row>
    <row r="166" spans="3:9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</row>
    <row r="167" spans="3:9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</row>
    <row r="168" spans="3:9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</row>
    <row r="169" spans="3:9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</row>
    <row r="170" spans="3:9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</row>
    <row r="171" spans="3:9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</row>
    <row r="172" spans="3:9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</row>
    <row r="173" spans="3:9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</row>
    <row r="174" spans="3:9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</row>
    <row r="175" spans="3:9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</row>
    <row r="176" spans="3:9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</row>
    <row r="177" spans="3:97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</row>
    <row r="178" spans="3:97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</row>
    <row r="179" spans="3:97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</row>
    <row r="180" spans="3:97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</row>
    <row r="181" spans="3:97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</row>
    <row r="182" spans="3:97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</row>
    <row r="183" spans="3:97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</row>
    <row r="184" spans="3:97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</row>
    <row r="185" spans="3:97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</row>
    <row r="186" spans="3:97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</row>
    <row r="187" spans="3:97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</row>
    <row r="188" spans="3:97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</row>
    <row r="189" spans="3:97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</row>
    <row r="190" spans="3:97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</row>
    <row r="191" spans="3:97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3:97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3:97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</row>
    <row r="194" spans="3:97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</row>
    <row r="195" spans="3:97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</row>
    <row r="196" spans="3:97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</row>
    <row r="197" spans="3:97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</row>
    <row r="198" spans="3:97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</row>
    <row r="199" spans="3:97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</row>
    <row r="200" spans="3:97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</row>
    <row r="201" spans="3:97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</row>
    <row r="202" spans="3:97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</row>
    <row r="203" spans="3:97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</row>
    <row r="204" spans="3:97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</row>
    <row r="205" spans="3:97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</row>
    <row r="206" spans="3:97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</row>
    <row r="207" spans="3:97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</row>
    <row r="208" spans="3:97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</row>
    <row r="209" spans="3:97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</row>
    <row r="210" spans="3:97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</row>
    <row r="211" spans="3:97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</row>
    <row r="212" spans="3:97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</row>
    <row r="213" spans="3:97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</row>
    <row r="214" spans="3:97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</row>
    <row r="215" spans="3:97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</row>
    <row r="216" spans="3:97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</row>
    <row r="217" spans="3:97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</row>
    <row r="218" spans="3:97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</row>
    <row r="219" spans="3:97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</row>
    <row r="220" spans="3:97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</row>
    <row r="221" spans="3:97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</row>
    <row r="222" spans="3:97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</row>
    <row r="223" spans="3:97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</row>
    <row r="224" spans="3:97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</row>
    <row r="225" spans="3:97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</row>
    <row r="226" spans="3:97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</row>
    <row r="227" spans="3:97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</row>
    <row r="228" spans="3:97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</row>
    <row r="229" spans="3:97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</row>
    <row r="230" spans="3:97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</row>
    <row r="231" spans="3:97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</row>
    <row r="232" spans="3:97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</row>
    <row r="233" spans="3:97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</row>
    <row r="234" spans="3:97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</row>
    <row r="235" spans="3:97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</row>
    <row r="236" spans="3:97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</row>
    <row r="237" spans="3:97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</row>
    <row r="238" spans="3:97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</row>
    <row r="239" spans="3:97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</row>
    <row r="240" spans="3:97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</row>
    <row r="241" spans="3:97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</row>
    <row r="242" spans="3:97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</row>
    <row r="243" spans="3:97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</row>
    <row r="244" spans="3:97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</row>
    <row r="245" spans="3:97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</row>
    <row r="246" spans="3:97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</row>
    <row r="247" spans="3:97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</row>
    <row r="248" spans="3:97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</row>
    <row r="249" spans="3:97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</row>
    <row r="250" spans="3:97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</row>
    <row r="251" spans="3:97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</row>
    <row r="252" spans="3:97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</row>
    <row r="253" spans="3:97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</row>
    <row r="254" spans="3:97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</row>
    <row r="255" spans="3:97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</row>
    <row r="256" spans="3:97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</row>
    <row r="257" spans="3:97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</row>
    <row r="258" spans="3:97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</row>
    <row r="259" spans="3:97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</row>
    <row r="260" spans="3:97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</row>
    <row r="261" spans="3:97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</row>
    <row r="262" spans="3:97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</row>
    <row r="263" spans="3:97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</row>
    <row r="264" spans="3:97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</row>
    <row r="265" spans="3:97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</row>
    <row r="266" spans="3:97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</row>
    <row r="267" spans="3:97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</row>
    <row r="268" spans="3:97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</row>
    <row r="269" spans="3:97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</row>
    <row r="270" spans="3:97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</row>
    <row r="271" spans="3:97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</row>
    <row r="272" spans="3:97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</row>
    <row r="273" spans="3:97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</row>
    <row r="274" spans="3:97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</row>
    <row r="275" spans="3:97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</row>
    <row r="276" spans="3:97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</row>
    <row r="277" spans="3:97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</row>
    <row r="278" spans="3:97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</row>
    <row r="279" spans="3:97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</row>
    <row r="280" spans="3:97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</row>
    <row r="281" spans="3:97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</row>
    <row r="282" spans="3:97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</row>
    <row r="283" spans="3:97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</row>
    <row r="284" spans="3:97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</row>
    <row r="285" spans="3:97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</row>
    <row r="286" spans="3:97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</row>
    <row r="287" spans="3:97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</row>
    <row r="288" spans="3:97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</row>
    <row r="289" spans="3:97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</row>
    <row r="290" spans="3:97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</row>
    <row r="291" spans="3:97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</row>
    <row r="292" spans="3:97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</row>
    <row r="293" spans="3:97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</row>
    <row r="294" spans="3:97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</row>
    <row r="295" spans="3:97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</row>
    <row r="296" spans="3:97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</row>
    <row r="297" spans="3:97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</row>
    <row r="298" spans="3:97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</row>
    <row r="299" spans="3:97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</row>
    <row r="300" spans="3:97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</row>
    <row r="301" spans="3:97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</row>
    <row r="302" spans="3:97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</row>
    <row r="303" spans="3:97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</row>
    <row r="304" spans="3:97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</row>
    <row r="305" spans="3:97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</row>
    <row r="306" spans="3:97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</row>
    <row r="307" spans="3:97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</row>
    <row r="308" spans="3:97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</row>
    <row r="309" spans="3:97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</row>
    <row r="310" spans="3:97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</row>
    <row r="311" spans="3:97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</row>
    <row r="312" spans="3:97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</row>
    <row r="313" spans="3:97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922" zoomScale="40" zoomScaleNormal="40" zoomScaleSheetLayoutView="30" workbookViewId="0">
      <selection activeCell="AC971" sqref="AC971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13"/>
  <sheetViews>
    <sheetView zoomScale="60" zoomScaleNormal="6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A99" sqref="A99:XFD145"/>
    </sheetView>
  </sheetViews>
  <sheetFormatPr defaultRowHeight="13.2" x14ac:dyDescent="0.25"/>
  <cols>
    <col min="2" max="2" width="12.33203125" bestFit="1" customWidth="1"/>
    <col min="3" max="3" width="12" customWidth="1"/>
    <col min="4" max="4" width="14.77734375" customWidth="1"/>
    <col min="5" max="13" width="12" customWidth="1"/>
    <col min="14" max="14" width="11.33203125" customWidth="1"/>
    <col min="15" max="19" width="12" customWidth="1"/>
    <col min="20" max="20" width="13.44140625" customWidth="1"/>
    <col min="21" max="38" width="12" customWidth="1"/>
    <col min="39" max="39" width="15.88671875" customWidth="1"/>
    <col min="40" max="41" width="12" customWidth="1"/>
    <col min="42" max="42" width="12.88671875" customWidth="1"/>
    <col min="43" max="43" width="12" customWidth="1"/>
    <col min="44" max="44" width="13.5546875" customWidth="1"/>
    <col min="45" max="45" width="13.77734375" customWidth="1"/>
    <col min="46" max="46" width="13.6640625" customWidth="1"/>
  </cols>
  <sheetData>
    <row r="1" spans="1:46" s="14" customFormat="1" x14ac:dyDescent="0.25"/>
    <row r="2" spans="1:46" s="2" customFormat="1" ht="39" customHeight="1" x14ac:dyDescent="0.25">
      <c r="B2" s="5" t="s">
        <v>32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25</v>
      </c>
      <c r="I2" s="7" t="s">
        <v>25</v>
      </c>
      <c r="J2" s="7" t="s">
        <v>26</v>
      </c>
      <c r="K2" s="7" t="s">
        <v>47</v>
      </c>
      <c r="L2" s="7" t="s">
        <v>47</v>
      </c>
      <c r="M2" s="7" t="s">
        <v>27</v>
      </c>
      <c r="N2" s="7" t="s">
        <v>27</v>
      </c>
      <c r="O2" s="7" t="s">
        <v>2</v>
      </c>
      <c r="P2" s="7" t="s">
        <v>4</v>
      </c>
      <c r="Q2" s="7" t="s">
        <v>56</v>
      </c>
      <c r="R2" s="7" t="s">
        <v>52</v>
      </c>
      <c r="S2" s="7" t="s">
        <v>52</v>
      </c>
      <c r="T2" s="7" t="s">
        <v>29</v>
      </c>
      <c r="U2" s="7" t="s">
        <v>40</v>
      </c>
      <c r="V2" s="7" t="s">
        <v>3</v>
      </c>
      <c r="W2" s="7" t="s">
        <v>10</v>
      </c>
      <c r="X2" s="7" t="s">
        <v>51</v>
      </c>
      <c r="Y2" s="7" t="s">
        <v>21</v>
      </c>
      <c r="Z2" s="7" t="s">
        <v>16</v>
      </c>
      <c r="AA2" s="7" t="s">
        <v>16</v>
      </c>
      <c r="AB2" s="7" t="s">
        <v>16</v>
      </c>
      <c r="AC2" s="7" t="s">
        <v>17</v>
      </c>
      <c r="AD2" s="7" t="s">
        <v>17</v>
      </c>
      <c r="AE2" s="7" t="s">
        <v>18</v>
      </c>
      <c r="AF2" s="7" t="s">
        <v>7</v>
      </c>
      <c r="AG2" s="7" t="s">
        <v>53</v>
      </c>
      <c r="AH2" s="7" t="s">
        <v>50</v>
      </c>
      <c r="AI2" s="7" t="s">
        <v>50</v>
      </c>
      <c r="AJ2" s="7" t="s">
        <v>5</v>
      </c>
      <c r="AK2" s="7" t="s">
        <v>5</v>
      </c>
      <c r="AL2" s="7" t="s">
        <v>28</v>
      </c>
      <c r="AM2" s="7" t="s">
        <v>28</v>
      </c>
      <c r="AN2" s="7" t="s">
        <v>28</v>
      </c>
      <c r="AO2" s="7" t="s">
        <v>28</v>
      </c>
      <c r="AP2" s="7" t="s">
        <v>14</v>
      </c>
      <c r="AQ2" s="7" t="s">
        <v>15</v>
      </c>
      <c r="AR2" s="7" t="s">
        <v>39</v>
      </c>
      <c r="AS2" s="7" t="s">
        <v>59</v>
      </c>
      <c r="AT2" s="7" t="s">
        <v>59</v>
      </c>
    </row>
    <row r="3" spans="1:46" ht="26.4" x14ac:dyDescent="0.25">
      <c r="B3" s="5" t="s">
        <v>34</v>
      </c>
      <c r="C3" s="7" t="s">
        <v>49</v>
      </c>
      <c r="D3" s="7" t="s">
        <v>48</v>
      </c>
      <c r="E3" s="7" t="s">
        <v>45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45</v>
      </c>
      <c r="R3" s="7" t="s">
        <v>45</v>
      </c>
      <c r="S3" s="7" t="s">
        <v>45</v>
      </c>
      <c r="T3" s="7" t="s">
        <v>45</v>
      </c>
      <c r="U3" s="7" t="s">
        <v>45</v>
      </c>
      <c r="V3" s="7" t="s">
        <v>45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45</v>
      </c>
      <c r="AD3" s="7" t="s">
        <v>45</v>
      </c>
      <c r="AE3" s="7" t="s">
        <v>45</v>
      </c>
      <c r="AF3" s="7" t="s">
        <v>45</v>
      </c>
      <c r="AG3" s="7" t="s">
        <v>45</v>
      </c>
      <c r="AH3" s="7" t="s">
        <v>45</v>
      </c>
      <c r="AI3" s="7" t="s">
        <v>45</v>
      </c>
      <c r="AJ3" s="7" t="s">
        <v>45</v>
      </c>
      <c r="AK3" s="7" t="s">
        <v>45</v>
      </c>
      <c r="AL3" s="7" t="s">
        <v>45</v>
      </c>
      <c r="AM3" s="7" t="s">
        <v>55</v>
      </c>
      <c r="AN3" s="7" t="s">
        <v>54</v>
      </c>
      <c r="AO3" s="7" t="s">
        <v>45</v>
      </c>
      <c r="AP3" s="7" t="s">
        <v>45</v>
      </c>
      <c r="AQ3" s="7" t="s">
        <v>45</v>
      </c>
      <c r="AR3" s="7" t="s">
        <v>45</v>
      </c>
      <c r="AS3" s="7" t="s">
        <v>45</v>
      </c>
      <c r="AT3" s="7" t="s">
        <v>45</v>
      </c>
    </row>
    <row r="4" spans="1:46" s="2" customFormat="1" ht="27" customHeight="1" x14ac:dyDescent="0.25">
      <c r="B4" s="5" t="s">
        <v>33</v>
      </c>
      <c r="C4" s="5" t="s">
        <v>9</v>
      </c>
      <c r="D4" s="5" t="s">
        <v>8</v>
      </c>
      <c r="E4" s="5" t="s">
        <v>9</v>
      </c>
      <c r="F4" s="7" t="s">
        <v>8</v>
      </c>
      <c r="G4" s="5" t="s">
        <v>11</v>
      </c>
      <c r="H4" s="5" t="s">
        <v>9</v>
      </c>
      <c r="I4" s="5" t="s">
        <v>11</v>
      </c>
      <c r="J4" s="5" t="s">
        <v>9</v>
      </c>
      <c r="K4" s="5" t="s">
        <v>9</v>
      </c>
      <c r="L4" s="5" t="s">
        <v>8</v>
      </c>
      <c r="M4" s="5" t="s">
        <v>9</v>
      </c>
      <c r="N4" s="5" t="s">
        <v>11</v>
      </c>
      <c r="O4" s="5" t="s">
        <v>9</v>
      </c>
      <c r="P4" s="5" t="s">
        <v>9</v>
      </c>
      <c r="Q4" s="5" t="s">
        <v>9</v>
      </c>
      <c r="R4" s="5" t="s">
        <v>9</v>
      </c>
      <c r="S4" s="5" t="s">
        <v>8</v>
      </c>
      <c r="T4" s="5" t="s">
        <v>9</v>
      </c>
      <c r="U4" s="5" t="s">
        <v>9</v>
      </c>
      <c r="V4" s="5" t="s">
        <v>9</v>
      </c>
      <c r="W4" s="5" t="s">
        <v>9</v>
      </c>
      <c r="X4" s="5" t="s">
        <v>9</v>
      </c>
      <c r="Y4" s="5" t="s">
        <v>11</v>
      </c>
      <c r="Z4" s="5" t="s">
        <v>9</v>
      </c>
      <c r="AA4" s="5" t="s">
        <v>8</v>
      </c>
      <c r="AB4" s="5" t="s">
        <v>11</v>
      </c>
      <c r="AC4" s="5" t="s">
        <v>9</v>
      </c>
      <c r="AD4" s="5" t="s">
        <v>11</v>
      </c>
      <c r="AE4" s="5" t="s">
        <v>9</v>
      </c>
      <c r="AF4" s="5" t="s">
        <v>9</v>
      </c>
      <c r="AG4" s="5" t="s">
        <v>9</v>
      </c>
      <c r="AH4" s="5" t="s">
        <v>9</v>
      </c>
      <c r="AI4" s="5" t="s">
        <v>8</v>
      </c>
      <c r="AJ4" s="5" t="s">
        <v>9</v>
      </c>
      <c r="AK4" s="5" t="s">
        <v>8</v>
      </c>
      <c r="AL4" s="5" t="s">
        <v>9</v>
      </c>
      <c r="AM4" s="5" t="s">
        <v>9</v>
      </c>
      <c r="AN4" s="5" t="s">
        <v>9</v>
      </c>
      <c r="AO4" s="5" t="s">
        <v>8</v>
      </c>
      <c r="AP4" s="5" t="s">
        <v>9</v>
      </c>
      <c r="AQ4" s="5" t="s">
        <v>9</v>
      </c>
      <c r="AR4" s="5" t="s">
        <v>9</v>
      </c>
      <c r="AS4" s="5" t="s">
        <v>9</v>
      </c>
      <c r="AT4" s="5" t="s">
        <v>8</v>
      </c>
    </row>
    <row r="5" spans="1:46" s="9" customFormat="1" x14ac:dyDescent="0.25">
      <c r="A5" s="4" t="s">
        <v>36</v>
      </c>
      <c r="B5" s="4" t="s">
        <v>35</v>
      </c>
      <c r="C5" s="6" t="s">
        <v>6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6</v>
      </c>
      <c r="Q5" s="6" t="s">
        <v>6</v>
      </c>
      <c r="R5" s="6" t="s">
        <v>6</v>
      </c>
      <c r="S5" s="6" t="s">
        <v>6</v>
      </c>
      <c r="T5" s="6" t="s">
        <v>6</v>
      </c>
      <c r="U5" s="6" t="s">
        <v>6</v>
      </c>
      <c r="V5" s="6" t="s">
        <v>6</v>
      </c>
      <c r="W5" s="6" t="s">
        <v>6</v>
      </c>
      <c r="X5" s="6" t="s">
        <v>6</v>
      </c>
      <c r="Y5" s="6" t="s">
        <v>6</v>
      </c>
      <c r="Z5" s="6" t="s">
        <v>6</v>
      </c>
      <c r="AA5" s="6" t="s">
        <v>6</v>
      </c>
      <c r="AB5" s="6" t="s">
        <v>6</v>
      </c>
      <c r="AC5" s="6" t="s">
        <v>6</v>
      </c>
      <c r="AD5" s="6" t="s">
        <v>6</v>
      </c>
      <c r="AE5" s="6" t="s">
        <v>6</v>
      </c>
      <c r="AF5" s="6" t="s">
        <v>6</v>
      </c>
      <c r="AG5" s="6" t="s">
        <v>6</v>
      </c>
      <c r="AH5" s="6" t="s">
        <v>6</v>
      </c>
      <c r="AI5" s="6" t="s">
        <v>6</v>
      </c>
      <c r="AJ5" s="6" t="s">
        <v>6</v>
      </c>
      <c r="AK5" s="6" t="s">
        <v>6</v>
      </c>
      <c r="AL5" s="6" t="s">
        <v>6</v>
      </c>
      <c r="AM5" s="6" t="s">
        <v>6</v>
      </c>
      <c r="AN5" s="6" t="s">
        <v>6</v>
      </c>
      <c r="AO5" s="6" t="s">
        <v>6</v>
      </c>
      <c r="AP5" s="6" t="s">
        <v>6</v>
      </c>
      <c r="AQ5" s="6" t="s">
        <v>6</v>
      </c>
      <c r="AR5" s="6" t="s">
        <v>6</v>
      </c>
      <c r="AS5" s="6" t="s">
        <v>6</v>
      </c>
      <c r="AT5" s="6" t="s">
        <v>6</v>
      </c>
    </row>
    <row r="6" spans="1:46" s="2" customFormat="1" ht="54.6" hidden="1" customHeight="1" x14ac:dyDescent="0.25">
      <c r="A6" s="4" t="s">
        <v>36</v>
      </c>
      <c r="B6" s="5" t="s">
        <v>32</v>
      </c>
      <c r="C6" s="7" t="str">
        <f t="shared" ref="C6:AF6" si="0">CONCATENATE(C2,", ",C4,", ","in ",C5)</f>
        <v>UK, Imports, in pound/ton</v>
      </c>
      <c r="D6" s="7" t="str">
        <f t="shared" si="0"/>
        <v>UK, Exports, in pound/ton</v>
      </c>
      <c r="E6" s="7" t="str">
        <f t="shared" si="0"/>
        <v>Baghdad, Imports, in pound/ton</v>
      </c>
      <c r="F6" s="7" t="str">
        <f t="shared" si="0"/>
        <v>Baghdad, Exports, in pound/ton</v>
      </c>
      <c r="G6" s="7" t="str">
        <f t="shared" si="0"/>
        <v>Baghdad, Bazaar (Local), in pound/ton</v>
      </c>
      <c r="H6" s="7" t="str">
        <f t="shared" si="0"/>
        <v>Basrah, Imports, in pound/ton</v>
      </c>
      <c r="I6" s="7" t="str">
        <f t="shared" si="0"/>
        <v>Basrah, Bazaar (Local), in pound/ton</v>
      </c>
      <c r="J6" s="7" t="str">
        <f t="shared" si="0"/>
        <v>Mosul, Imports, in pound/ton</v>
      </c>
      <c r="K6" s="7" t="str">
        <f t="shared" si="0"/>
        <v>Egypt, Imports, in pound/ton</v>
      </c>
      <c r="L6" s="7" t="str">
        <f t="shared" si="0"/>
        <v>Egypt, Exports, in pound/ton</v>
      </c>
      <c r="M6" s="7" t="str">
        <f t="shared" si="0"/>
        <v>Palestine, Imports, in pound/ton</v>
      </c>
      <c r="N6" s="7" t="str">
        <f t="shared" si="0"/>
        <v>Palestine, Bazaar (Local), in pound/ton</v>
      </c>
      <c r="O6" s="7" t="str">
        <f t="shared" si="0"/>
        <v>Damascus, Imports, in pound/ton</v>
      </c>
      <c r="P6" s="7" t="str">
        <f t="shared" si="0"/>
        <v>Beirut, Imports, in pound/ton</v>
      </c>
      <c r="Q6" s="7" t="str">
        <f t="shared" si="0"/>
        <v>Damascus &amp; Beirut, Imports, in pound/ton</v>
      </c>
      <c r="R6" s="7" t="str">
        <f t="shared" si="0"/>
        <v>Turkey &amp; Constantinople, Imports, in pound/ton</v>
      </c>
      <c r="S6" s="7" t="str">
        <f t="shared" si="0"/>
        <v>Turkey &amp; Constantinople, Exports, in pound/ton</v>
      </c>
      <c r="T6" s="7" t="str">
        <f t="shared" si="0"/>
        <v>Trebizond (Anatolia), Imports, in pound/ton</v>
      </c>
      <c r="U6" s="7" t="str">
        <f t="shared" si="0"/>
        <v>Trebizond (Persia), Imports, in pound/ton</v>
      </c>
      <c r="V6" s="7" t="str">
        <f t="shared" si="0"/>
        <v>Izmir, Imports, in pound/ton</v>
      </c>
      <c r="W6" s="7" t="str">
        <f t="shared" si="0"/>
        <v>Alexandretta, Imports, in pound/ton</v>
      </c>
      <c r="X6" s="7" t="str">
        <f t="shared" si="0"/>
        <v>Ispahan &amp; Yezd, Imports, in pound/ton</v>
      </c>
      <c r="Y6" s="7" t="str">
        <f t="shared" si="0"/>
        <v>Ispahan, Bazaar (Local), in pound/ton</v>
      </c>
      <c r="Z6" s="7" t="str">
        <f t="shared" si="0"/>
        <v>Khorasan, Imports, in pound/ton</v>
      </c>
      <c r="AA6" s="7" t="str">
        <f t="shared" si="0"/>
        <v>Khorasan, Exports, in pound/ton</v>
      </c>
      <c r="AB6" s="7" t="str">
        <f t="shared" si="0"/>
        <v>Khorasan, Bazaar (Local), in pound/ton</v>
      </c>
      <c r="AC6" s="7" t="str">
        <f t="shared" si="0"/>
        <v>Kermanshah, Imports, in pound/ton</v>
      </c>
      <c r="AD6" s="7" t="str">
        <f t="shared" si="0"/>
        <v>Kermanshah, Bazaar (Local), in pound/ton</v>
      </c>
      <c r="AE6" s="7" t="str">
        <f t="shared" si="0"/>
        <v>Kerman, Imports, in pound/ton</v>
      </c>
      <c r="AF6" s="7" t="str">
        <f t="shared" si="0"/>
        <v>Bam, Imports, in pound/ton</v>
      </c>
      <c r="AG6" s="7" t="str">
        <f t="shared" ref="AG6:AT6" si="1">CONCATENATE(AG2,", ",AG4,", ","in ",AG5)</f>
        <v>Resht &amp; Mazandaran &amp; Ghilan &amp; Tunekabun, Imports, in pound/ton</v>
      </c>
      <c r="AH6" s="7" t="str">
        <f t="shared" si="1"/>
        <v>Bender Gez &amp; Astarabad &amp; Astara, Imports, in pound/ton</v>
      </c>
      <c r="AI6" s="7" t="str">
        <f t="shared" si="1"/>
        <v>Bender Gez &amp; Astarabad &amp; Astara, Exports, in pound/ton</v>
      </c>
      <c r="AJ6" s="7" t="str">
        <f t="shared" si="1"/>
        <v>Bahrain, Imports, in pound/ton</v>
      </c>
      <c r="AK6" s="7" t="str">
        <f t="shared" si="1"/>
        <v>Bahrain, Exports, in pound/ton</v>
      </c>
      <c r="AL6" s="7" t="str">
        <f t="shared" si="1"/>
        <v>Muscat, Imports, in pound/ton</v>
      </c>
      <c r="AM6" s="7" t="str">
        <f>CONCATENATE(AM2,", ",AM4,", Sugar, loaf, ","in ",AM5,)</f>
        <v>Muscat, Imports, Sugar, loaf, in pound/ton</v>
      </c>
      <c r="AN6" s="7" t="str">
        <f>CONCATENATE(AN2,", ",AN4,", Sugar (average), ","in ",AN5,)</f>
        <v>Muscat, Imports, Sugar (average), in pound/ton</v>
      </c>
      <c r="AO6" s="7" t="str">
        <f t="shared" si="1"/>
        <v>Muscat, Exports, in pound/ton</v>
      </c>
      <c r="AP6" s="7" t="str">
        <f t="shared" si="1"/>
        <v>Mohammerah, Imports, in pound/ton</v>
      </c>
      <c r="AQ6" s="7" t="str">
        <f t="shared" si="1"/>
        <v>Lingah, Imports, in pound/ton</v>
      </c>
      <c r="AR6" s="7" t="str">
        <f t="shared" si="1"/>
        <v>Shiraz, Imports, in pound/ton</v>
      </c>
      <c r="AS6" s="7" t="str">
        <f t="shared" si="1"/>
        <v>India, Imports, in pound/ton</v>
      </c>
      <c r="AT6" s="7" t="str">
        <f t="shared" si="1"/>
        <v>India, Exports, in pound/ton</v>
      </c>
    </row>
    <row r="7" spans="1:46" ht="13.2" customHeight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3.2" customHeight="1" x14ac:dyDescent="0.25">
      <c r="A8" s="8">
        <f t="shared" ref="A8:A71" si="2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6" ht="13.2" customHeight="1" x14ac:dyDescent="0.25">
      <c r="A9" s="8">
        <f t="shared" si="2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6" ht="13.2" customHeight="1" x14ac:dyDescent="0.25">
      <c r="A10" s="8">
        <f t="shared" si="2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T10" s="1">
        <v>28.196617412227337</v>
      </c>
    </row>
    <row r="11" spans="1:46" ht="13.2" customHeight="1" x14ac:dyDescent="0.25">
      <c r="A11" s="8">
        <f t="shared" si="2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T11" s="1">
        <v>27.949604045363685</v>
      </c>
    </row>
    <row r="12" spans="1:46" ht="13.2" customHeight="1" x14ac:dyDescent="0.25">
      <c r="A12" s="8">
        <f t="shared" si="2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T12" s="1">
        <v>28.005627009646297</v>
      </c>
    </row>
    <row r="13" spans="1:46" ht="13.2" customHeight="1" x14ac:dyDescent="0.25">
      <c r="A13" s="8">
        <f t="shared" si="2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T13" s="1">
        <v>27.914146122106828</v>
      </c>
    </row>
    <row r="14" spans="1:46" ht="13.2" customHeight="1" x14ac:dyDescent="0.25">
      <c r="A14" s="8">
        <f t="shared" si="2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T14" s="1">
        <v>23.732744878117664</v>
      </c>
    </row>
    <row r="15" spans="1:46" ht="13.2" customHeight="1" x14ac:dyDescent="0.25">
      <c r="A15" s="8">
        <f t="shared" si="2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T15" s="1">
        <v>19.662374894991448</v>
      </c>
    </row>
    <row r="16" spans="1:46" ht="13.2" customHeight="1" x14ac:dyDescent="0.25">
      <c r="A16" s="8">
        <f t="shared" si="2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T16" s="1">
        <v>18.737862913154306</v>
      </c>
    </row>
    <row r="17" spans="1:46" ht="13.2" customHeight="1" x14ac:dyDescent="0.25">
      <c r="A17" s="8">
        <f t="shared" si="2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T17" s="1">
        <v>19.821616733292771</v>
      </c>
    </row>
    <row r="18" spans="1:46" ht="13.2" customHeight="1" x14ac:dyDescent="0.25">
      <c r="A18" s="8">
        <f t="shared" si="2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T18" s="1">
        <v>22.501270965499252</v>
      </c>
    </row>
    <row r="19" spans="1:46" ht="13.2" customHeight="1" x14ac:dyDescent="0.25">
      <c r="A19" s="8">
        <f t="shared" si="2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T19" s="1">
        <v>17.98013346948234</v>
      </c>
    </row>
    <row r="20" spans="1:46" ht="13.2" customHeight="1" x14ac:dyDescent="0.25">
      <c r="A20" s="8">
        <f t="shared" si="2"/>
        <v>1853</v>
      </c>
      <c r="C20" s="1"/>
      <c r="D20" s="1">
        <v>33.6535865308445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T20" s="1">
        <v>21.376287259928738</v>
      </c>
    </row>
    <row r="21" spans="1:46" ht="13.2" customHeight="1" x14ac:dyDescent="0.25">
      <c r="A21" s="8">
        <f t="shared" si="2"/>
        <v>1854</v>
      </c>
      <c r="C21" s="1">
        <v>21.104955859972229</v>
      </c>
      <c r="D21" s="1">
        <v>34.897354142193883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T21" s="1">
        <v>19.11753715129921</v>
      </c>
    </row>
    <row r="22" spans="1:46" ht="13.2" customHeight="1" x14ac:dyDescent="0.25">
      <c r="A22" s="8">
        <f t="shared" si="2"/>
        <v>1855</v>
      </c>
      <c r="C22" s="1">
        <v>26.328953884371025</v>
      </c>
      <c r="D22" s="1">
        <v>45.53952735808209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T22" s="1">
        <v>16.888977565286346</v>
      </c>
    </row>
    <row r="23" spans="1:46" ht="13.2" customHeight="1" x14ac:dyDescent="0.25">
      <c r="A23" s="8">
        <f t="shared" si="2"/>
        <v>1856</v>
      </c>
      <c r="C23" s="1">
        <v>29.453520313764297</v>
      </c>
      <c r="D23" s="1">
        <v>51.373613247842833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T23" s="1">
        <v>22.301065384114015</v>
      </c>
    </row>
    <row r="24" spans="1:46" ht="13.2" customHeight="1" x14ac:dyDescent="0.25">
      <c r="A24" s="8">
        <f t="shared" si="2"/>
        <v>1857</v>
      </c>
      <c r="C24" s="1">
        <v>35.142920205904254</v>
      </c>
      <c r="D24" s="1">
        <v>59.356588500375537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T24" s="1">
        <v>31.882522594942198</v>
      </c>
    </row>
    <row r="25" spans="1:46" ht="13.2" customHeight="1" x14ac:dyDescent="0.25">
      <c r="A25" s="8">
        <f t="shared" si="2"/>
        <v>1858</v>
      </c>
      <c r="C25" s="1">
        <v>27.350254073003097</v>
      </c>
      <c r="D25" s="1">
        <v>56.965582272512961</v>
      </c>
      <c r="E25" s="1"/>
      <c r="F25" s="1"/>
      <c r="G25" s="1"/>
      <c r="H25" s="1"/>
      <c r="I25" s="1"/>
      <c r="J25" s="1"/>
      <c r="K25" s="1"/>
      <c r="L25" s="1"/>
      <c r="M25" s="1"/>
      <c r="N25" s="3">
        <f>2240*0.0253121043211853</f>
        <v>56.699113679455067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T25" s="1">
        <v>28.284278048144603</v>
      </c>
    </row>
    <row r="26" spans="1:46" ht="13.2" customHeight="1" x14ac:dyDescent="0.25">
      <c r="A26" s="8">
        <f t="shared" si="2"/>
        <v>1859</v>
      </c>
      <c r="C26" s="1">
        <v>25.913653876928002</v>
      </c>
      <c r="D26" s="1">
        <v>57.016567218907291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T26" s="1">
        <v>25.767236790649164</v>
      </c>
    </row>
    <row r="27" spans="1:46" ht="13.2" customHeight="1" x14ac:dyDescent="0.25">
      <c r="A27" s="8">
        <f t="shared" si="2"/>
        <v>1860</v>
      </c>
      <c r="C27" s="1">
        <v>26.851512093813092</v>
      </c>
      <c r="D27" s="1">
        <v>55.663936167701422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T27" s="1">
        <v>23.860326866255317</v>
      </c>
    </row>
    <row r="28" spans="1:46" ht="13.2" customHeight="1" x14ac:dyDescent="0.25">
      <c r="A28" s="8">
        <f t="shared" si="2"/>
        <v>1861</v>
      </c>
      <c r="C28" s="1">
        <v>23.39193059602929</v>
      </c>
      <c r="D28" s="1">
        <v>49.239794153565953</v>
      </c>
      <c r="E28" s="1"/>
      <c r="F28" s="1"/>
      <c r="G28" s="1"/>
      <c r="H28" s="1"/>
      <c r="I28" s="1">
        <f>2240*0.0269345238095238</f>
        <v>60.333333333333314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T28" s="1">
        <v>22.334998533501341</v>
      </c>
    </row>
    <row r="29" spans="1:46" ht="13.2" customHeight="1" x14ac:dyDescent="0.25">
      <c r="A29" s="8">
        <f t="shared" si="2"/>
        <v>1862</v>
      </c>
      <c r="C29" s="1">
        <v>22.114922708393635</v>
      </c>
      <c r="D29" s="1">
        <v>49.797805224184685</v>
      </c>
      <c r="E29" s="1"/>
      <c r="F29" s="1"/>
      <c r="G29" s="1"/>
      <c r="H29" s="1"/>
      <c r="I29" s="1">
        <f>2240*0.0302083333333333</f>
        <v>67.666666666666586</v>
      </c>
      <c r="J29" s="1"/>
      <c r="K29" s="1"/>
      <c r="L29" s="1"/>
      <c r="M29" s="1"/>
      <c r="N29" s="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T29" s="1">
        <v>23.349400093421391</v>
      </c>
    </row>
    <row r="30" spans="1:46" ht="13.2" customHeight="1" x14ac:dyDescent="0.25">
      <c r="A30" s="8">
        <f t="shared" si="2"/>
        <v>1863</v>
      </c>
      <c r="C30" s="1">
        <v>21.502575126425217</v>
      </c>
      <c r="D30" s="1">
        <v>36.229260610495885</v>
      </c>
      <c r="E30" s="1"/>
      <c r="F30" s="1"/>
      <c r="G30" s="1"/>
      <c r="H30" s="1"/>
      <c r="I30" s="1">
        <f>2240*0.0303571428571429</f>
        <v>68.000000000000099</v>
      </c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T30" s="1">
        <v>22.574260504475529</v>
      </c>
    </row>
    <row r="31" spans="1:46" ht="13.2" customHeight="1" x14ac:dyDescent="0.25">
      <c r="A31" s="8">
        <f t="shared" si="2"/>
        <v>1864</v>
      </c>
      <c r="C31" s="1">
        <v>26.787322423557942</v>
      </c>
      <c r="D31" s="1">
        <v>33.426332471920446</v>
      </c>
      <c r="E31" s="1"/>
      <c r="F31" s="1"/>
      <c r="G31" s="1"/>
      <c r="H31" s="1"/>
      <c r="I31" s="1">
        <f>2240*0.0224404761904762</f>
        <v>50.266666666666694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42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T31" s="1">
        <v>23.249419284638325</v>
      </c>
    </row>
    <row r="32" spans="1:46" ht="13.2" customHeight="1" x14ac:dyDescent="0.25">
      <c r="A32" s="8">
        <f t="shared" si="2"/>
        <v>1865</v>
      </c>
      <c r="C32" s="1">
        <v>22.05</v>
      </c>
      <c r="D32" s="1">
        <v>30.24</v>
      </c>
      <c r="E32" s="1"/>
      <c r="F32" s="1"/>
      <c r="G32" s="1"/>
      <c r="H32" s="1"/>
      <c r="I32" s="1">
        <f>2240*0.0255059523809524</f>
        <v>57.133333333333375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v>40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T32" s="1">
        <v>25.31142643472451</v>
      </c>
    </row>
    <row r="33" spans="1:46" ht="13.2" customHeight="1" x14ac:dyDescent="0.25">
      <c r="A33" s="8">
        <f t="shared" si="2"/>
        <v>1866</v>
      </c>
      <c r="C33" s="1">
        <v>20.29</v>
      </c>
      <c r="D33" s="1">
        <v>30.05</v>
      </c>
      <c r="E33" s="1"/>
      <c r="F33" s="1"/>
      <c r="G33" s="1"/>
      <c r="H33" s="1"/>
      <c r="I33" s="3">
        <f>2240*0.0220982142857143</f>
        <v>49.500000000000036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v>40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T33" s="1">
        <v>23.968114517250367</v>
      </c>
    </row>
    <row r="34" spans="1:46" ht="13.2" customHeight="1" x14ac:dyDescent="0.25">
      <c r="A34" s="8">
        <f t="shared" si="2"/>
        <v>1867</v>
      </c>
      <c r="C34" s="1">
        <v>21.8</v>
      </c>
      <c r="D34" s="1">
        <v>30.84</v>
      </c>
      <c r="E34" s="1">
        <f>2240*0.00315648703921331</f>
        <v>7.0705309678378141</v>
      </c>
      <c r="F34" s="1"/>
      <c r="G34" s="1"/>
      <c r="H34" s="1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T34" s="1">
        <v>22.619271829104019</v>
      </c>
    </row>
    <row r="35" spans="1:46" ht="13.2" customHeight="1" x14ac:dyDescent="0.25">
      <c r="A35" s="8">
        <f t="shared" si="2"/>
        <v>1868</v>
      </c>
      <c r="C35" s="1">
        <v>22.62</v>
      </c>
      <c r="D35" s="1">
        <v>34.630000000000003</v>
      </c>
      <c r="E35" s="1"/>
      <c r="F35" s="1"/>
      <c r="G35" s="1"/>
      <c r="H35" s="1"/>
      <c r="I35" s="3">
        <f>2240*0.025</f>
        <v>56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40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S35" s="1">
        <v>24.723766192500221</v>
      </c>
      <c r="AT35" s="1">
        <v>21.576160163378809</v>
      </c>
    </row>
    <row r="36" spans="1:46" ht="13.2" customHeight="1" x14ac:dyDescent="0.25">
      <c r="A36" s="8">
        <f t="shared" si="2"/>
        <v>1869</v>
      </c>
      <c r="C36" s="1">
        <v>24.54</v>
      </c>
      <c r="D36" s="1">
        <v>36.14</v>
      </c>
      <c r="E36" s="1">
        <f>2240*0.033179506648635</f>
        <v>74.322094892942388</v>
      </c>
      <c r="F36" s="1"/>
      <c r="G36" s="1"/>
      <c r="H36" s="1"/>
      <c r="I36" s="1">
        <f>2240*0.0225</f>
        <v>50.4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>
        <v>42.857142857142854</v>
      </c>
      <c r="U36" s="1">
        <v>42.857142857142854</v>
      </c>
      <c r="V36" s="1">
        <v>48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S36" s="1">
        <v>24.852838008688462</v>
      </c>
      <c r="AT36" s="1">
        <v>22.828430019260598</v>
      </c>
    </row>
    <row r="37" spans="1:46" ht="13.2" customHeight="1" x14ac:dyDescent="0.25">
      <c r="A37" s="8">
        <f t="shared" si="2"/>
        <v>1870</v>
      </c>
      <c r="C37" s="1">
        <v>22.57</v>
      </c>
      <c r="D37" s="1">
        <v>32.25</v>
      </c>
      <c r="E37" s="1">
        <f>2240*0.00401186438943774</f>
        <v>8.9865762323405374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>
        <v>42.857142857142854</v>
      </c>
      <c r="U37" s="1">
        <v>42.857142857142854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S37" s="1">
        <v>28.227400490682861</v>
      </c>
      <c r="AT37" s="1">
        <v>21.859108675750942</v>
      </c>
    </row>
    <row r="38" spans="1:46" ht="13.2" customHeight="1" x14ac:dyDescent="0.25">
      <c r="A38" s="8">
        <f t="shared" si="2"/>
        <v>1871</v>
      </c>
      <c r="C38" s="1">
        <v>25.1</v>
      </c>
      <c r="D38" s="1">
        <v>31.85</v>
      </c>
      <c r="F38" s="1"/>
      <c r="G38" s="1"/>
      <c r="H38" s="1"/>
      <c r="J38" s="1"/>
      <c r="K38" s="1"/>
      <c r="L38" s="1"/>
      <c r="M38" s="1"/>
      <c r="N38" s="1"/>
      <c r="O38" s="1"/>
      <c r="P38" s="1">
        <f>20*2.11614583333333</f>
        <v>42.3229166666666</v>
      </c>
      <c r="Q38" s="1">
        <f>AVERAGE(O38:P38)</f>
        <v>42.3229166666666</v>
      </c>
      <c r="R38" s="1"/>
      <c r="S38" s="1"/>
      <c r="T38" s="1">
        <v>42.857142857142854</v>
      </c>
      <c r="U38" s="1">
        <v>42.857142857142854</v>
      </c>
      <c r="V38" s="1">
        <v>56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S38" s="1">
        <v>29.143223000977518</v>
      </c>
      <c r="AT38" s="1">
        <v>20.935006250036015</v>
      </c>
    </row>
    <row r="39" spans="1:46" ht="13.2" customHeight="1" x14ac:dyDescent="0.25">
      <c r="A39" s="8">
        <f t="shared" si="2"/>
        <v>1872</v>
      </c>
      <c r="C39" s="1">
        <v>26.2</v>
      </c>
      <c r="D39" s="1">
        <v>32.08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f>20*2.00572916666667</f>
        <v>40.1145833333334</v>
      </c>
      <c r="Q39" s="1">
        <f t="shared" ref="Q39:Q78" si="3">AVERAGE(O39:P39)</f>
        <v>40.1145833333334</v>
      </c>
      <c r="R39" s="1"/>
      <c r="S39" s="1"/>
      <c r="T39" s="1">
        <v>42.857142857142854</v>
      </c>
      <c r="U39" s="1">
        <v>42.857142857142854</v>
      </c>
      <c r="V39" s="1">
        <v>48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S39" s="1">
        <v>27.68417542250851</v>
      </c>
      <c r="AT39" s="1">
        <v>19.625016861734178</v>
      </c>
    </row>
    <row r="40" spans="1:46" ht="13.2" customHeight="1" x14ac:dyDescent="0.25">
      <c r="A40" s="8">
        <f t="shared" si="2"/>
        <v>1873</v>
      </c>
      <c r="C40" s="1">
        <v>23.96</v>
      </c>
      <c r="D40" s="1">
        <v>30.02</v>
      </c>
      <c r="F40" s="1"/>
      <c r="G40" s="1"/>
      <c r="H40" s="3"/>
      <c r="I40" s="1">
        <f>2240*0.00895833333333333</f>
        <v>20.066666666666659</v>
      </c>
      <c r="J40" s="1"/>
      <c r="K40" s="1"/>
      <c r="L40" s="1"/>
      <c r="M40" s="1"/>
      <c r="N40" s="1"/>
      <c r="O40" s="1"/>
      <c r="P40" s="1">
        <f>20*1.81666666666667</f>
        <v>36.3333333333334</v>
      </c>
      <c r="Q40" s="1">
        <f t="shared" si="3"/>
        <v>36.3333333333334</v>
      </c>
      <c r="R40" s="1"/>
      <c r="S40" s="1"/>
      <c r="T40" s="1">
        <v>42.857142857142854</v>
      </c>
      <c r="U40" s="1">
        <v>42.857142857142854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S40" s="1">
        <v>29.836883915333306</v>
      </c>
      <c r="AT40" s="1">
        <v>22.684614563761073</v>
      </c>
    </row>
    <row r="41" spans="1:46" ht="13.2" customHeight="1" x14ac:dyDescent="0.25">
      <c r="A41" s="8">
        <f t="shared" si="2"/>
        <v>1874</v>
      </c>
      <c r="C41" s="1">
        <v>22.42</v>
      </c>
      <c r="D41" s="1">
        <v>26.5</v>
      </c>
      <c r="E41" s="1">
        <f>2240*0.00246970969404502</f>
        <v>5.5321497146608447</v>
      </c>
      <c r="G41" s="1"/>
      <c r="H41" s="1"/>
      <c r="I41" s="1"/>
      <c r="J41" s="1"/>
      <c r="K41" s="1"/>
      <c r="L41" s="1"/>
      <c r="M41" s="1">
        <f>2240*0.0165419769206338</f>
        <v>37.054028302219706</v>
      </c>
      <c r="N41" s="1"/>
      <c r="O41" s="1"/>
      <c r="P41" s="1"/>
      <c r="Q41" s="1"/>
      <c r="R41" s="1"/>
      <c r="S41" s="1"/>
      <c r="T41" s="1">
        <v>42.857142857142854</v>
      </c>
      <c r="U41" s="1">
        <v>42.857142857142854</v>
      </c>
      <c r="V41" s="1">
        <v>43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"/>
      <c r="AH41" s="1"/>
      <c r="AI41" s="1"/>
      <c r="AJ41" s="1"/>
      <c r="AK41" s="1"/>
      <c r="AL41" s="1">
        <f>20*1.14933660933661</f>
        <v>22.986732186732198</v>
      </c>
      <c r="AM41" s="1">
        <v>56.440637065636999</v>
      </c>
      <c r="AN41" s="1">
        <v>39.713684626184602</v>
      </c>
      <c r="AO41" s="1">
        <f>20*0.940677284427284</f>
        <v>18.81354568854568</v>
      </c>
      <c r="AP41" s="1"/>
      <c r="AQ41" s="1"/>
      <c r="AS41" s="1">
        <v>28.115808261410574</v>
      </c>
      <c r="AT41" s="1">
        <v>20.467272784683193</v>
      </c>
    </row>
    <row r="42" spans="1:46" ht="13.2" customHeight="1" x14ac:dyDescent="0.25">
      <c r="A42" s="8">
        <f t="shared" si="2"/>
        <v>1875</v>
      </c>
      <c r="C42" s="1">
        <v>21.16</v>
      </c>
      <c r="D42" s="1">
        <v>23.64</v>
      </c>
      <c r="E42" s="1">
        <f>2240*0.00169163413175498</f>
        <v>3.7892604551311551</v>
      </c>
      <c r="G42" s="1"/>
      <c r="H42" s="1"/>
      <c r="I42" s="1"/>
      <c r="J42" s="1"/>
      <c r="K42" s="1"/>
      <c r="L42" s="1"/>
      <c r="M42" s="1">
        <f>2240*0.017710703550896</f>
        <v>39.671975954007038</v>
      </c>
      <c r="N42" s="1"/>
      <c r="O42" s="1"/>
      <c r="P42" s="1"/>
      <c r="Q42" s="1"/>
      <c r="R42" s="1"/>
      <c r="S42" s="1"/>
      <c r="T42" s="1">
        <v>42.857142857142854</v>
      </c>
      <c r="U42" s="1">
        <v>42.857142857142854</v>
      </c>
      <c r="V42" s="1">
        <v>37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>
        <f>20*1.10098563193418</f>
        <v>22.0197126386836</v>
      </c>
      <c r="AM42" s="1">
        <v>55.049281596709193</v>
      </c>
      <c r="AN42" s="1">
        <v>38.534497117696397</v>
      </c>
      <c r="AO42" s="1">
        <f>20*1.10098563193418</f>
        <v>22.0197126386836</v>
      </c>
      <c r="AP42" s="1"/>
      <c r="AQ42" s="1"/>
      <c r="AS42" s="1">
        <v>31.22040225230969</v>
      </c>
      <c r="AT42" s="1">
        <v>16.981560026828127</v>
      </c>
    </row>
    <row r="43" spans="1:46" ht="13.2" customHeight="1" x14ac:dyDescent="0.25">
      <c r="A43" s="8">
        <f t="shared" si="2"/>
        <v>1876</v>
      </c>
      <c r="C43" s="1">
        <v>20.92</v>
      </c>
      <c r="D43" s="1">
        <v>22.88</v>
      </c>
      <c r="E43" s="1"/>
      <c r="F43" s="1"/>
      <c r="G43" s="1"/>
      <c r="H43" s="1"/>
      <c r="I43" s="1"/>
      <c r="J43" s="1"/>
      <c r="K43" s="1"/>
      <c r="L43" s="1"/>
      <c r="M43" s="1">
        <f>2240*0.0218802516055979</f>
        <v>49.011763596539296</v>
      </c>
      <c r="N43" s="1"/>
      <c r="O43" s="1"/>
      <c r="P43" s="1">
        <v>39.599734975446253</v>
      </c>
      <c r="Q43" s="1">
        <f t="shared" si="3"/>
        <v>39.599734975446253</v>
      </c>
      <c r="R43" s="1"/>
      <c r="S43" s="1"/>
      <c r="T43" s="1"/>
      <c r="U43" s="1"/>
      <c r="V43" s="1">
        <v>50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>
        <f>20*1.14630518229937</f>
        <v>22.9261036459874</v>
      </c>
      <c r="AM43" s="1">
        <v>51.056696338046798</v>
      </c>
      <c r="AN43" s="1">
        <v>36.991399992017101</v>
      </c>
      <c r="AO43" s="1">
        <f>20*1.02113392676094</f>
        <v>20.4226785352188</v>
      </c>
      <c r="AP43" s="1"/>
      <c r="AQ43" s="1"/>
      <c r="AS43" s="1">
        <v>27.572537244143422</v>
      </c>
      <c r="AT43" s="1">
        <v>16.311295907533946</v>
      </c>
    </row>
    <row r="44" spans="1:46" ht="13.2" customHeight="1" x14ac:dyDescent="0.25">
      <c r="A44" s="8">
        <f t="shared" si="2"/>
        <v>1877</v>
      </c>
      <c r="C44" s="1">
        <v>25.73</v>
      </c>
      <c r="D44" s="1">
        <v>27.56</v>
      </c>
      <c r="E44" s="1">
        <f>2240*0.00285844266451443</f>
        <v>6.4029115685123239</v>
      </c>
      <c r="F44" s="1">
        <f>2240*0.00284852516708042</f>
        <v>6.3806963742601406</v>
      </c>
      <c r="H44" s="1"/>
      <c r="I44" s="1"/>
      <c r="J44" s="1"/>
      <c r="K44" s="1"/>
      <c r="L44" s="1"/>
      <c r="M44" s="3">
        <f>2240*0.0204501627312151</f>
        <v>45.808364517921824</v>
      </c>
      <c r="N44" s="1"/>
      <c r="O44" s="1"/>
      <c r="P44" s="1"/>
      <c r="Q44" s="1"/>
      <c r="R44" s="1"/>
      <c r="S44" s="1"/>
      <c r="T44" s="1">
        <v>50</v>
      </c>
      <c r="U44" s="1">
        <v>50</v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>
        <f>20*1.16716575728232</f>
        <v>23.3433151456464</v>
      </c>
      <c r="AM44" s="1">
        <v>42.442391173902401</v>
      </c>
      <c r="AN44" s="1">
        <v>32.892853159774404</v>
      </c>
      <c r="AO44" s="1">
        <f>20*1.06105977934756</f>
        <v>21.2211955869512</v>
      </c>
      <c r="AP44" s="1"/>
      <c r="AQ44" s="1"/>
      <c r="AS44" s="1">
        <v>32.918562926412207</v>
      </c>
      <c r="AT44" s="1">
        <v>18.371442674301239</v>
      </c>
    </row>
    <row r="45" spans="1:46" ht="13.2" customHeight="1" x14ac:dyDescent="0.25">
      <c r="A45" s="8">
        <f t="shared" si="2"/>
        <v>1878</v>
      </c>
      <c r="C45" s="1">
        <v>21.47</v>
      </c>
      <c r="D45" s="1">
        <v>23.11</v>
      </c>
      <c r="E45" s="1">
        <f>2240*0.0146467289987667</f>
        <v>32.808672957237413</v>
      </c>
      <c r="F45" s="1">
        <f>2240*0.0146492447583978</f>
        <v>32.814308258811074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>
        <v>50</v>
      </c>
      <c r="U45" s="1">
        <v>50</v>
      </c>
      <c r="V45" s="1"/>
      <c r="W45" s="1">
        <v>34.759036144578317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>
        <f>20*1.01750430379852</f>
        <v>20.350086075970403</v>
      </c>
      <c r="AM45" s="1">
        <v>48.840206582328804</v>
      </c>
      <c r="AN45" s="1">
        <v>34.5951463291496</v>
      </c>
      <c r="AO45" s="1">
        <f>20*1.01750430379852</f>
        <v>20.350086075970403</v>
      </c>
      <c r="AP45" s="1"/>
      <c r="AQ45" s="1"/>
      <c r="AS45" s="1">
        <v>29.313641206416875</v>
      </c>
      <c r="AT45" s="1">
        <v>17.701409686917525</v>
      </c>
    </row>
    <row r="46" spans="1:46" ht="13.2" customHeight="1" x14ac:dyDescent="0.25">
      <c r="A46" s="8">
        <f t="shared" si="2"/>
        <v>1879</v>
      </c>
      <c r="C46" s="1">
        <v>20.22</v>
      </c>
      <c r="D46" s="1">
        <v>21.67</v>
      </c>
      <c r="E46" s="1"/>
      <c r="F46" s="1"/>
      <c r="G46" s="1"/>
      <c r="H46" s="1"/>
      <c r="I46" s="1"/>
      <c r="J46" s="1"/>
      <c r="K46" s="1"/>
      <c r="L46" s="1"/>
      <c r="M46" s="3">
        <f>2240*0.0147336844940684</f>
        <v>33.003453266713215</v>
      </c>
      <c r="N46" s="1"/>
      <c r="O46" s="1"/>
      <c r="P46" s="1"/>
      <c r="Q46" s="1"/>
      <c r="R46" s="1"/>
      <c r="S46" s="1"/>
      <c r="T46" s="1">
        <v>50</v>
      </c>
      <c r="U46" s="1">
        <v>50</v>
      </c>
      <c r="V46" s="1"/>
      <c r="W46" s="1">
        <v>33.375999999999998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>
        <f>20*1.19698652912864</f>
        <v>23.9397305825728</v>
      </c>
      <c r="AM46" s="1">
        <v>39.683877722463002</v>
      </c>
      <c r="AN46" s="1">
        <v>31.811804152517901</v>
      </c>
      <c r="AO46" s="1">
        <f>20*1.09130663736773</f>
        <v>21.826132747354599</v>
      </c>
      <c r="AP46" s="1"/>
      <c r="AQ46" s="1"/>
      <c r="AS46" s="1">
        <v>27.734262334416552</v>
      </c>
      <c r="AT46" s="1">
        <v>18.371792195638442</v>
      </c>
    </row>
    <row r="47" spans="1:46" x14ac:dyDescent="0.25">
      <c r="A47" s="8">
        <f t="shared" si="2"/>
        <v>1880</v>
      </c>
      <c r="C47" s="1">
        <v>21.71</v>
      </c>
      <c r="D47" s="1">
        <v>23.34</v>
      </c>
      <c r="F47" s="1"/>
      <c r="G47" s="1"/>
      <c r="H47" s="1"/>
      <c r="I47" s="1"/>
      <c r="J47" s="1"/>
      <c r="K47" s="1"/>
      <c r="L47" s="1"/>
      <c r="M47" s="1">
        <f>2240*0.0156842447840083</f>
        <v>35.132708316178594</v>
      </c>
      <c r="N47" s="3">
        <f>2240*0.0163633805712713</f>
        <v>36.653972479647713</v>
      </c>
      <c r="O47" s="1"/>
      <c r="P47" s="1">
        <f>20*1.76385035934514</f>
        <v>35.2770071869028</v>
      </c>
      <c r="Q47" s="1">
        <f t="shared" si="3"/>
        <v>35.2770071869028</v>
      </c>
      <c r="R47" s="1"/>
      <c r="S47" s="1"/>
      <c r="T47" s="1">
        <v>50</v>
      </c>
      <c r="U47" s="1">
        <v>50</v>
      </c>
      <c r="V47" s="1"/>
      <c r="W47" s="1">
        <v>27.620137299771166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>
        <f>20*1.1970429931476</f>
        <v>23.940859862952003</v>
      </c>
      <c r="AM47" s="1">
        <v>40.4581972877792</v>
      </c>
      <c r="AN47" s="1">
        <v>32.199528575365605</v>
      </c>
      <c r="AO47" s="1">
        <f>20*1.82061887795007</f>
        <v>36.412377559001399</v>
      </c>
      <c r="AP47" s="1"/>
      <c r="AQ47" s="1"/>
      <c r="AS47" s="1">
        <v>30.344136332356499</v>
      </c>
      <c r="AT47" s="1">
        <v>21.258362383306121</v>
      </c>
    </row>
    <row r="48" spans="1:46" x14ac:dyDescent="0.25">
      <c r="A48" s="8">
        <f t="shared" si="2"/>
        <v>1881</v>
      </c>
      <c r="C48" s="1">
        <v>21.72</v>
      </c>
      <c r="D48" s="1">
        <v>23.65</v>
      </c>
      <c r="F48" s="1"/>
      <c r="G48" s="1"/>
      <c r="H48" s="1"/>
      <c r="I48" s="1"/>
      <c r="J48" s="1"/>
      <c r="K48" s="1"/>
      <c r="L48" s="1"/>
      <c r="M48" s="1">
        <f>2240*0.016337754983342</f>
        <v>36.596571162686082</v>
      </c>
      <c r="N48" s="1"/>
      <c r="O48" s="1"/>
      <c r="P48" s="1"/>
      <c r="Q48" s="1"/>
      <c r="R48" s="1"/>
      <c r="S48" s="1"/>
      <c r="T48" s="1">
        <v>50</v>
      </c>
      <c r="U48" s="1"/>
      <c r="V48" s="1"/>
      <c r="W48" s="1">
        <v>28.552447552447553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>
        <f>20*1.22291407737549</f>
        <v>24.458281547509802</v>
      </c>
      <c r="AM48" s="1">
        <v>50.028303165360995</v>
      </c>
      <c r="AN48" s="1">
        <v>37.243292356435397</v>
      </c>
      <c r="AO48" s="1">
        <f>20*1.801018913953</f>
        <v>36.020378279059997</v>
      </c>
      <c r="AP48" s="1"/>
      <c r="AQ48" s="1"/>
      <c r="AS48" s="1">
        <v>28.381573817976104</v>
      </c>
      <c r="AT48" s="1">
        <v>19.204822171303324</v>
      </c>
    </row>
    <row r="49" spans="1:46" x14ac:dyDescent="0.25">
      <c r="A49" s="8">
        <f t="shared" si="2"/>
        <v>1882</v>
      </c>
      <c r="C49" s="1">
        <v>21.11</v>
      </c>
      <c r="D49" s="1">
        <v>23.3</v>
      </c>
      <c r="F49" s="1"/>
      <c r="G49" s="1"/>
      <c r="H49" s="1"/>
      <c r="I49" s="1"/>
      <c r="J49" s="1"/>
      <c r="K49" s="1"/>
      <c r="L49" s="1"/>
      <c r="M49" s="1">
        <f>2240*0.0138563104583359</f>
        <v>31.038135426672419</v>
      </c>
      <c r="N49" s="1"/>
      <c r="O49" s="1">
        <v>40.641999999999996</v>
      </c>
      <c r="P49" s="1"/>
      <c r="Q49" s="1">
        <f t="shared" si="3"/>
        <v>40.641999999999996</v>
      </c>
      <c r="R49" s="1"/>
      <c r="S49" s="1"/>
      <c r="T49" s="1">
        <v>50</v>
      </c>
      <c r="U49" s="1"/>
      <c r="V49" s="1">
        <v>31.333333333333336</v>
      </c>
      <c r="W49" s="1">
        <v>32.971014492753625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>
        <f>20*1.16228341813581</f>
        <v>23.245668362716199</v>
      </c>
      <c r="AM49" s="1">
        <v>39.9742475594566</v>
      </c>
      <c r="AN49" s="1">
        <v>31.609957961086401</v>
      </c>
      <c r="AO49" s="1">
        <f>20*0.999356188986414</f>
        <v>19.987123779728279</v>
      </c>
      <c r="AP49" s="1"/>
      <c r="AQ49" s="1"/>
      <c r="AS49" s="1">
        <v>27.770660597264904</v>
      </c>
      <c r="AT49" s="1">
        <v>18.374495188767387</v>
      </c>
    </row>
    <row r="50" spans="1:46" x14ac:dyDescent="0.25">
      <c r="A50" s="8">
        <f t="shared" si="2"/>
        <v>1883</v>
      </c>
      <c r="C50" s="1">
        <v>20.100000000000001</v>
      </c>
      <c r="D50" s="1">
        <v>21.4</v>
      </c>
      <c r="F50" s="1"/>
      <c r="G50" s="1"/>
      <c r="H50" s="1"/>
      <c r="I50" s="1"/>
      <c r="J50" s="1"/>
      <c r="K50" s="1"/>
      <c r="L50" s="1"/>
      <c r="M50" s="1">
        <f>2240*0.014775600344492</f>
        <v>33.09734477166208</v>
      </c>
      <c r="N50" s="1"/>
      <c r="O50" s="1"/>
      <c r="P50" s="1"/>
      <c r="Q50" s="1"/>
      <c r="R50" s="1"/>
      <c r="S50" s="1"/>
      <c r="T50" s="1">
        <v>33.583333333333336</v>
      </c>
      <c r="U50" s="1">
        <v>34.25</v>
      </c>
      <c r="V50" s="1">
        <v>31.000000000000004</v>
      </c>
      <c r="W50" s="1">
        <v>34.048657718120808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>
        <f>20*1.14340383771739</f>
        <v>22.868076754347801</v>
      </c>
      <c r="AM50" s="1">
        <v>31.3212264170464</v>
      </c>
      <c r="AN50" s="1">
        <v>27.0946515856971</v>
      </c>
      <c r="AO50" s="1">
        <f>20*1.63631790618197</f>
        <v>32.7263581236394</v>
      </c>
      <c r="AP50" s="1"/>
      <c r="AQ50" s="1"/>
      <c r="AS50" s="1">
        <v>26.530906556271816</v>
      </c>
      <c r="AT50" s="1">
        <v>17.267128990482966</v>
      </c>
    </row>
    <row r="51" spans="1:46" x14ac:dyDescent="0.25">
      <c r="A51" s="8">
        <f t="shared" si="2"/>
        <v>1884</v>
      </c>
      <c r="C51" s="1">
        <v>15.51</v>
      </c>
      <c r="D51" s="1">
        <v>17.170000000000002</v>
      </c>
      <c r="F51" s="1"/>
      <c r="G51" s="1"/>
      <c r="H51" s="1"/>
      <c r="I51" s="1"/>
      <c r="J51" s="3">
        <f>0.0181818181818182*2240</f>
        <v>40.727272727272762</v>
      </c>
      <c r="K51" s="3"/>
      <c r="L51" s="3"/>
      <c r="M51" s="1">
        <f>2240*0.0116766895910356</f>
        <v>26.155784683919741</v>
      </c>
      <c r="N51" s="1"/>
      <c r="O51" s="1"/>
      <c r="P51" s="1"/>
      <c r="Q51" s="1"/>
      <c r="R51" s="3"/>
      <c r="S51" s="1"/>
      <c r="T51" s="1">
        <v>26</v>
      </c>
      <c r="U51" s="3">
        <v>26.666666666666664</v>
      </c>
      <c r="V51" s="1">
        <v>19.733333333333331</v>
      </c>
      <c r="W51" s="1"/>
      <c r="X51" s="3"/>
      <c r="Y51" s="1"/>
      <c r="Z51" s="1"/>
      <c r="AA51" s="1"/>
      <c r="AB51" s="1"/>
      <c r="AC51" s="1"/>
      <c r="AD51" s="1"/>
      <c r="AE51" s="3"/>
      <c r="AF51" s="3"/>
      <c r="AG51" s="1"/>
      <c r="AH51" s="3"/>
      <c r="AI51" s="1"/>
      <c r="AJ51" s="1"/>
      <c r="AK51" s="1"/>
      <c r="AL51" s="1">
        <f>20*1.14333123316242</f>
        <v>22.866624663248398</v>
      </c>
      <c r="AM51" s="1">
        <v>31.359942395312199</v>
      </c>
      <c r="AN51" s="1">
        <v>27.113283529280299</v>
      </c>
      <c r="AO51" s="3">
        <f>20*0.764876643788101</f>
        <v>15.297532875762021</v>
      </c>
      <c r="AP51" s="3"/>
      <c r="AQ51" s="1"/>
      <c r="AS51" s="1">
        <v>25.412926284157294</v>
      </c>
      <c r="AT51" s="1">
        <v>16.321697242109604</v>
      </c>
    </row>
    <row r="52" spans="1:46" x14ac:dyDescent="0.25">
      <c r="A52" s="8">
        <f t="shared" si="2"/>
        <v>1885</v>
      </c>
      <c r="C52" s="1">
        <v>13.89</v>
      </c>
      <c r="D52" s="1">
        <v>15.33</v>
      </c>
      <c r="F52" s="1"/>
      <c r="G52" s="1"/>
      <c r="H52" s="1"/>
      <c r="I52" s="1"/>
      <c r="J52" s="1"/>
      <c r="K52" s="1">
        <v>19.944038315830326</v>
      </c>
      <c r="L52" s="1">
        <v>13.172974312493501</v>
      </c>
      <c r="M52" s="1">
        <f>2240*0.0142857142857143</f>
        <v>32.000000000000028</v>
      </c>
      <c r="N52" s="1"/>
      <c r="O52" s="1"/>
      <c r="P52" s="1"/>
      <c r="Q52" s="1"/>
      <c r="R52" s="1">
        <f>(AVERAGE(0.00959891521552955,0.0126981191133369))*2240</f>
        <v>24.972678448330424</v>
      </c>
      <c r="S52" s="1"/>
      <c r="T52" s="1">
        <v>23.62954630671166</v>
      </c>
      <c r="U52" s="1">
        <v>24.663951120162935</v>
      </c>
      <c r="V52" s="1">
        <v>18.000000000000004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>
        <f>20*0.770523584634819</f>
        <v>15.41047169269638</v>
      </c>
      <c r="AM52" s="1">
        <v>30.082315112540201</v>
      </c>
      <c r="AN52" s="1">
        <v>22.746393402618288</v>
      </c>
      <c r="AO52" s="1">
        <f>20*0.752057877813505</f>
        <v>15.0411575562701</v>
      </c>
      <c r="AP52" s="1"/>
      <c r="AQ52" s="1"/>
      <c r="AS52" s="1">
        <v>19.351075139529438</v>
      </c>
      <c r="AT52" s="1">
        <v>13.844958314745501</v>
      </c>
    </row>
    <row r="53" spans="1:46" x14ac:dyDescent="0.25">
      <c r="A53" s="8">
        <f t="shared" si="2"/>
        <v>1886</v>
      </c>
      <c r="C53" s="1">
        <v>13.07</v>
      </c>
      <c r="D53" s="1">
        <v>14.23</v>
      </c>
      <c r="F53" s="1"/>
      <c r="G53" s="1"/>
      <c r="H53" s="1"/>
      <c r="I53" s="1"/>
      <c r="J53" s="1"/>
      <c r="K53" s="1">
        <v>19.867353735308726</v>
      </c>
      <c r="L53" s="1">
        <v>12.032882723655129</v>
      </c>
      <c r="M53" s="1">
        <f>2240*0.00918367346938776</f>
        <v>20.57142857142858</v>
      </c>
      <c r="N53" s="1"/>
      <c r="O53" s="1"/>
      <c r="P53" s="1"/>
      <c r="Q53" s="1"/>
      <c r="S53" s="1"/>
      <c r="T53" s="1">
        <v>21.537463509568603</v>
      </c>
      <c r="U53" s="1">
        <v>24.847612597358619</v>
      </c>
      <c r="V53" s="1">
        <v>24.242424242424242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>
        <f>20*0.750756692223203</f>
        <v>15.01513384446406</v>
      </c>
      <c r="AM53" s="1">
        <v>19.909691823196638</v>
      </c>
      <c r="AN53" s="1">
        <v>17.462412833830349</v>
      </c>
      <c r="AO53" s="1">
        <f>20*0.713674614985909</f>
        <v>14.27349229971818</v>
      </c>
      <c r="AP53" s="1"/>
      <c r="AQ53" s="1"/>
      <c r="AS53" s="1">
        <v>18.77296048332342</v>
      </c>
      <c r="AT53" s="1">
        <v>14.579778664710719</v>
      </c>
    </row>
    <row r="54" spans="1:46" x14ac:dyDescent="0.25">
      <c r="A54" s="8">
        <f t="shared" si="2"/>
        <v>1887</v>
      </c>
      <c r="C54" s="1">
        <v>12.16</v>
      </c>
      <c r="D54" s="1">
        <v>13.19</v>
      </c>
      <c r="E54" s="1">
        <f>2240*0.0114770577105014</f>
        <v>25.708609271523134</v>
      </c>
      <c r="F54" s="1"/>
      <c r="G54" s="1"/>
      <c r="H54" s="1"/>
      <c r="I54" s="1"/>
      <c r="J54" s="1"/>
      <c r="K54" s="1">
        <v>17.764804379256915</v>
      </c>
      <c r="L54" s="1">
        <v>11.156106782812158</v>
      </c>
      <c r="M54" s="1">
        <f>2240*0.0107621173469388</f>
        <v>24.107142857142914</v>
      </c>
      <c r="N54" s="1"/>
      <c r="O54" s="1"/>
      <c r="P54" s="1"/>
      <c r="Q54" s="1"/>
      <c r="R54" s="1">
        <f>(AVERAGE(0.00899894715875139,0.0099200685127034))*2240</f>
        <v>21.189297552029366</v>
      </c>
      <c r="S54" s="1"/>
      <c r="T54" s="1">
        <v>19.99768223432611</v>
      </c>
      <c r="U54" s="1">
        <v>20</v>
      </c>
      <c r="V54" s="1"/>
      <c r="W54" s="1">
        <v>32.914117647058823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>
        <f>20*0.727749006142437</f>
        <v>14.55498012284874</v>
      </c>
      <c r="AM54" s="1">
        <v>19.60802982587548</v>
      </c>
      <c r="AN54" s="1">
        <v>17.081504974362112</v>
      </c>
      <c r="AO54" s="1">
        <f>20*0.692048111501488</f>
        <v>13.84096223002976</v>
      </c>
      <c r="AP54" s="1"/>
      <c r="AQ54" s="1">
        <f>20*1.0858</f>
        <v>21.716000000000001</v>
      </c>
      <c r="AR54" s="1">
        <f>20*1.12289762127769</f>
        <v>22.457952425553799</v>
      </c>
      <c r="AS54" s="1">
        <v>17.5147789403986</v>
      </c>
      <c r="AT54" s="1">
        <v>13.754509856475238</v>
      </c>
    </row>
    <row r="55" spans="1:46" x14ac:dyDescent="0.25">
      <c r="A55" s="8">
        <f t="shared" si="2"/>
        <v>1888</v>
      </c>
      <c r="C55" s="1">
        <v>13.445</v>
      </c>
      <c r="D55" s="1">
        <v>15.05</v>
      </c>
      <c r="E55" s="1">
        <f>2240*0.0138391683257579</f>
        <v>30.999737049697696</v>
      </c>
      <c r="F55" s="1"/>
      <c r="G55" s="1"/>
      <c r="H55" s="1"/>
      <c r="I55" s="1"/>
      <c r="J55" s="1"/>
      <c r="K55" s="1">
        <v>19.380984590096954</v>
      </c>
      <c r="L55" s="1">
        <v>12.977666242574502</v>
      </c>
      <c r="M55" s="1">
        <f>2240*0.00970496894409938</f>
        <v>21.739130434782609</v>
      </c>
      <c r="N55" s="1"/>
      <c r="O55" s="1"/>
      <c r="P55" s="1"/>
      <c r="Q55" s="1"/>
      <c r="R55" s="1"/>
      <c r="S55" s="1"/>
      <c r="T55" s="1">
        <v>19.41562793191261</v>
      </c>
      <c r="U55" s="1">
        <v>20.804988662131517</v>
      </c>
      <c r="V55" s="1">
        <v>34.666616907996215</v>
      </c>
      <c r="W55" s="1">
        <v>32.292704626334519</v>
      </c>
      <c r="X55" s="1"/>
      <c r="Y55" s="1"/>
      <c r="Z55" s="1"/>
      <c r="AA55" s="1"/>
      <c r="AB55" s="3"/>
      <c r="AC55" s="1"/>
      <c r="AD55" s="1"/>
      <c r="AE55" s="1"/>
      <c r="AF55" s="1"/>
      <c r="AG55" s="1"/>
      <c r="AH55" s="1"/>
      <c r="AI55" s="1"/>
      <c r="AJ55" s="1"/>
      <c r="AK55" s="1">
        <f>20*0.973333333333333</f>
        <v>19.466666666666661</v>
      </c>
      <c r="AL55" s="1">
        <f>20*0.702285509600622</f>
        <v>14.045710192012439</v>
      </c>
      <c r="AM55" s="1">
        <v>26.559161090350798</v>
      </c>
      <c r="AN55" s="1">
        <v>20.302435641181617</v>
      </c>
      <c r="AO55" s="1">
        <f>20*0.66397902725877</f>
        <v>13.279580545175399</v>
      </c>
      <c r="AP55" s="1"/>
      <c r="AQ55" s="1">
        <f>20*0.933460076045627</f>
        <v>18.669201520912541</v>
      </c>
      <c r="AR55" s="1">
        <f>20*1.16660763566238</f>
        <v>23.332152713247602</v>
      </c>
      <c r="AS55" s="1">
        <v>16.767139319320258</v>
      </c>
      <c r="AT55" s="1">
        <v>12.202365298967639</v>
      </c>
    </row>
    <row r="56" spans="1:46" x14ac:dyDescent="0.25">
      <c r="A56" s="8">
        <f t="shared" si="2"/>
        <v>1889</v>
      </c>
      <c r="C56" s="1">
        <v>15.465</v>
      </c>
      <c r="D56" s="1">
        <v>16.14</v>
      </c>
      <c r="E56" s="1">
        <f>2240*0.0142996651785714</f>
        <v>32.031249999999936</v>
      </c>
      <c r="F56" s="1"/>
      <c r="G56" s="1"/>
      <c r="H56" s="1"/>
      <c r="I56" s="1"/>
      <c r="J56" s="1"/>
      <c r="K56" s="1">
        <v>19.053879364947644</v>
      </c>
      <c r="L56" s="1">
        <v>15.32598604560105</v>
      </c>
      <c r="M56" s="1">
        <f>2240*0.00892857142857143</f>
        <v>20.000000000000004</v>
      </c>
      <c r="N56" s="1"/>
      <c r="O56" s="1"/>
      <c r="P56" s="1"/>
      <c r="Q56" s="1"/>
      <c r="R56" s="1"/>
      <c r="S56" s="1"/>
      <c r="T56" s="1">
        <v>19.249399956360463</v>
      </c>
      <c r="U56" s="1">
        <v>20</v>
      </c>
      <c r="V56" s="1">
        <v>34.666143062844355</v>
      </c>
      <c r="W56" s="1">
        <v>30.461267605633807</v>
      </c>
      <c r="X56" s="1"/>
      <c r="Y56" s="1"/>
      <c r="Z56" s="1"/>
      <c r="AA56" s="1"/>
      <c r="AB56" s="1">
        <f>2240*0.0163125</f>
        <v>36.54</v>
      </c>
      <c r="AD56" s="1"/>
      <c r="AE56" s="1"/>
      <c r="AF56" s="1"/>
      <c r="AG56" s="1"/>
      <c r="AH56" s="1"/>
      <c r="AI56" s="1"/>
      <c r="AJ56" s="1"/>
      <c r="AK56" s="1">
        <f>20*1.05621301775148</f>
        <v>21.124260355029598</v>
      </c>
      <c r="AL56" s="1">
        <f>20*0.714741726767359</f>
        <v>14.294834535347182</v>
      </c>
      <c r="AM56" s="1">
        <v>21.612078059827201</v>
      </c>
      <c r="AN56" s="1">
        <v>17.953456297587191</v>
      </c>
      <c r="AO56" s="1">
        <f>20*0.826344161111042</f>
        <v>16.526883222220839</v>
      </c>
      <c r="AP56" s="1"/>
      <c r="AQ56" s="1">
        <f>20*1.2308</f>
        <v>24.616</v>
      </c>
      <c r="AR56" s="1">
        <f>20*1.72895884676707</f>
        <v>34.579176935341401</v>
      </c>
      <c r="AS56" s="1">
        <v>16.785209102519335</v>
      </c>
      <c r="AT56" s="1">
        <v>14.122962432552697</v>
      </c>
    </row>
    <row r="57" spans="1:46" x14ac:dyDescent="0.25">
      <c r="A57" s="8">
        <f t="shared" si="2"/>
        <v>1890</v>
      </c>
      <c r="C57" s="1">
        <v>12.79</v>
      </c>
      <c r="D57" s="1">
        <v>14.26</v>
      </c>
      <c r="E57" s="1">
        <f>2240*0.0102674247474811</f>
        <v>22.999031434357665</v>
      </c>
      <c r="F57" s="1"/>
      <c r="G57" s="1"/>
      <c r="H57" s="1"/>
      <c r="I57" s="1"/>
      <c r="J57" s="1"/>
      <c r="K57" s="1">
        <v>19.277698651014685</v>
      </c>
      <c r="L57" s="1">
        <v>12.813999691556822</v>
      </c>
      <c r="M57" s="1">
        <f>2240*0.00892857142857143</f>
        <v>20.000000000000004</v>
      </c>
      <c r="N57" s="1"/>
      <c r="O57" s="1">
        <v>23.534469200524249</v>
      </c>
      <c r="P57" s="1"/>
      <c r="Q57" s="1">
        <f t="shared" si="3"/>
        <v>23.534469200524249</v>
      </c>
      <c r="R57" s="1"/>
      <c r="S57" s="1"/>
      <c r="T57" s="1">
        <v>18.043596730245234</v>
      </c>
      <c r="U57" s="1">
        <v>18.799911758217515</v>
      </c>
      <c r="V57" s="1">
        <v>34.666666666666671</v>
      </c>
      <c r="W57" s="1">
        <v>20.011997600479884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L57" s="1">
        <f>20*0.997852140470603</f>
        <v>19.957042809412059</v>
      </c>
      <c r="AM57" s="1">
        <v>23.6632059160676</v>
      </c>
      <c r="AN57" s="1">
        <v>21.810124362739828</v>
      </c>
      <c r="AO57" s="1">
        <f>20*0.808800983459343</f>
        <v>16.176019669186861</v>
      </c>
      <c r="AP57" s="1">
        <f>20*0.911428571428571</f>
        <v>18.228571428571421</v>
      </c>
      <c r="AQ57" s="1">
        <f>20*1.07685714285714</f>
        <v>21.537142857142801</v>
      </c>
      <c r="AR57" s="1">
        <f>20*1.18099918099918</f>
        <v>23.6199836199836</v>
      </c>
      <c r="AS57" s="1">
        <v>20.393994595642464</v>
      </c>
      <c r="AT57" s="1">
        <v>18.132216432493781</v>
      </c>
    </row>
    <row r="58" spans="1:46" x14ac:dyDescent="0.25">
      <c r="A58" s="8">
        <f t="shared" si="2"/>
        <v>1891</v>
      </c>
      <c r="C58" s="1">
        <v>12.995000000000001</v>
      </c>
      <c r="D58" s="1">
        <v>14.39</v>
      </c>
      <c r="E58" s="1">
        <f>2240*0.0142887707072559</f>
        <v>32.006846384253215</v>
      </c>
      <c r="F58" s="1"/>
      <c r="G58" s="1"/>
      <c r="H58" s="1">
        <f>2240*0.00850258815671631</f>
        <v>19.045797471044533</v>
      </c>
      <c r="I58" s="1"/>
      <c r="J58" s="1"/>
      <c r="K58" s="1">
        <v>18.184306346950031</v>
      </c>
      <c r="L58" s="1">
        <v>12.470987300120646</v>
      </c>
      <c r="M58" s="1">
        <f>2240*0.00898580586080586</f>
        <v>20.128205128205128</v>
      </c>
      <c r="N58" s="1"/>
      <c r="O58" s="1">
        <v>24.070588235294117</v>
      </c>
      <c r="P58" s="1"/>
      <c r="Q58" s="1">
        <f t="shared" si="3"/>
        <v>24.070588235294117</v>
      </c>
      <c r="R58" s="1"/>
      <c r="S58" s="1"/>
      <c r="T58" s="1">
        <v>19.200755191944619</v>
      </c>
      <c r="U58" s="1">
        <v>20</v>
      </c>
      <c r="V58" s="1">
        <v>34.666610971292513</v>
      </c>
      <c r="W58" s="1">
        <v>20.101010101010083</v>
      </c>
      <c r="X58" s="1"/>
      <c r="Y58" s="1"/>
      <c r="Z58" s="1"/>
      <c r="AA58" s="1"/>
      <c r="AB58" s="1"/>
      <c r="AC58" s="1"/>
      <c r="AD58" s="1"/>
      <c r="AE58" s="1"/>
      <c r="AF58" s="1"/>
      <c r="AG58" s="1">
        <f>2240*0.0100404416488208</f>
        <v>22.490589293358592</v>
      </c>
      <c r="AH58" s="1"/>
      <c r="AI58" s="1"/>
      <c r="AJ58" s="1">
        <f>20*1.14285714285714</f>
        <v>22.857142857142797</v>
      </c>
      <c r="AK58" s="1">
        <f>20*1.14266666666667</f>
        <v>22.853333333333403</v>
      </c>
      <c r="AL58" s="1">
        <f>20*0.791797595889236</f>
        <v>15.835951917784721</v>
      </c>
      <c r="AM58" s="1">
        <v>20.935665247240799</v>
      </c>
      <c r="AN58" s="1">
        <v>18.385808582512759</v>
      </c>
      <c r="AO58" s="1">
        <f>20*0.8723193853017</f>
        <v>17.446387706033999</v>
      </c>
      <c r="AP58" s="1">
        <f>20*0.716255112861688</f>
        <v>14.325102257233759</v>
      </c>
      <c r="AQ58" s="1">
        <f>20*0.964333333333333</f>
        <v>19.286666666666662</v>
      </c>
      <c r="AR58" s="1">
        <f>20*0.833415233415233</f>
        <v>16.668304668304661</v>
      </c>
      <c r="AS58" s="1">
        <v>16.532026244842267</v>
      </c>
      <c r="AT58" s="1">
        <v>14.005353096691174</v>
      </c>
    </row>
    <row r="59" spans="1:46" x14ac:dyDescent="0.25">
      <c r="A59" s="8">
        <f t="shared" si="2"/>
        <v>1892</v>
      </c>
      <c r="C59" s="1">
        <v>13.145</v>
      </c>
      <c r="D59" s="1">
        <v>15.17</v>
      </c>
      <c r="E59" s="1">
        <f>2240*0.0133928571428571</f>
        <v>29.999999999999904</v>
      </c>
      <c r="F59" s="1"/>
      <c r="G59" s="1"/>
      <c r="H59" s="1">
        <f>2240*0.00892857142857143</f>
        <v>20.000000000000004</v>
      </c>
      <c r="I59" s="1"/>
      <c r="J59" s="1"/>
      <c r="K59" s="1">
        <v>18.060488320648407</v>
      </c>
      <c r="L59" s="1">
        <v>12.941768100250453</v>
      </c>
      <c r="M59" s="1">
        <f>2240*0.00909391534391534</f>
        <v>20.370370370370363</v>
      </c>
      <c r="N59" s="1"/>
      <c r="O59" s="1">
        <v>24</v>
      </c>
      <c r="P59" s="1"/>
      <c r="Q59" s="1">
        <f t="shared" si="3"/>
        <v>24</v>
      </c>
      <c r="R59" s="1"/>
      <c r="S59" s="1"/>
      <c r="T59" s="1">
        <v>20</v>
      </c>
      <c r="U59" s="1">
        <v>20</v>
      </c>
      <c r="V59" s="1">
        <v>34.666167859835276</v>
      </c>
      <c r="W59" s="1">
        <v>19.999999999999982</v>
      </c>
      <c r="X59" s="1"/>
      <c r="Y59" s="3">
        <f>2240*0.0169891458235017</f>
        <v>38.055686644643814</v>
      </c>
      <c r="Z59" s="1"/>
      <c r="AA59" s="1"/>
      <c r="AB59" s="1"/>
      <c r="AC59" s="1"/>
      <c r="AD59" s="1"/>
      <c r="AE59" s="1"/>
      <c r="AF59" s="1"/>
      <c r="AG59" s="1">
        <f>2240*0.0142464635473341</f>
        <v>31.912078346028387</v>
      </c>
      <c r="AH59" s="3">
        <f>2240*0.0109722222222222</f>
        <v>24.577777777777726</v>
      </c>
      <c r="AJ59" s="1">
        <f>20*1.12508250825083</f>
        <v>22.501650165016599</v>
      </c>
      <c r="AK59" s="1">
        <f>20*1.125</f>
        <v>22.5</v>
      </c>
      <c r="AL59" s="1">
        <f>20*0.857168167658805</f>
        <v>17.143363353176099</v>
      </c>
      <c r="AM59" s="1">
        <v>18.941047828507639</v>
      </c>
      <c r="AN59" s="1">
        <v>18.042205590841867</v>
      </c>
      <c r="AO59" s="1">
        <f>20*0.769480068033123</f>
        <v>15.389601360662459</v>
      </c>
      <c r="AP59" s="1">
        <f>20*0.714719930525402</f>
        <v>14.29439861050804</v>
      </c>
      <c r="AQ59" s="1">
        <f>20*1.06247619047619</f>
        <v>21.249523809523797</v>
      </c>
      <c r="AR59" s="1">
        <f>20*0.843946666666667</f>
        <v>16.87893333333334</v>
      </c>
      <c r="AS59" s="1">
        <v>16.22481590821884</v>
      </c>
      <c r="AT59" s="1">
        <v>12.294539095809549</v>
      </c>
    </row>
    <row r="60" spans="1:46" x14ac:dyDescent="0.25">
      <c r="A60" s="8">
        <f t="shared" si="2"/>
        <v>1893</v>
      </c>
      <c r="C60" s="1">
        <v>14.29</v>
      </c>
      <c r="D60" s="1">
        <v>16.09</v>
      </c>
      <c r="E60" s="1"/>
      <c r="F60" s="1"/>
      <c r="G60" s="1"/>
      <c r="H60" s="1">
        <f>2240*0.00892857142857143</f>
        <v>20.000000000000004</v>
      </c>
      <c r="I60" s="1"/>
      <c r="J60" s="1"/>
      <c r="K60" s="1">
        <v>19.254556155635321</v>
      </c>
      <c r="L60" s="1">
        <v>14.029586796951152</v>
      </c>
      <c r="M60" s="1">
        <f>2240*0.00803571428571428</f>
        <v>17.999999999999986</v>
      </c>
      <c r="N60" s="1"/>
      <c r="O60" s="1">
        <v>21.333333333333332</v>
      </c>
      <c r="P60" s="1"/>
      <c r="Q60" s="1">
        <f t="shared" si="3"/>
        <v>21.333333333333332</v>
      </c>
      <c r="R60" s="1"/>
      <c r="S60" s="1"/>
      <c r="T60" s="1">
        <v>18.937397931409908</v>
      </c>
      <c r="U60" s="1">
        <v>20</v>
      </c>
      <c r="V60" s="1"/>
      <c r="W60" s="1">
        <v>20.003617571059412</v>
      </c>
      <c r="X60" s="1"/>
      <c r="Y60" s="3">
        <f>2240*0.0180032733224223</f>
        <v>40.327332242225957</v>
      </c>
      <c r="Z60" s="1"/>
      <c r="AA60" s="1"/>
      <c r="AB60" s="1"/>
      <c r="AC60" s="1"/>
      <c r="AD60" s="1"/>
      <c r="AE60" s="1"/>
      <c r="AF60" s="1"/>
      <c r="AG60" s="1">
        <f>2240*0.0138888888888889</f>
        <v>31.111111111111136</v>
      </c>
      <c r="AH60" s="1"/>
      <c r="AJ60" s="1">
        <f>20*1.10766666666667</f>
        <v>22.1533333333334</v>
      </c>
      <c r="AK60" s="1"/>
      <c r="AL60" s="1">
        <f>20*0.655832602934433</f>
        <v>13.116652058688661</v>
      </c>
      <c r="AM60" s="1">
        <v>27.798072394857002</v>
      </c>
      <c r="AN60" s="1">
        <v>20.45736222677283</v>
      </c>
      <c r="AO60" s="1">
        <f>20*0.764446990858566</f>
        <v>15.288939817171322</v>
      </c>
      <c r="AP60" s="1">
        <f>20*0.596776901124727</f>
        <v>11.935538022494541</v>
      </c>
      <c r="AQ60" s="1">
        <f>20*1.10770833333333</f>
        <v>22.154166666666598</v>
      </c>
      <c r="AR60" s="1">
        <f>20*0.8448</f>
        <v>16.896000000000001</v>
      </c>
      <c r="AS60" s="1">
        <v>18.587318040504503</v>
      </c>
      <c r="AT60" s="1">
        <v>12.436674493358293</v>
      </c>
    </row>
    <row r="61" spans="1:46" x14ac:dyDescent="0.25">
      <c r="A61" s="8">
        <f t="shared" si="2"/>
        <v>1894</v>
      </c>
      <c r="C61" s="1">
        <v>11.715</v>
      </c>
      <c r="D61" s="1">
        <v>14.05</v>
      </c>
      <c r="F61" s="1"/>
      <c r="G61" s="1">
        <f>2240*0.00805431473214285</f>
        <v>18.041664999999984</v>
      </c>
      <c r="H61" s="1">
        <f>2240*0.00744028315697793</f>
        <v>16.666234271630561</v>
      </c>
      <c r="I61" s="1"/>
      <c r="J61" s="1"/>
      <c r="K61" s="1">
        <v>14.858999191598164</v>
      </c>
      <c r="L61" s="1">
        <v>11.332664213895786</v>
      </c>
      <c r="M61" s="1">
        <f>2240*0.00714285714285714</f>
        <v>15.999999999999993</v>
      </c>
      <c r="N61" s="1"/>
      <c r="O61" s="1">
        <v>17.054263565891471</v>
      </c>
      <c r="P61" s="1">
        <f>20*0.7315546443378</f>
        <v>14.631092886756001</v>
      </c>
      <c r="Q61" s="1">
        <f t="shared" si="3"/>
        <v>15.842678226323736</v>
      </c>
      <c r="R61" s="1"/>
      <c r="S61" s="1"/>
      <c r="T61" s="1">
        <v>16.775542200156782</v>
      </c>
      <c r="U61" s="1">
        <v>16.888888888888889</v>
      </c>
      <c r="V61" s="1">
        <v>23.999918709100516</v>
      </c>
      <c r="W61" s="1">
        <v>19.999999999999982</v>
      </c>
      <c r="X61" s="1"/>
      <c r="Z61" s="1"/>
      <c r="AA61" s="1"/>
      <c r="AB61" s="1"/>
      <c r="AC61" s="1"/>
      <c r="AD61" s="1"/>
      <c r="AE61" s="1">
        <f>2240*0.0107692307692308</f>
        <v>24.123076923076994</v>
      </c>
      <c r="AF61" s="1"/>
      <c r="AG61" s="1">
        <f>2240*0.0140855267989442</f>
        <v>31.551580029635009</v>
      </c>
      <c r="AH61" s="1"/>
      <c r="AJ61" s="1">
        <f>20*0.951384615384615</f>
        <v>19.027692307692302</v>
      </c>
      <c r="AK61" s="1">
        <f>20*0.716216216216216</f>
        <v>14.324324324324319</v>
      </c>
      <c r="AL61" s="1">
        <f>20*0.645588079515612</f>
        <v>12.91176159031224</v>
      </c>
      <c r="AM61" s="1"/>
      <c r="AN61" s="1">
        <v>12.91176159031224</v>
      </c>
      <c r="AO61" s="1">
        <f>20*0.672206172640256</f>
        <v>13.444123452805119</v>
      </c>
      <c r="AP61" s="1">
        <f>20*0.563629273365397</f>
        <v>11.272585467307941</v>
      </c>
      <c r="AQ61" s="1">
        <f>20*0.8332</f>
        <v>16.664000000000001</v>
      </c>
      <c r="AR61" s="1">
        <f>20*0.782217142857143</f>
        <v>15.644342857142862</v>
      </c>
      <c r="AS61" s="1">
        <v>13.406381884338854</v>
      </c>
      <c r="AT61" s="1">
        <v>11.017185954817593</v>
      </c>
    </row>
    <row r="62" spans="1:46" x14ac:dyDescent="0.25">
      <c r="A62" s="8">
        <f t="shared" si="2"/>
        <v>1895</v>
      </c>
      <c r="C62" s="1">
        <v>9.754999999999999</v>
      </c>
      <c r="D62" s="1">
        <v>11.88</v>
      </c>
      <c r="F62" s="1"/>
      <c r="G62" s="1">
        <f>2240*0.0095612982183624</f>
        <v>21.417308009131776</v>
      </c>
      <c r="H62" s="1">
        <f>2240*0.00745523030920491</f>
        <v>16.699715892619</v>
      </c>
      <c r="I62" s="1"/>
      <c r="J62" s="1"/>
      <c r="K62" s="1">
        <v>11.540299602036621</v>
      </c>
      <c r="L62" s="1">
        <v>8.7148797629066301</v>
      </c>
      <c r="M62" s="1">
        <f>2240*0.00683890577507599</f>
        <v>15.319148936170217</v>
      </c>
      <c r="N62" s="1"/>
      <c r="O62" s="1"/>
      <c r="P62" s="1">
        <v>13.445378151260506</v>
      </c>
      <c r="Q62" s="1">
        <f t="shared" si="3"/>
        <v>13.445378151260506</v>
      </c>
      <c r="R62" s="1"/>
      <c r="S62" s="1"/>
      <c r="T62" s="1">
        <v>14.425962165688194</v>
      </c>
      <c r="U62" s="1">
        <v>15.99809885931559</v>
      </c>
      <c r="V62" s="1"/>
      <c r="W62" s="1">
        <v>19.999999999999982</v>
      </c>
      <c r="X62" s="1"/>
      <c r="Y62" s="3">
        <f>2240*0.0142307692307692</f>
        <v>31.876923076923006</v>
      </c>
      <c r="Z62" s="1"/>
      <c r="AA62" s="1"/>
      <c r="AB62" s="1"/>
      <c r="AC62" s="1"/>
      <c r="AD62" s="1"/>
      <c r="AE62" s="1"/>
      <c r="AF62" s="1"/>
      <c r="AG62" s="1">
        <f>2240*0.00843501099642495</f>
        <v>18.894424631991885</v>
      </c>
      <c r="AH62" s="1"/>
      <c r="AJ62" s="1">
        <f>20*0.86600566572238</f>
        <v>17.3201133144476</v>
      </c>
      <c r="AK62" s="1">
        <f>20*0.971676300578035</f>
        <v>19.433526011560701</v>
      </c>
      <c r="AL62" s="1">
        <f>20*0.673295059528982</f>
        <v>13.465901190579642</v>
      </c>
      <c r="AM62" s="1"/>
      <c r="AN62" s="1">
        <v>13.465901190579642</v>
      </c>
      <c r="AO62" s="1"/>
      <c r="AP62" s="1">
        <f>20*1.1892567145534</f>
        <v>23.785134291068001</v>
      </c>
      <c r="AQ62" s="1">
        <f>20*0.72225</f>
        <v>14.444999999999999</v>
      </c>
      <c r="AR62" s="1">
        <f>20*0.833333333333333</f>
        <v>16.666666666666661</v>
      </c>
      <c r="AS62" s="1">
        <v>12.48864810871536</v>
      </c>
      <c r="AT62" s="1">
        <v>8.7881702428286843</v>
      </c>
    </row>
    <row r="63" spans="1:46" x14ac:dyDescent="0.25">
      <c r="A63" s="8">
        <f t="shared" si="2"/>
        <v>1896</v>
      </c>
      <c r="C63" s="1">
        <v>10.594999999999999</v>
      </c>
      <c r="D63" s="1">
        <v>12.01</v>
      </c>
      <c r="F63" s="1"/>
      <c r="G63" s="1"/>
      <c r="H63" s="1">
        <f>2240*0.00744036222132263</f>
        <v>16.666411375762692</v>
      </c>
      <c r="I63" s="1"/>
      <c r="J63" s="1"/>
      <c r="K63" s="1">
        <v>12.887469775949175</v>
      </c>
      <c r="L63" s="1">
        <v>10.561256703519332</v>
      </c>
      <c r="M63" s="1">
        <f>2240*0.00709325396825397</f>
        <v>15.888888888888893</v>
      </c>
      <c r="N63" s="1"/>
      <c r="O63" s="1"/>
      <c r="P63" s="1">
        <v>13.088529358298491</v>
      </c>
      <c r="Q63" s="1">
        <f t="shared" si="3"/>
        <v>13.088529358298491</v>
      </c>
      <c r="R63" s="1"/>
      <c r="S63" s="1"/>
      <c r="T63" s="1">
        <v>14.048938134810712</v>
      </c>
      <c r="U63" s="1">
        <v>16</v>
      </c>
      <c r="V63" s="1"/>
      <c r="W63" s="1">
        <v>19.984381595609943</v>
      </c>
      <c r="X63" s="1"/>
      <c r="Y63" s="3">
        <f>2240*0.0153846153846154</f>
        <v>34.461538461538495</v>
      </c>
      <c r="Z63" s="1"/>
      <c r="AA63" s="1"/>
      <c r="AB63" s="1"/>
      <c r="AC63" s="1"/>
      <c r="AD63" s="1"/>
      <c r="AE63" s="1"/>
      <c r="AF63" s="1"/>
      <c r="AG63" s="1"/>
      <c r="AH63" s="1"/>
      <c r="AJ63" s="1">
        <f>20*0.804415584415584</f>
        <v>16.088311688311681</v>
      </c>
      <c r="AK63" s="1">
        <f>20*0.88967803030303</f>
        <v>17.793560606060602</v>
      </c>
      <c r="AL63" s="1">
        <f>20*0.695879380184042</f>
        <v>13.917587603680841</v>
      </c>
      <c r="AM63" s="1"/>
      <c r="AN63" s="1">
        <v>13.917587603680841</v>
      </c>
      <c r="AO63" s="1"/>
      <c r="AP63" s="1">
        <f>20*0.562414826928318</f>
        <v>11.248296538566361</v>
      </c>
      <c r="AQ63" s="1">
        <f>20*0.764666666666667</f>
        <v>15.29333333333334</v>
      </c>
      <c r="AR63" s="1">
        <f>20*0.627466666666667</f>
        <v>12.549333333333339</v>
      </c>
      <c r="AS63" s="1">
        <v>14.259756347350024</v>
      </c>
      <c r="AT63" s="1">
        <v>9.8089215031317831</v>
      </c>
    </row>
    <row r="64" spans="1:46" x14ac:dyDescent="0.25">
      <c r="A64" s="8">
        <f t="shared" si="2"/>
        <v>1897</v>
      </c>
      <c r="C64" s="1">
        <v>9.2850000000000001</v>
      </c>
      <c r="D64" s="1">
        <v>10.88</v>
      </c>
      <c r="E64" s="1">
        <f>2240*0.00892839694358133</f>
        <v>19.999609153622178</v>
      </c>
      <c r="F64" s="1"/>
      <c r="G64" s="1"/>
      <c r="H64" s="1">
        <f>2240*0.00744035644353501</f>
        <v>16.666398433518424</v>
      </c>
      <c r="I64" s="1"/>
      <c r="J64" s="1"/>
      <c r="K64" s="1">
        <v>11.561926850166376</v>
      </c>
      <c r="L64" s="1">
        <v>8.8480444655200134</v>
      </c>
      <c r="M64" s="1">
        <f>2240*0.00628496009050343</f>
        <v>14.078310602727683</v>
      </c>
      <c r="N64" s="1"/>
      <c r="O64" s="1"/>
      <c r="P64" s="1">
        <v>13</v>
      </c>
      <c r="Q64" s="1">
        <f t="shared" si="3"/>
        <v>13</v>
      </c>
      <c r="R64" s="1"/>
      <c r="S64" s="1"/>
      <c r="T64" s="1">
        <v>13.128413168981121</v>
      </c>
      <c r="U64" s="1">
        <v>16.002906976744185</v>
      </c>
      <c r="V64" s="1"/>
      <c r="W64" s="1">
        <v>20.015032211882588</v>
      </c>
      <c r="X64" s="1"/>
      <c r="Z64" s="1"/>
      <c r="AA64" s="1"/>
      <c r="AB64" s="1"/>
      <c r="AC64" s="1"/>
      <c r="AD64" s="1"/>
      <c r="AE64" s="1"/>
      <c r="AF64" s="1"/>
      <c r="AG64" s="1"/>
      <c r="AH64" s="1"/>
      <c r="AJ64" s="1">
        <f>20*0.906341463414634</f>
        <v>18.126829268292678</v>
      </c>
      <c r="AK64" s="1">
        <f>20*0.944334975369458</f>
        <v>18.88669950738916</v>
      </c>
      <c r="AL64" s="1">
        <f>20*0.653604354957852</f>
        <v>13.07208709915704</v>
      </c>
      <c r="AM64" s="1"/>
      <c r="AN64" s="1">
        <v>13.07208709915704</v>
      </c>
      <c r="AO64" s="1"/>
      <c r="AP64" s="1">
        <f>20*0.748529411764706</f>
        <v>14.97058823529412</v>
      </c>
      <c r="AQ64" s="1">
        <f>20*0.812444444444444</f>
        <v>16.248888888888878</v>
      </c>
      <c r="AR64" s="1">
        <f>20*0.661528194861528</f>
        <v>13.23056389723056</v>
      </c>
      <c r="AS64" s="1">
        <v>13.755659255588769</v>
      </c>
      <c r="AT64" s="1">
        <v>9.6155154279792789</v>
      </c>
    </row>
    <row r="65" spans="1:46" x14ac:dyDescent="0.25">
      <c r="A65" s="8">
        <f t="shared" si="2"/>
        <v>1898</v>
      </c>
      <c r="C65" s="1">
        <v>9.745000000000001</v>
      </c>
      <c r="D65" s="1">
        <v>11.26</v>
      </c>
      <c r="E65" s="1">
        <f>2240*0.00361081932773109</f>
        <v>8.0882352941176414</v>
      </c>
      <c r="F65" s="1"/>
      <c r="G65" s="1"/>
      <c r="H65" s="1"/>
      <c r="I65" s="1"/>
      <c r="J65" s="1"/>
      <c r="K65" s="1">
        <v>12.267247608464125</v>
      </c>
      <c r="L65" s="1">
        <v>9.5825345559524475</v>
      </c>
      <c r="M65" s="1">
        <f>2240*0.00714285714285714</f>
        <v>15.999999999999993</v>
      </c>
      <c r="N65" s="1"/>
      <c r="O65" s="1">
        <v>16.8</v>
      </c>
      <c r="P65" s="1">
        <v>13</v>
      </c>
      <c r="Q65" s="1">
        <f t="shared" si="3"/>
        <v>14.9</v>
      </c>
      <c r="R65" s="1"/>
      <c r="S65" s="1"/>
      <c r="T65" s="1">
        <v>14.870077376140431</v>
      </c>
      <c r="U65" s="1">
        <v>16.001461988304094</v>
      </c>
      <c r="V65" s="1"/>
      <c r="W65" s="1">
        <v>20.02430724355856</v>
      </c>
      <c r="X65" s="1"/>
      <c r="Y65" s="3">
        <f>2240*0.0161172161172161</f>
        <v>36.102564102564067</v>
      </c>
      <c r="Z65" s="1"/>
      <c r="AA65" s="1"/>
      <c r="AB65" s="1"/>
      <c r="AC65" s="1"/>
      <c r="AD65" s="1"/>
      <c r="AE65" s="1"/>
      <c r="AF65" s="1"/>
      <c r="AG65" s="1"/>
      <c r="AH65" s="1"/>
      <c r="AJ65" s="1">
        <f>20*0.716082474226804</f>
        <v>14.321649484536081</v>
      </c>
      <c r="AK65" s="1">
        <f>20*0.812529002320186</f>
        <v>16.250580046403719</v>
      </c>
      <c r="AL65" s="1">
        <f>20*0.608365137645684</f>
        <v>12.167302752913681</v>
      </c>
      <c r="AM65" s="1"/>
      <c r="AN65" s="1">
        <v>12.167302752913681</v>
      </c>
      <c r="AO65" s="1"/>
      <c r="AP65" s="1">
        <f>20*0.76510196229319</f>
        <v>15.302039245863801</v>
      </c>
      <c r="AQ65" s="1">
        <f>20*0.75</f>
        <v>15</v>
      </c>
      <c r="AR65" s="1">
        <f>20*0.880325052055105</f>
        <v>17.606501041102099</v>
      </c>
      <c r="AS65" s="1">
        <v>13.057254328822872</v>
      </c>
      <c r="AT65" s="1">
        <v>8.9184606074293278</v>
      </c>
    </row>
    <row r="66" spans="1:46" x14ac:dyDescent="0.25">
      <c r="A66" s="8">
        <f t="shared" si="2"/>
        <v>1899</v>
      </c>
      <c r="C66" s="1">
        <v>10.875</v>
      </c>
      <c r="D66" s="1">
        <v>12.23</v>
      </c>
      <c r="E66" s="1">
        <f>2240*0.00892857142857143</f>
        <v>20.000000000000004</v>
      </c>
      <c r="F66" s="1"/>
      <c r="G66" s="1"/>
      <c r="H66" s="1"/>
      <c r="I66" s="1"/>
      <c r="J66" s="1"/>
      <c r="K66" s="1">
        <v>12.246014560073954</v>
      </c>
      <c r="L66" s="1">
        <v>10.477488310139508</v>
      </c>
      <c r="M66" s="1">
        <f>2240*0.00669642857142857</f>
        <v>14.999999999999996</v>
      </c>
      <c r="N66" s="1"/>
      <c r="O66" s="1"/>
      <c r="P66" s="1">
        <v>12.891891891891891</v>
      </c>
      <c r="Q66" s="1">
        <f t="shared" si="3"/>
        <v>12.891891891891891</v>
      </c>
      <c r="R66" s="1">
        <v>12.263295371434541</v>
      </c>
      <c r="S66" s="1"/>
      <c r="T66" s="1">
        <v>14.446543580936025</v>
      </c>
      <c r="U66" s="1">
        <v>16.001662510390691</v>
      </c>
      <c r="V66" s="1"/>
      <c r="W66" s="1">
        <v>14.285586924219897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J66" s="1">
        <f>20*0.833942659226477</f>
        <v>16.67885318452954</v>
      </c>
      <c r="AK66" s="1">
        <f>20*0.966292134831461</f>
        <v>19.32584269662922</v>
      </c>
      <c r="AL66" s="1">
        <f>20*0.615784439860882</f>
        <v>12.315688797217641</v>
      </c>
      <c r="AM66" s="1"/>
      <c r="AN66" s="1">
        <v>12.315688797217641</v>
      </c>
      <c r="AO66" s="1"/>
      <c r="AP66" s="1">
        <f>20*0.763625503956996</f>
        <v>15.27251007913992</v>
      </c>
      <c r="AQ66" s="1">
        <f>20*0.8</f>
        <v>16</v>
      </c>
      <c r="AR66" s="1">
        <f>20*1.11941333336132</f>
        <v>22.388266667226404</v>
      </c>
      <c r="AS66" s="1">
        <v>13.031110173746168</v>
      </c>
      <c r="AT66" s="1">
        <v>10.297846272295217</v>
      </c>
    </row>
    <row r="67" spans="1:46" x14ac:dyDescent="0.25">
      <c r="A67" s="8">
        <f t="shared" si="2"/>
        <v>1900</v>
      </c>
      <c r="C67" s="1">
        <v>11</v>
      </c>
      <c r="D67" s="1">
        <v>12.59</v>
      </c>
      <c r="E67" s="1">
        <f>2240*0.00892505762635633</f>
        <v>19.992129083038179</v>
      </c>
      <c r="F67" s="1"/>
      <c r="G67" s="1"/>
      <c r="H67" s="1"/>
      <c r="I67" s="1"/>
      <c r="J67" s="1"/>
      <c r="K67" s="1">
        <v>11.773442840507915</v>
      </c>
      <c r="L67" s="1">
        <v>10.892510850197096</v>
      </c>
      <c r="M67" s="1">
        <f>2240*0.00613573807258393</f>
        <v>13.744053282588004</v>
      </c>
      <c r="N67" s="1"/>
      <c r="O67" s="1"/>
      <c r="P67" s="1">
        <v>12</v>
      </c>
      <c r="Q67" s="1">
        <f t="shared" si="3"/>
        <v>12</v>
      </c>
      <c r="R67" s="1"/>
      <c r="S67" s="1"/>
      <c r="T67" s="1">
        <v>14.320486815415821</v>
      </c>
      <c r="U67" s="1">
        <v>15.997652582159624</v>
      </c>
      <c r="V67" s="1"/>
      <c r="W67" s="1">
        <v>12.466206896551714</v>
      </c>
      <c r="X67" s="1"/>
      <c r="Y67" s="1"/>
      <c r="Z67" s="1"/>
      <c r="AA67" s="1"/>
      <c r="AB67" s="1"/>
      <c r="AC67" s="1">
        <f>20*1.23000261309758</f>
        <v>24.600052261951603</v>
      </c>
      <c r="AD67" s="1"/>
      <c r="AE67" s="1"/>
      <c r="AF67" s="1"/>
      <c r="AG67" s="1"/>
      <c r="AH67" s="1"/>
      <c r="AJ67" s="1">
        <f>20*0.741727425687044</f>
        <v>14.834548513740879</v>
      </c>
      <c r="AK67" s="1">
        <f>20*0.933333333333333</f>
        <v>18.666666666666661</v>
      </c>
      <c r="AL67" s="1">
        <f>20*0.567502293034386</f>
        <v>11.350045860687722</v>
      </c>
      <c r="AM67" s="1"/>
      <c r="AN67" s="1">
        <v>11.350045860687722</v>
      </c>
      <c r="AO67" s="1"/>
      <c r="AP67" s="1">
        <f>20*0.83402520944977</f>
        <v>16.6805041889954</v>
      </c>
      <c r="AQ67" s="1">
        <f>20*0.8</f>
        <v>16</v>
      </c>
      <c r="AR67" s="1">
        <f>20*0.817861339600248</f>
        <v>16.357226792004958</v>
      </c>
      <c r="AS67" s="1">
        <v>13.996592885227827</v>
      </c>
      <c r="AT67" s="1">
        <v>10.675389276304514</v>
      </c>
    </row>
    <row r="68" spans="1:46" x14ac:dyDescent="0.25">
      <c r="A68" s="8">
        <f t="shared" si="2"/>
        <v>1901</v>
      </c>
      <c r="C68" s="1">
        <v>9.99</v>
      </c>
      <c r="D68" s="1">
        <v>12.61</v>
      </c>
      <c r="E68" s="1">
        <f>2240*0.0119047619047619</f>
        <v>26.666666666666657</v>
      </c>
      <c r="F68" s="1"/>
      <c r="G68" s="1"/>
      <c r="H68" s="1"/>
      <c r="I68" s="1"/>
      <c r="J68" s="1"/>
      <c r="K68" s="1">
        <v>10.538214576974562</v>
      </c>
      <c r="L68" s="1">
        <v>11.161969302706314</v>
      </c>
      <c r="M68" s="1">
        <f>2240*0.00638435737155054</f>
        <v>14.300960512273209</v>
      </c>
      <c r="N68" s="1"/>
      <c r="O68" s="1"/>
      <c r="P68" s="1">
        <v>12.147651006711408</v>
      </c>
      <c r="Q68" s="1">
        <f t="shared" si="3"/>
        <v>12.147651006711408</v>
      </c>
      <c r="R68" s="1">
        <v>9.2203443719137184</v>
      </c>
      <c r="S68" s="1"/>
      <c r="T68" s="1">
        <v>13.055899438148748</v>
      </c>
      <c r="U68" s="1">
        <v>14.014251781472684</v>
      </c>
      <c r="V68" s="1"/>
      <c r="W68" s="1">
        <v>11.791481069042305</v>
      </c>
      <c r="X68" s="1"/>
      <c r="Y68" s="1"/>
      <c r="Z68" s="1"/>
      <c r="AA68" s="1"/>
      <c r="AB68" s="1"/>
      <c r="AC68" s="1">
        <f>20*1.27436252926449</f>
        <v>25.4872505852898</v>
      </c>
      <c r="AD68" s="1"/>
      <c r="AE68" s="1"/>
      <c r="AF68" s="1"/>
      <c r="AG68" s="1"/>
      <c r="AH68" s="1"/>
      <c r="AJ68" s="1">
        <f>20*0.690665342601787</f>
        <v>13.81330685203574</v>
      </c>
      <c r="AK68" s="1">
        <f>20*0.939592908732764</f>
        <v>18.791858174655282</v>
      </c>
      <c r="AL68" s="1">
        <f>20*0.513867014359569</f>
        <v>10.277340287191381</v>
      </c>
      <c r="AM68" s="1"/>
      <c r="AN68" s="1">
        <v>10.277340287191381</v>
      </c>
      <c r="AO68" s="1"/>
      <c r="AP68" s="1">
        <f>20*0.844303681263197</f>
        <v>16.88607362526394</v>
      </c>
      <c r="AQ68" s="1">
        <f>20*0.66672</f>
        <v>13.334399999999999</v>
      </c>
      <c r="AR68" s="1">
        <f>20*0.821338181818182</f>
        <v>16.426763636363638</v>
      </c>
      <c r="AS68" s="1">
        <v>14.423713620561537</v>
      </c>
      <c r="AT68" s="1">
        <v>11.233178337141371</v>
      </c>
    </row>
    <row r="69" spans="1:46" x14ac:dyDescent="0.25">
      <c r="A69" s="8">
        <f t="shared" si="2"/>
        <v>1902</v>
      </c>
      <c r="C69" s="1">
        <v>7.9649999999999999</v>
      </c>
      <c r="D69" s="1">
        <v>11.16</v>
      </c>
      <c r="E69" s="1">
        <f>2240*0.0119047619047619</f>
        <v>26.666666666666657</v>
      </c>
      <c r="F69" s="1"/>
      <c r="G69" s="1"/>
      <c r="H69" s="1"/>
      <c r="I69" s="1"/>
      <c r="J69" s="1"/>
      <c r="K69" s="1">
        <v>9.4133004482763898</v>
      </c>
      <c r="L69" s="1">
        <v>8.2306081812381748</v>
      </c>
      <c r="M69" s="1">
        <f>2240*0.00506585612968592</f>
        <v>11.34751773049646</v>
      </c>
      <c r="N69" s="1"/>
      <c r="O69" s="1">
        <v>18.669778296382731</v>
      </c>
      <c r="P69" s="1"/>
      <c r="Q69" s="1">
        <f t="shared" si="3"/>
        <v>18.669778296382731</v>
      </c>
      <c r="R69" s="1"/>
      <c r="S69" s="1"/>
      <c r="T69" s="1">
        <v>12.372333548804137</v>
      </c>
      <c r="U69" s="1">
        <v>13.980582524271846</v>
      </c>
      <c r="V69" s="1"/>
      <c r="W69" s="1">
        <v>11.030940294899676</v>
      </c>
      <c r="X69" s="1"/>
      <c r="Y69" s="1"/>
      <c r="Z69" s="3">
        <f>2240*0.00930220419904049</f>
        <v>20.836937405850698</v>
      </c>
      <c r="AA69" s="3">
        <f>2240*0.00898706280176982</f>
        <v>20.131020675964397</v>
      </c>
      <c r="AB69" s="1"/>
      <c r="AC69" s="1">
        <f>20*1.04244797891953</f>
        <v>20.848959578390598</v>
      </c>
      <c r="AD69" s="1">
        <f>20*1.17139001349528</f>
        <v>23.4278002699056</v>
      </c>
      <c r="AE69" s="1"/>
      <c r="AF69" s="1"/>
      <c r="AG69" s="1">
        <f>2240*0.00595653157921938</f>
        <v>13.342630737451412</v>
      </c>
      <c r="AH69" s="1"/>
      <c r="AJ69" s="1">
        <f>20*0.69438202247191</f>
        <v>13.887640449438202</v>
      </c>
      <c r="AK69" s="1">
        <f>20*0.833333333333333</f>
        <v>16.666666666666661</v>
      </c>
      <c r="AL69" s="1">
        <f>20*0.461356203921096</f>
        <v>9.2271240784219195</v>
      </c>
      <c r="AM69" s="1"/>
      <c r="AN69" s="1">
        <v>9.2271240784219195</v>
      </c>
      <c r="AO69" s="1"/>
      <c r="AP69" s="1">
        <f>20*(AVERAGE(0.617122990004346,0.732251521298174))</f>
        <v>13.493745113025199</v>
      </c>
      <c r="AQ69" s="1"/>
      <c r="AS69" s="1">
        <v>12.35794290804731</v>
      </c>
      <c r="AT69" s="1">
        <v>9.4640263358361878</v>
      </c>
    </row>
    <row r="70" spans="1:46" x14ac:dyDescent="0.25">
      <c r="A70" s="8">
        <f t="shared" si="2"/>
        <v>1903</v>
      </c>
      <c r="C70" s="1">
        <v>8.8550000000000004</v>
      </c>
      <c r="D70" s="1">
        <v>11.95</v>
      </c>
      <c r="E70" s="1">
        <f>2240*0.0104087703581191</f>
        <v>23.315645602186784</v>
      </c>
      <c r="F70" s="1"/>
      <c r="G70" s="1"/>
      <c r="H70" s="1"/>
      <c r="I70" s="1"/>
      <c r="J70" s="1"/>
      <c r="K70" s="1">
        <v>9.531656603749834</v>
      </c>
      <c r="L70" s="1">
        <v>8.6004786826040611</v>
      </c>
      <c r="M70" s="1">
        <f>2240*0.00560767135539475</f>
        <v>12.56118383608424</v>
      </c>
      <c r="N70" s="1"/>
      <c r="O70" s="1">
        <v>14.285714285714286</v>
      </c>
      <c r="P70" s="1"/>
      <c r="Q70" s="1">
        <f t="shared" si="3"/>
        <v>14.285714285714286</v>
      </c>
      <c r="R70" s="1">
        <v>10.668928419971877</v>
      </c>
      <c r="S70" s="1"/>
      <c r="T70" s="1">
        <v>12.238229093464511</v>
      </c>
      <c r="U70" s="1">
        <v>10</v>
      </c>
      <c r="V70" s="1"/>
      <c r="W70" s="1">
        <v>11.457943925233634</v>
      </c>
      <c r="X70" s="1"/>
      <c r="Y70" s="1"/>
      <c r="Z70" s="3">
        <f>2240*0.00870466847715642</f>
        <v>19.498457388830381</v>
      </c>
      <c r="AA70" s="3">
        <f>2240*0.0126336565218371</f>
        <v>28.299390608915104</v>
      </c>
      <c r="AB70" s="1"/>
      <c r="AC70" s="1">
        <f>20*1.09054767413359</f>
        <v>21.810953482671799</v>
      </c>
      <c r="AD70" s="1"/>
      <c r="AE70" s="1"/>
      <c r="AF70" s="1"/>
      <c r="AG70" s="1"/>
      <c r="AH70" s="1"/>
      <c r="AJ70" s="1">
        <f>20*0.705864818540875</f>
        <v>14.117296370817501</v>
      </c>
      <c r="AK70" s="1">
        <f>20*0.688634835238736</f>
        <v>13.77269670477472</v>
      </c>
      <c r="AL70" s="1">
        <f>20*0.507411330815071</f>
        <v>10.148226616301418</v>
      </c>
      <c r="AM70" s="1"/>
      <c r="AN70" s="1">
        <v>10.148226616301418</v>
      </c>
      <c r="AO70" s="1"/>
      <c r="AP70" s="1"/>
      <c r="AQ70" s="1"/>
      <c r="AS70" s="1">
        <v>12.042927750595078</v>
      </c>
      <c r="AT70" s="1">
        <v>8.273625776316706</v>
      </c>
    </row>
    <row r="71" spans="1:46" x14ac:dyDescent="0.25">
      <c r="A71" s="8">
        <f t="shared" si="2"/>
        <v>1904</v>
      </c>
      <c r="C71" s="1">
        <v>10.185</v>
      </c>
      <c r="D71" s="1">
        <v>12.49</v>
      </c>
      <c r="E71" s="1">
        <f>2240*0.013392160981214</f>
        <v>29.998440597919362</v>
      </c>
      <c r="F71" s="1"/>
      <c r="G71" s="1"/>
      <c r="H71" s="1"/>
      <c r="I71" s="1"/>
      <c r="J71" s="1"/>
      <c r="K71" s="1">
        <v>11.433839540722561</v>
      </c>
      <c r="L71" s="1">
        <v>10.575998431926488</v>
      </c>
      <c r="M71" s="1">
        <f>2240*0.00672483766233766</f>
        <v>15.063636363636359</v>
      </c>
      <c r="N71" s="1"/>
      <c r="O71" s="1">
        <v>18.050541516245488</v>
      </c>
      <c r="P71" s="1"/>
      <c r="Q71" s="1">
        <f t="shared" si="3"/>
        <v>18.050541516245488</v>
      </c>
      <c r="R71" s="1">
        <v>16.397714743910996</v>
      </c>
      <c r="S71" s="1"/>
      <c r="T71" s="1">
        <v>13.777179686946667</v>
      </c>
      <c r="U71" s="1"/>
      <c r="V71" s="1"/>
      <c r="W71" s="1">
        <v>11.260264900662241</v>
      </c>
      <c r="X71" s="1"/>
      <c r="Y71" s="1"/>
      <c r="Z71" s="3">
        <f>2240*0.00933379756017875</f>
        <v>20.907706534800401</v>
      </c>
      <c r="AA71" s="3">
        <f>2240*0.0124630435305146</f>
        <v>27.917217508352703</v>
      </c>
      <c r="AB71" s="1"/>
      <c r="AC71" s="1">
        <f>20*1.07640404229737</f>
        <v>21.5280808459474</v>
      </c>
      <c r="AD71" s="1">
        <f>20*1.67047473978167</f>
        <v>33.4094947956334</v>
      </c>
      <c r="AE71" s="1"/>
      <c r="AF71" s="1"/>
      <c r="AG71" s="1"/>
      <c r="AH71" s="1"/>
      <c r="AJ71" s="1">
        <f>20*0.80154347210422</f>
        <v>16.030869442084398</v>
      </c>
      <c r="AK71" s="1">
        <f>20*0.800213219616205</f>
        <v>16.004264392324099</v>
      </c>
      <c r="AL71" s="1">
        <f>20*0.849823284649199</f>
        <v>16.996465692983978</v>
      </c>
      <c r="AM71" s="1"/>
      <c r="AN71" s="1">
        <v>16.996465692983978</v>
      </c>
      <c r="AO71" s="1"/>
      <c r="AP71" s="1"/>
      <c r="AQ71" s="1"/>
      <c r="AS71" s="1">
        <v>11.912004450290457</v>
      </c>
      <c r="AT71" s="1">
        <v>9.2198009199810791</v>
      </c>
    </row>
    <row r="72" spans="1:46" x14ac:dyDescent="0.25">
      <c r="A72" s="8">
        <f t="shared" ref="A72:A135" si="4">A71+1</f>
        <v>1905</v>
      </c>
      <c r="C72" s="1">
        <v>11.809999999999999</v>
      </c>
      <c r="D72" s="1">
        <v>15.21</v>
      </c>
      <c r="E72" s="1">
        <f>2240*0.0126088606583573</f>
        <v>28.243847874720352</v>
      </c>
      <c r="F72" s="1"/>
      <c r="G72" s="1"/>
      <c r="H72" s="1"/>
      <c r="I72" s="1"/>
      <c r="J72" s="1"/>
      <c r="K72" s="1">
        <v>12.530117103403153</v>
      </c>
      <c r="L72" s="1">
        <v>13.211300811180092</v>
      </c>
      <c r="M72" s="1">
        <f>2240*0.00788095238095238</f>
        <v>17.653333333333332</v>
      </c>
      <c r="N72" s="1"/>
      <c r="O72" s="1">
        <v>13.2</v>
      </c>
      <c r="P72" s="1"/>
      <c r="Q72" s="1">
        <f t="shared" si="3"/>
        <v>13.2</v>
      </c>
      <c r="R72" s="1"/>
      <c r="S72" s="1"/>
      <c r="T72" s="1">
        <v>14.430274466315499</v>
      </c>
      <c r="U72" s="1"/>
      <c r="V72" s="1">
        <v>16.22762105263158</v>
      </c>
      <c r="W72" s="1">
        <v>11.795501627700492</v>
      </c>
      <c r="X72" s="1">
        <f>2240*0.0124672734073058</f>
        <v>27.926692432364991</v>
      </c>
      <c r="Y72" s="1"/>
      <c r="Z72" s="3">
        <f>2240*0.0130584088620342</f>
        <v>29.250835850956609</v>
      </c>
      <c r="AA72" s="3">
        <f>2240*0.013897625835039</f>
        <v>31.130681870487361</v>
      </c>
      <c r="AB72" s="1"/>
      <c r="AC72" s="1">
        <f>20*1.32209638047958</f>
        <v>26.441927609591602</v>
      </c>
      <c r="AD72" s="1"/>
      <c r="AE72" s="1"/>
      <c r="AF72" s="1"/>
      <c r="AG72" s="1"/>
      <c r="AI72" s="3"/>
      <c r="AJ72" s="1">
        <f>20*0.849086639732035</f>
        <v>16.981732794640699</v>
      </c>
      <c r="AK72" s="1">
        <f>20*0.866666666666667</f>
        <v>17.333333333333339</v>
      </c>
      <c r="AL72" s="1">
        <f>20*0.9</f>
        <v>18</v>
      </c>
      <c r="AM72" s="1"/>
      <c r="AN72" s="1">
        <v>18</v>
      </c>
      <c r="AO72" s="1"/>
      <c r="AP72" s="1"/>
      <c r="AQ72" s="1"/>
      <c r="AS72" s="1">
        <v>14.540824658150829</v>
      </c>
      <c r="AT72" s="1">
        <v>11.387233483814104</v>
      </c>
    </row>
    <row r="73" spans="1:46" x14ac:dyDescent="0.25">
      <c r="A73" s="8">
        <f t="shared" si="4"/>
        <v>1906</v>
      </c>
      <c r="C73" s="1">
        <v>9.0749999999999993</v>
      </c>
      <c r="D73" s="1">
        <v>12.52</v>
      </c>
      <c r="E73" s="1">
        <f>(2240/175)*1.6254658326935</f>
        <v>20.805962658476801</v>
      </c>
      <c r="F73" s="1"/>
      <c r="G73" s="1"/>
      <c r="H73" s="1"/>
      <c r="I73" s="1"/>
      <c r="J73" s="1"/>
      <c r="K73" s="1">
        <v>11.416930516936914</v>
      </c>
      <c r="L73" s="1">
        <v>9.1766580627684977</v>
      </c>
      <c r="M73" s="1">
        <f>2240*0.00687016185784659</f>
        <v>15.389162561576363</v>
      </c>
      <c r="N73" s="1"/>
      <c r="O73" s="1">
        <v>13.461538461538462</v>
      </c>
      <c r="P73" s="1"/>
      <c r="Q73" s="1">
        <f t="shared" si="3"/>
        <v>13.461538461538462</v>
      </c>
      <c r="R73" s="1"/>
      <c r="S73" s="1"/>
      <c r="T73" s="1">
        <v>13.99592303485308</v>
      </c>
      <c r="U73" s="1">
        <v>14.986276303751144</v>
      </c>
      <c r="V73" s="1">
        <v>13.649410902875282</v>
      </c>
      <c r="W73" s="1">
        <v>11.961949763740353</v>
      </c>
      <c r="X73" s="1">
        <f>2240*0.0126080691642651</f>
        <v>28.242074927953823</v>
      </c>
      <c r="Y73" s="1"/>
      <c r="Z73" s="3">
        <f>2240*0.0124117505782689</f>
        <v>27.802321295322336</v>
      </c>
      <c r="AA73" s="3">
        <f>2240*0.0146334154624759</f>
        <v>32.778850635946014</v>
      </c>
      <c r="AB73" s="1"/>
      <c r="AC73" s="1"/>
      <c r="AD73" s="1"/>
      <c r="AE73" s="1"/>
      <c r="AF73" s="1"/>
      <c r="AG73" s="1">
        <v>22.134768352429631</v>
      </c>
      <c r="AH73" s="3">
        <v>23.084409223799838</v>
      </c>
      <c r="AI73" s="3">
        <v>23.048340657675425</v>
      </c>
      <c r="AJ73" s="1">
        <f>20*0.734608569077907</f>
        <v>14.69217138155814</v>
      </c>
      <c r="AK73" s="1">
        <f>20*0.75001996007984</f>
        <v>15.0003992015968</v>
      </c>
      <c r="AL73" s="1">
        <f>20*0.666651162790698</f>
        <v>13.333023255813961</v>
      </c>
      <c r="AM73" s="1"/>
      <c r="AN73" s="1">
        <v>13.333023255813961</v>
      </c>
      <c r="AO73" s="1"/>
      <c r="AP73" s="1">
        <f>20*0.774220499281489</f>
        <v>15.484409985629778</v>
      </c>
      <c r="AQ73" s="1">
        <f>20*0.723103776578864</f>
        <v>14.46207553157728</v>
      </c>
      <c r="AS73" s="1">
        <v>11.086421812960154</v>
      </c>
      <c r="AT73" s="1">
        <v>11.406277020544206</v>
      </c>
    </row>
    <row r="74" spans="1:46" x14ac:dyDescent="0.25">
      <c r="A74" s="8">
        <f t="shared" si="4"/>
        <v>1907</v>
      </c>
      <c r="C74" s="1">
        <v>9.875</v>
      </c>
      <c r="D74" s="1">
        <v>13.9</v>
      </c>
      <c r="E74" s="1">
        <f>(2240/175)*1.54627732913138</f>
        <v>19.792349812881668</v>
      </c>
      <c r="F74" s="1"/>
      <c r="G74" s="1"/>
      <c r="H74" s="1"/>
      <c r="I74" s="3"/>
      <c r="J74" s="1"/>
      <c r="K74" s="1">
        <v>11.348387969616775</v>
      </c>
      <c r="L74" s="1">
        <v>9.0023420340100149</v>
      </c>
      <c r="M74" s="3">
        <f>2240*0.00730262929387656</f>
        <v>16.357889618283494</v>
      </c>
      <c r="N74" s="3"/>
      <c r="O74" s="1"/>
      <c r="P74" s="1"/>
      <c r="Q74" s="1"/>
      <c r="R74" s="1">
        <v>15.765576389472798</v>
      </c>
      <c r="S74" s="1">
        <v>21.691176470588236</v>
      </c>
      <c r="T74" s="1">
        <v>13.898464853218421</v>
      </c>
      <c r="U74" s="1"/>
      <c r="V74" s="1">
        <v>14.410941560605051</v>
      </c>
      <c r="W74" s="1">
        <v>14.016312056737576</v>
      </c>
      <c r="X74" s="1"/>
      <c r="Y74" s="1"/>
      <c r="Z74" s="3">
        <f>2240*0.00997577339790539</f>
        <v>22.345732411308074</v>
      </c>
      <c r="AA74" s="3">
        <f>2240*0.0110551386175936</f>
        <v>24.763510503409666</v>
      </c>
      <c r="AB74" s="1"/>
      <c r="AC74" s="1">
        <f>20*1.54106280193237</f>
        <v>30.821256038647398</v>
      </c>
      <c r="AD74" s="1"/>
      <c r="AE74" s="1">
        <f>2240*0.0170933333333333</f>
        <v>38.289066666666592</v>
      </c>
      <c r="AF74" s="1"/>
      <c r="AG74" s="1">
        <v>17.646754186083975</v>
      </c>
      <c r="AH74" s="3">
        <v>17.073092010429818</v>
      </c>
      <c r="AI74" s="3">
        <v>22.238964249699098</v>
      </c>
      <c r="AJ74" s="1">
        <f>20*0.800081930277334</f>
        <v>16.001638605546681</v>
      </c>
      <c r="AK74" s="1"/>
      <c r="AL74" s="1">
        <f>20*0.546421568627451</f>
        <v>10.928431372549019</v>
      </c>
      <c r="AM74" s="1"/>
      <c r="AN74" s="1">
        <v>10.928431372549019</v>
      </c>
      <c r="AO74" s="1"/>
      <c r="AP74" s="1">
        <f>20*0.740632100805619</f>
        <v>14.812642016112381</v>
      </c>
      <c r="AQ74" s="1">
        <f>20*0.701691480240081</f>
        <v>14.033829604801619</v>
      </c>
      <c r="AS74" s="1">
        <v>11.425879287311739</v>
      </c>
      <c r="AT74" s="1">
        <v>11.809386820760526</v>
      </c>
    </row>
    <row r="75" spans="1:46" x14ac:dyDescent="0.25">
      <c r="A75" s="8">
        <f t="shared" si="4"/>
        <v>1908</v>
      </c>
      <c r="C75" s="1">
        <v>10.71</v>
      </c>
      <c r="D75" s="1">
        <v>14.54</v>
      </c>
      <c r="E75" s="1">
        <f>(2240/175)*1.37698707917532</f>
        <v>17.625434613444096</v>
      </c>
      <c r="F75" s="1"/>
      <c r="G75" s="1"/>
      <c r="H75" s="1"/>
      <c r="I75" s="3">
        <f>2240*0.0104166666666667</f>
        <v>23.33333333333341</v>
      </c>
      <c r="J75" s="1"/>
      <c r="K75" s="1">
        <v>11.084855056913323</v>
      </c>
      <c r="L75" s="1">
        <v>12.963104326815934</v>
      </c>
      <c r="M75" s="1">
        <f>2240*0.00909495899351625</f>
        <v>20.372708145476402</v>
      </c>
      <c r="N75" s="1"/>
      <c r="O75" s="1">
        <v>18.333333333333332</v>
      </c>
      <c r="P75" s="1"/>
      <c r="Q75" s="1">
        <f t="shared" si="3"/>
        <v>18.333333333333332</v>
      </c>
      <c r="R75" s="1"/>
      <c r="S75" s="1"/>
      <c r="T75" s="1">
        <v>15.989291928791328</v>
      </c>
      <c r="U75" s="1"/>
      <c r="V75" s="1">
        <v>14.933459963198196</v>
      </c>
      <c r="W75" s="1">
        <v>14.169767441860454</v>
      </c>
      <c r="X75" s="1"/>
      <c r="Y75" s="1"/>
      <c r="Z75" s="3">
        <f>2240*0.00945854995114426</f>
        <v>21.187151890563143</v>
      </c>
      <c r="AA75" s="3">
        <f>2240*0.0115438558636315</f>
        <v>25.858237134534559</v>
      </c>
      <c r="AB75" s="1"/>
      <c r="AC75" s="1">
        <f>20*1.31486880466472</f>
        <v>26.297376093294396</v>
      </c>
      <c r="AD75" s="1"/>
      <c r="AE75" s="1">
        <f>2240*0.0164102564102564</f>
        <v>36.758974358974335</v>
      </c>
      <c r="AF75" s="1"/>
      <c r="AG75" s="1">
        <v>17.493504314222854</v>
      </c>
      <c r="AH75" s="3">
        <v>18.176588270785125</v>
      </c>
      <c r="AI75" s="3">
        <v>23.442050787741039</v>
      </c>
      <c r="AJ75" s="1">
        <f>20*0.797223447748463</f>
        <v>15.94446895496926</v>
      </c>
      <c r="AK75" s="1"/>
      <c r="AL75" s="1">
        <f>20*0.582258064516129</f>
        <v>11.64516129032258</v>
      </c>
      <c r="AM75" s="1"/>
      <c r="AN75" s="1">
        <v>11.64516129032258</v>
      </c>
      <c r="AO75" s="1"/>
      <c r="AP75" s="1">
        <f>20*0.77053129705313</f>
        <v>15.410625941062598</v>
      </c>
      <c r="AQ75" s="1">
        <f>20*0.717669398360983</f>
        <v>14.35338796721966</v>
      </c>
      <c r="AS75" s="1">
        <v>11.732814229333387</v>
      </c>
      <c r="AT75" s="1">
        <v>11.174862103670669</v>
      </c>
    </row>
    <row r="76" spans="1:46" x14ac:dyDescent="0.25">
      <c r="A76" s="8">
        <f t="shared" si="4"/>
        <v>1909</v>
      </c>
      <c r="C76" s="1">
        <v>11.115</v>
      </c>
      <c r="D76" s="1">
        <v>14.56</v>
      </c>
      <c r="E76" s="1">
        <f>(2240/175)*1.42757792948467</f>
        <v>18.272997497403775</v>
      </c>
      <c r="F76" s="1"/>
      <c r="G76" s="1">
        <f>2240*0.00914634146341463</f>
        <v>20.48780487804877</v>
      </c>
      <c r="H76" s="1"/>
      <c r="I76" s="1"/>
      <c r="J76" s="1"/>
      <c r="K76" s="1">
        <v>12.088185079100736</v>
      </c>
      <c r="L76" s="1">
        <v>13.681884138032189</v>
      </c>
      <c r="M76" s="1">
        <f>2240*0.00836322659046534</f>
        <v>18.733627562642361</v>
      </c>
      <c r="N76" s="1"/>
      <c r="O76" s="1">
        <v>22.3</v>
      </c>
      <c r="P76" s="1"/>
      <c r="Q76" s="1">
        <f t="shared" si="3"/>
        <v>22.3</v>
      </c>
      <c r="R76" s="1"/>
      <c r="S76" s="1"/>
      <c r="T76" s="1">
        <v>16.576486544364336</v>
      </c>
      <c r="U76" s="1"/>
      <c r="V76" s="1"/>
      <c r="W76" s="1">
        <v>14.243548387096761</v>
      </c>
      <c r="X76" s="1"/>
      <c r="Y76" s="1"/>
      <c r="Z76" s="3">
        <f>2240*0.0119147972646829</f>
        <v>26.689145872889696</v>
      </c>
      <c r="AA76" s="3">
        <f>2240*0.01551736359477</f>
        <v>34.7588944522848</v>
      </c>
      <c r="AB76" s="1"/>
      <c r="AC76" s="1">
        <f>20*1.48991031390135</f>
        <v>29.798206278027003</v>
      </c>
      <c r="AD76" s="1"/>
      <c r="AE76" s="1"/>
      <c r="AF76" s="1"/>
      <c r="AG76" s="1">
        <v>20.484021371717937</v>
      </c>
      <c r="AH76" s="3">
        <v>21.491382526509035</v>
      </c>
      <c r="AI76" s="3">
        <v>24.178904057706497</v>
      </c>
      <c r="AJ76" s="1">
        <f>20*0.866666666666667</f>
        <v>17.333333333333339</v>
      </c>
      <c r="AK76" s="1"/>
      <c r="AL76" s="1">
        <f>20*0.663301476196886</f>
        <v>13.26602952393772</v>
      </c>
      <c r="AM76" s="1"/>
      <c r="AN76" s="1">
        <v>13.26602952393772</v>
      </c>
      <c r="AO76" s="1"/>
      <c r="AP76" s="1">
        <f>20*0.858530356382773</f>
        <v>17.170607127655458</v>
      </c>
      <c r="AQ76" s="1">
        <f>20*0.743466831606618</f>
        <v>14.869336632132359</v>
      </c>
      <c r="AS76" s="1">
        <v>11.870319596561723</v>
      </c>
      <c r="AT76" s="1">
        <v>11.892622663971354</v>
      </c>
    </row>
    <row r="77" spans="1:46" x14ac:dyDescent="0.25">
      <c r="A77" s="8">
        <f t="shared" si="4"/>
        <v>1910</v>
      </c>
      <c r="C77" s="1">
        <v>12.67</v>
      </c>
      <c r="D77" s="1">
        <v>15.89</v>
      </c>
      <c r="E77" s="1">
        <f>(2240/175)*1.67744592205024</f>
        <v>21.471307802243075</v>
      </c>
      <c r="F77" s="1"/>
      <c r="G77" s="1">
        <f>2240*0.0105691056910569</f>
        <v>23.674796747967456</v>
      </c>
      <c r="H77" s="1"/>
      <c r="I77" s="1">
        <f>2240*0.00498511904761905</f>
        <v>11.166666666666671</v>
      </c>
      <c r="J77" s="1"/>
      <c r="K77" s="1">
        <v>12.111957190580195</v>
      </c>
      <c r="L77" s="1">
        <v>16.949002831941026</v>
      </c>
      <c r="M77" s="3">
        <f>2240*0.00909502001231527</f>
        <v>20.372844827586206</v>
      </c>
      <c r="N77" s="3"/>
      <c r="O77" s="1">
        <v>19.375</v>
      </c>
      <c r="P77" s="1"/>
      <c r="Q77" s="1">
        <f t="shared" si="3"/>
        <v>19.375</v>
      </c>
      <c r="R77" s="10">
        <v>16.087092188745999</v>
      </c>
      <c r="S77" s="1">
        <v>27.545233594382932</v>
      </c>
      <c r="T77" s="1"/>
      <c r="U77" s="1"/>
      <c r="V77" s="1">
        <v>17.297409541608264</v>
      </c>
      <c r="W77" s="1">
        <v>14.716235632183894</v>
      </c>
      <c r="X77" s="1">
        <f>20*1.88317757009346</f>
        <v>37.663551401869199</v>
      </c>
      <c r="Y77" s="1"/>
      <c r="Z77" s="3">
        <f>2240*0.0143735387655098</f>
        <v>32.196726834741952</v>
      </c>
      <c r="AA77" s="3">
        <f>2240*0.0145716263867197</f>
        <v>32.640443106252128</v>
      </c>
      <c r="AB77" s="1"/>
      <c r="AC77" s="1">
        <f>20*1.5707100591716</f>
        <v>31.414201183431999</v>
      </c>
      <c r="AD77" s="1"/>
      <c r="AE77" s="1">
        <f>2240*0.0208233846153846</f>
        <v>46.644381538461509</v>
      </c>
      <c r="AF77" s="1">
        <f>2240*0.0150037509377344</f>
        <v>33.608402100525055</v>
      </c>
      <c r="AG77" s="1">
        <v>24.068590502027682</v>
      </c>
      <c r="AH77" s="1">
        <v>25.059070857152641</v>
      </c>
      <c r="AI77" s="3">
        <v>33.287311381269568</v>
      </c>
      <c r="AJ77" s="1">
        <f>20*1.42177599286033</f>
        <v>28.4355198572066</v>
      </c>
      <c r="AK77" s="1"/>
      <c r="AL77" s="1">
        <f>20*0.737941131145015</f>
        <v>14.758822622900301</v>
      </c>
      <c r="AM77" s="1">
        <v>12.880434782608701</v>
      </c>
      <c r="AN77" s="1">
        <v>13.8196287027545</v>
      </c>
      <c r="AO77" s="1"/>
      <c r="AP77" s="1">
        <f>20*0.853424190800681</f>
        <v>17.068483816013618</v>
      </c>
      <c r="AQ77" s="1">
        <f>20*0.789862204724409</f>
        <v>15.797244094488182</v>
      </c>
      <c r="AS77" s="1">
        <v>12.203275852379385</v>
      </c>
      <c r="AT77" s="1">
        <v>11.85835734990339</v>
      </c>
    </row>
    <row r="78" spans="1:46" x14ac:dyDescent="0.25">
      <c r="A78" s="8">
        <f t="shared" si="4"/>
        <v>1911</v>
      </c>
      <c r="C78" s="1">
        <v>12.805</v>
      </c>
      <c r="D78" s="1">
        <v>15.39</v>
      </c>
      <c r="E78" s="1">
        <f>(2240/175)*1.29692434398914</f>
        <v>16.600631603060993</v>
      </c>
      <c r="F78" s="1"/>
      <c r="G78" s="1">
        <f>2240*0.00914634146341463</f>
        <v>20.48780487804877</v>
      </c>
      <c r="H78" s="1"/>
      <c r="I78" s="3"/>
      <c r="J78" s="1"/>
      <c r="K78" s="1">
        <v>13.253959837654421</v>
      </c>
      <c r="L78" s="1">
        <v>17.11753747280585</v>
      </c>
      <c r="M78" s="1">
        <f>2240*0.0081609579907668</f>
        <v>18.280545899317634</v>
      </c>
      <c r="N78" s="3"/>
      <c r="O78" s="1">
        <v>19.204545454545453</v>
      </c>
      <c r="P78" s="1"/>
      <c r="Q78" s="1">
        <f t="shared" si="3"/>
        <v>19.204545454545453</v>
      </c>
      <c r="R78" s="1">
        <v>16.571092897703434</v>
      </c>
      <c r="S78" s="1"/>
      <c r="T78" s="1"/>
      <c r="U78" s="1"/>
      <c r="V78" s="1"/>
      <c r="W78" s="1">
        <v>13.928595132743363</v>
      </c>
      <c r="X78" s="1">
        <f>20*1.86961516369902</f>
        <v>37.392303273980396</v>
      </c>
      <c r="Y78" s="1"/>
      <c r="Z78" s="3">
        <f>2240*0.013398734270711</f>
        <v>30.013164766392638</v>
      </c>
      <c r="AA78" s="3">
        <f>2240*0.0132420770718643</f>
        <v>29.662252640976032</v>
      </c>
      <c r="AB78" s="1"/>
      <c r="AC78" s="1">
        <f>20*1.56137263528377</f>
        <v>31.2274527056754</v>
      </c>
      <c r="AD78" s="1"/>
      <c r="AE78" s="1">
        <f>2240*0.0125</f>
        <v>28</v>
      </c>
      <c r="AF78" s="1">
        <f>2240*0.0150037509377344</f>
        <v>33.608402100525055</v>
      </c>
      <c r="AG78" s="1"/>
      <c r="AH78" s="1"/>
      <c r="AI78" s="1"/>
      <c r="AJ78" s="1">
        <f>20*0.750123946455131</f>
        <v>15.002478929102621</v>
      </c>
      <c r="AK78" s="1"/>
      <c r="AL78" s="1">
        <f>20*0.849618049387103</f>
        <v>16.99236098774206</v>
      </c>
      <c r="AM78" s="1">
        <v>22.732240437158403</v>
      </c>
      <c r="AN78" s="1">
        <v>19.862300712450232</v>
      </c>
      <c r="AO78" s="1"/>
      <c r="AP78" s="1">
        <f>20*0.810448521916412</f>
        <v>16.20897043832824</v>
      </c>
      <c r="AQ78" s="1">
        <f>20*0.812609065282563</f>
        <v>16.252181305651263</v>
      </c>
      <c r="AS78" s="1">
        <v>11.117461583754942</v>
      </c>
      <c r="AT78" s="1">
        <v>11.722005098603528</v>
      </c>
    </row>
    <row r="79" spans="1:46" x14ac:dyDescent="0.25">
      <c r="A79" s="8">
        <f t="shared" si="4"/>
        <v>1912</v>
      </c>
      <c r="C79" s="1">
        <v>12.715</v>
      </c>
      <c r="D79" s="1">
        <v>17.649999999999999</v>
      </c>
      <c r="E79" s="1">
        <f>(2240/175)*1.67335009633282</f>
        <v>21.418881233060098</v>
      </c>
      <c r="F79" s="1"/>
      <c r="G79" s="1">
        <f>2240*0.00914634146341463</f>
        <v>20.48780487804877</v>
      </c>
      <c r="H79" s="1"/>
      <c r="I79" s="3">
        <f>2240*0.00546875</f>
        <v>12.25</v>
      </c>
      <c r="J79" s="1"/>
      <c r="K79" s="1">
        <v>12.290086488049331</v>
      </c>
      <c r="L79" s="1">
        <v>18.442227792190579</v>
      </c>
      <c r="M79" s="1">
        <f>2240*0.00833333333333333</f>
        <v>18.666666666666657</v>
      </c>
      <c r="N79" s="3"/>
      <c r="O79" s="1"/>
      <c r="P79" s="1"/>
      <c r="Q79" s="1"/>
      <c r="R79" s="1"/>
      <c r="S79" s="1"/>
      <c r="T79" s="1"/>
      <c r="U79" s="1"/>
      <c r="V79" s="1"/>
      <c r="W79" s="1">
        <v>14.211078717201167</v>
      </c>
      <c r="X79" s="1">
        <v>41.726423425517154</v>
      </c>
      <c r="Y79" s="1"/>
      <c r="Z79" s="1">
        <f>2240*0.0146872804322002</f>
        <v>32.899508168128449</v>
      </c>
      <c r="AA79" s="1">
        <f>2240*0.0153846153846154</f>
        <v>34.461538461538495</v>
      </c>
      <c r="AB79" s="1"/>
      <c r="AC79" s="1">
        <f>20*1.88193624557261</f>
        <v>37.638724911452201</v>
      </c>
      <c r="AD79" s="1"/>
      <c r="AE79" s="1">
        <f>2240*0.0166666666666667</f>
        <v>37.333333333333414</v>
      </c>
      <c r="AF79" s="1"/>
      <c r="AG79" s="1"/>
      <c r="AH79" s="1"/>
      <c r="AI79" s="1"/>
      <c r="AJ79" s="1">
        <f>20*0.749972840847366</f>
        <v>14.999456816947321</v>
      </c>
      <c r="AK79" s="1"/>
      <c r="AL79" s="1"/>
      <c r="AM79" s="1"/>
      <c r="AN79" s="1"/>
      <c r="AO79" s="1"/>
      <c r="AP79" s="1">
        <f>20*0.912861356932153</f>
        <v>18.25722713864306</v>
      </c>
      <c r="AQ79" s="1">
        <f>20*0.852443814095571</f>
        <v>17.048876281911419</v>
      </c>
      <c r="AS79" s="1">
        <v>13.981217015677361</v>
      </c>
      <c r="AT79" s="1">
        <v>11.43133378656597</v>
      </c>
    </row>
    <row r="80" spans="1:46" x14ac:dyDescent="0.25">
      <c r="A80" s="8">
        <f t="shared" si="4"/>
        <v>1913</v>
      </c>
      <c r="C80" s="1">
        <v>10.33</v>
      </c>
      <c r="D80" s="1">
        <v>14.39</v>
      </c>
      <c r="E80" s="1"/>
      <c r="F80" s="1"/>
      <c r="G80" s="1"/>
      <c r="H80" s="1"/>
      <c r="I80" s="1"/>
      <c r="J80" s="1"/>
      <c r="K80" s="1">
        <v>11.723038849601229</v>
      </c>
      <c r="L80" s="1">
        <v>15.637600088394857</v>
      </c>
      <c r="M80" s="1">
        <f>2240*0.00729060088672891</f>
        <v>16.330945986272759</v>
      </c>
      <c r="N80" s="3"/>
      <c r="O80" s="1"/>
      <c r="P80" s="1"/>
      <c r="Q80" s="1"/>
      <c r="R80" s="1"/>
      <c r="S80" s="1"/>
      <c r="T80" s="1"/>
      <c r="U80" s="1"/>
      <c r="V80" s="1"/>
      <c r="W80" s="1">
        <v>14.776032388663968</v>
      </c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>
        <f>20*0.733347005742412</f>
        <v>14.66694011484824</v>
      </c>
      <c r="AK80" s="1"/>
      <c r="AL80" s="1"/>
      <c r="AM80" s="1"/>
      <c r="AN80" s="1"/>
      <c r="AO80" s="1"/>
      <c r="AP80" s="1"/>
      <c r="AQ80" s="1"/>
      <c r="AS80" s="1">
        <v>11.224429772037848</v>
      </c>
      <c r="AT80" s="1">
        <v>12.482230121673528</v>
      </c>
    </row>
    <row r="81" spans="1:46" x14ac:dyDescent="0.25">
      <c r="A81" s="8">
        <f t="shared" si="4"/>
        <v>1914</v>
      </c>
      <c r="C81" s="1">
        <v>13.370000000000001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S81" s="1">
        <v>7.777506707227543</v>
      </c>
      <c r="AT81" s="1">
        <v>8.5144729390568532</v>
      </c>
    </row>
    <row r="82" spans="1:46" x14ac:dyDescent="0.25">
      <c r="A82" s="8">
        <f t="shared" si="4"/>
        <v>1915</v>
      </c>
      <c r="C82" s="1">
        <v>9.77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S82" s="1">
        <v>11.938079759607104</v>
      </c>
      <c r="AT82" s="1">
        <v>10.739134850770771</v>
      </c>
    </row>
    <row r="83" spans="1:46" x14ac:dyDescent="0.25">
      <c r="A83" s="8">
        <f t="shared" si="4"/>
        <v>1916</v>
      </c>
      <c r="C83" s="1">
        <v>11.09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S83" s="1">
        <v>15.276686018822531</v>
      </c>
      <c r="AT83" s="1">
        <v>13.944502723174843</v>
      </c>
    </row>
    <row r="84" spans="1:46" x14ac:dyDescent="0.25">
      <c r="A84" s="8">
        <f t="shared" si="4"/>
        <v>1917</v>
      </c>
      <c r="C84" s="1">
        <v>24.035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S84" s="1">
        <v>17.019639196147629</v>
      </c>
      <c r="AT84" s="1">
        <v>12.451333003167692</v>
      </c>
    </row>
    <row r="85" spans="1:46" x14ac:dyDescent="0.25">
      <c r="A85" s="8">
        <f t="shared" si="4"/>
        <v>1918</v>
      </c>
      <c r="C85" s="1">
        <v>25.15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S85" s="1">
        <v>15.611650371295196</v>
      </c>
      <c r="AT85" s="1">
        <v>15.381746828985372</v>
      </c>
    </row>
    <row r="86" spans="1:46" x14ac:dyDescent="0.25">
      <c r="A86" s="8">
        <f t="shared" si="4"/>
        <v>1919</v>
      </c>
      <c r="C86" s="1">
        <v>30.805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S86" s="1">
        <v>18.534001287617944</v>
      </c>
      <c r="AT86" s="1">
        <v>21.337093563370935</v>
      </c>
    </row>
    <row r="87" spans="1:46" x14ac:dyDescent="0.25">
      <c r="A87" s="8">
        <f t="shared" si="4"/>
        <v>1920</v>
      </c>
      <c r="C87" s="1">
        <v>45.4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S87" s="1">
        <v>36.276829501498362</v>
      </c>
      <c r="AT87" s="1">
        <v>27.118314687688414</v>
      </c>
    </row>
    <row r="88" spans="1:46" x14ac:dyDescent="0.25">
      <c r="A88" s="8">
        <f t="shared" si="4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S88" s="1">
        <v>21.890625000000004</v>
      </c>
      <c r="AT88" s="1">
        <v>17.386363636363637</v>
      </c>
    </row>
    <row r="89" spans="1:46" x14ac:dyDescent="0.25">
      <c r="A89" s="8">
        <f t="shared" si="4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S89" s="1">
        <v>15.750000000000002</v>
      </c>
      <c r="AT89" s="1">
        <v>12.272727272727273</v>
      </c>
    </row>
    <row r="90" spans="1:46" x14ac:dyDescent="0.25">
      <c r="A90" s="8">
        <f t="shared" si="4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S90" s="1">
        <v>16.6875</v>
      </c>
      <c r="AT90" s="1">
        <v>15.596590909090908</v>
      </c>
    </row>
    <row r="91" spans="1:46" x14ac:dyDescent="0.25">
      <c r="A91" s="8">
        <f t="shared" si="4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S91" s="1">
        <v>18.796875</v>
      </c>
      <c r="AT91" s="1">
        <v>9.4602272727272734</v>
      </c>
    </row>
    <row r="92" spans="1:46" x14ac:dyDescent="0.25">
      <c r="A92" s="8">
        <f t="shared" si="4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S92" s="1">
        <v>8.8125</v>
      </c>
      <c r="AT92" s="1"/>
    </row>
    <row r="93" spans="1:46" x14ac:dyDescent="0.25">
      <c r="A93" s="8">
        <f t="shared" si="4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S93" s="1">
        <v>9.12890625</v>
      </c>
      <c r="AT93" s="1"/>
    </row>
    <row r="94" spans="1:46" x14ac:dyDescent="0.25">
      <c r="A94" s="8">
        <f t="shared" si="4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S94" s="1">
        <v>8.6484375</v>
      </c>
      <c r="AT94" s="1"/>
    </row>
    <row r="95" spans="1:46" x14ac:dyDescent="0.25">
      <c r="A95" s="8">
        <f t="shared" si="4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S95" s="1">
        <v>7.5351562500000009</v>
      </c>
      <c r="AT95" s="1"/>
    </row>
    <row r="96" spans="1:46" x14ac:dyDescent="0.25">
      <c r="A96" s="8">
        <f t="shared" si="4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S96" s="1">
        <v>7.1455078125000009</v>
      </c>
      <c r="AT96" s="1"/>
    </row>
    <row r="97" spans="1:46" x14ac:dyDescent="0.25">
      <c r="A97" s="8">
        <f t="shared" si="4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S97" s="1">
        <v>6.1737132352941178</v>
      </c>
      <c r="AT97" s="1"/>
    </row>
    <row r="98" spans="1:46" x14ac:dyDescent="0.25">
      <c r="A98" s="8">
        <f t="shared" si="4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S98" s="1">
        <v>6.1709558823529411</v>
      </c>
      <c r="AT98" s="1"/>
    </row>
    <row r="99" spans="1:46" hidden="1" x14ac:dyDescent="0.25">
      <c r="A99" s="8">
        <f t="shared" si="4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6" hidden="1" x14ac:dyDescent="0.25">
      <c r="A100" s="8">
        <f t="shared" si="4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6" hidden="1" x14ac:dyDescent="0.25">
      <c r="A101" s="8">
        <f t="shared" si="4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6" hidden="1" x14ac:dyDescent="0.25">
      <c r="A102" s="8">
        <f t="shared" si="4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6" hidden="1" x14ac:dyDescent="0.25">
      <c r="A103" s="8">
        <f t="shared" si="4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6" hidden="1" x14ac:dyDescent="0.25">
      <c r="A104" s="8">
        <f t="shared" si="4"/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6" hidden="1" x14ac:dyDescent="0.25">
      <c r="A105" s="8">
        <f t="shared" si="4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6" hidden="1" x14ac:dyDescent="0.25">
      <c r="A106" s="8">
        <f t="shared" si="4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6" hidden="1" x14ac:dyDescent="0.25">
      <c r="A107" s="8">
        <f t="shared" si="4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6" hidden="1" x14ac:dyDescent="0.25">
      <c r="A108" s="8">
        <f t="shared" si="4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6" hidden="1" x14ac:dyDescent="0.25">
      <c r="A109" s="8">
        <f t="shared" si="4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6" hidden="1" x14ac:dyDescent="0.25">
      <c r="A110" s="8">
        <f t="shared" si="4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6" hidden="1" x14ac:dyDescent="0.25">
      <c r="A111" s="8">
        <f t="shared" si="4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6" hidden="1" x14ac:dyDescent="0.25">
      <c r="A112" s="8">
        <f t="shared" si="4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idden="1" x14ac:dyDescent="0.25">
      <c r="A113" s="8">
        <f t="shared" si="4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idden="1" x14ac:dyDescent="0.25">
      <c r="A114" s="8">
        <f t="shared" si="4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idden="1" x14ac:dyDescent="0.25">
      <c r="A115" s="8">
        <f t="shared" si="4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idden="1" x14ac:dyDescent="0.25">
      <c r="A116" s="8">
        <f t="shared" si="4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idden="1" x14ac:dyDescent="0.25">
      <c r="A117" s="8">
        <f t="shared" si="4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idden="1" x14ac:dyDescent="0.25">
      <c r="A118" s="8">
        <f t="shared" si="4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idden="1" x14ac:dyDescent="0.25">
      <c r="A119" s="8">
        <f t="shared" si="4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idden="1" x14ac:dyDescent="0.25">
      <c r="A120" s="8">
        <f t="shared" si="4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idden="1" x14ac:dyDescent="0.25">
      <c r="A121" s="8">
        <f t="shared" si="4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idden="1" x14ac:dyDescent="0.25">
      <c r="A122" s="8">
        <f t="shared" si="4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idden="1" x14ac:dyDescent="0.25">
      <c r="A123" s="8">
        <f t="shared" si="4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idden="1" x14ac:dyDescent="0.25">
      <c r="A124" s="8">
        <f t="shared" si="4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idden="1" x14ac:dyDescent="0.25">
      <c r="A125" s="8">
        <f t="shared" si="4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idden="1" x14ac:dyDescent="0.25">
      <c r="A126" s="8">
        <f t="shared" si="4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idden="1" x14ac:dyDescent="0.25">
      <c r="A127" s="8">
        <f t="shared" si="4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idden="1" x14ac:dyDescent="0.25">
      <c r="A128" s="8">
        <f t="shared" si="4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idden="1" x14ac:dyDescent="0.25">
      <c r="A129" s="8">
        <f t="shared" si="4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idden="1" x14ac:dyDescent="0.25">
      <c r="A130" s="8">
        <f t="shared" si="4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idden="1" x14ac:dyDescent="0.25">
      <c r="A131" s="8">
        <f t="shared" si="4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idden="1" x14ac:dyDescent="0.25">
      <c r="A132" s="8">
        <f t="shared" si="4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idden="1" x14ac:dyDescent="0.25">
      <c r="A133" s="8">
        <f t="shared" si="4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idden="1" x14ac:dyDescent="0.25">
      <c r="A134" s="8">
        <f t="shared" si="4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idden="1" x14ac:dyDescent="0.25">
      <c r="A135" s="8">
        <f t="shared" si="4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idden="1" x14ac:dyDescent="0.25">
      <c r="A136" s="8">
        <f t="shared" ref="A136:A145" si="5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idden="1" x14ac:dyDescent="0.25">
      <c r="A137" s="8">
        <f t="shared" si="5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idden="1" x14ac:dyDescent="0.25">
      <c r="A138" s="8">
        <f t="shared" si="5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idden="1" x14ac:dyDescent="0.25">
      <c r="A139" s="8">
        <f t="shared" si="5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idden="1" x14ac:dyDescent="0.25">
      <c r="A140" s="8">
        <f t="shared" si="5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idden="1" x14ac:dyDescent="0.25">
      <c r="A141" s="8">
        <f t="shared" si="5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idden="1" x14ac:dyDescent="0.25">
      <c r="A142" s="8">
        <f t="shared" si="5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idden="1" x14ac:dyDescent="0.25">
      <c r="A143" s="8">
        <f t="shared" si="5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idden="1" x14ac:dyDescent="0.25">
      <c r="A144" s="8">
        <f t="shared" si="5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idden="1" x14ac:dyDescent="0.25">
      <c r="A145" s="8">
        <f t="shared" si="5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3:43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3:43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3:43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3:43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3:43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3:43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3:43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3:43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3:43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3:43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3:43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3:43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3:43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3:43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3:43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3:43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3:43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3:43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3:43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3:43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3:43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3:43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3:43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3:43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3:43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3:43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3:43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3:43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3:43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3:43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3:43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3:43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3:43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3:43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3:43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3:43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3:43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3:43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3:43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3:43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3:43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3:43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3:43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3:43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3:43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3:43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3:43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3:43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3:43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3:43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3:43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3:43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3:43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3:43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3:43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3:43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3:43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3:43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3:43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3:43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3:43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3:43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3:43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3:43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3:43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3:43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3:43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3:43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3:43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3:43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3:43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3:43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3:43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3:43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3:43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3:43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3:43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3:43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3:43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3:43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3:43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3:43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3:43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3:43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3:43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3:43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3:43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3:43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3:43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3:43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3:43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3:43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3:43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3:43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3:43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3:43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3:43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3:43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3:43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3:43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3:43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3:43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3:43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3:43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3:43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3:43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3:43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3:43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3:43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3:43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3:43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3:43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3:43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3:43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3:43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3:43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3:43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3:43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3:43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3:43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3:43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3:43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3:43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3:43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3:43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3:43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3:43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3:43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3:43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3:43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3:43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3:43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3:43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3:43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3:43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3:43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3:43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3:43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3:43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3:43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3:43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3:43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3:43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3:43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3:43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3:43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3:43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3:43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3:43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3:43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3:43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3:43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3:43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8" sqref="P18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I31" sqref="I31"/>
    </sheetView>
  </sheetViews>
  <sheetFormatPr defaultRowHeight="13.2" x14ac:dyDescent="0.25"/>
  <sheetData>
    <row r="2" spans="2:2" x14ac:dyDescent="0.25">
      <c r="B2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2" sqref="F32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1" sqref="I31"/>
    </sheetView>
  </sheetViews>
  <sheetFormatPr defaultRowHeight="13.2" x14ac:dyDescent="0.25"/>
  <sheetData>
    <row r="1" spans="1:1" ht="15" x14ac:dyDescent="0.25">
      <c r="A1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Sugar (All)</vt:lpstr>
      <vt:lpstr>Graphs (All)</vt:lpstr>
      <vt:lpstr>Collective Graph (All)</vt:lpstr>
      <vt:lpstr>Sugar (Adjusted)</vt:lpstr>
      <vt:lpstr>Graph - 1</vt:lpstr>
      <vt:lpstr>Graph - 2</vt:lpstr>
      <vt:lpstr>Graph - 3</vt:lpstr>
      <vt:lpstr>Graph - 4</vt:lpstr>
      <vt:lpstr>Graph - 5</vt:lpstr>
      <vt:lpstr>Graph - 6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2018-11-19T11:18:11Z</dcterms:modified>
</cp:coreProperties>
</file>